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480" yWindow="45" windowWidth="11340" windowHeight="8235" tabRatio="762"/>
  </bookViews>
  <sheets>
    <sheet name="Stmt net assets" sheetId="10" r:id="rId1"/>
    <sheet name="Stmt of activities-GA rev" sheetId="9" r:id="rId2"/>
    <sheet name="Stmt of activities-GAexp" sheetId="8" r:id="rId3"/>
    <sheet name="Gen Bal" sheetId="7" r:id="rId4"/>
    <sheet name="GV Fund BS" sheetId="3" r:id="rId5"/>
    <sheet name="Gen rev" sheetId="1" r:id="rId6"/>
    <sheet name="Gen exp" sheetId="2" r:id="rId7"/>
    <sheet name="GVFund Rev" sheetId="4" r:id="rId8"/>
    <sheet name="GVFund Exp" sheetId="5" r:id="rId9"/>
    <sheet name="Water" sheetId="6" r:id="rId10"/>
    <sheet name="Sewer" sheetId="14" r:id="rId11"/>
    <sheet name="Electric" sheetId="13" r:id="rId12"/>
    <sheet name="LT Lia GA" sheetId="12" r:id="rId13"/>
    <sheet name="Sanitation" sheetId="15" r:id="rId14"/>
  </sheets>
  <definedNames>
    <definedName name="_xlnm.Print_Area" localSheetId="11">Electric!$A$13:$W$233,Electric!$Y$12:$AY$233,Electric!$BA$13:$BM$233</definedName>
    <definedName name="_xlnm.Print_Area" localSheetId="3">'Gen Bal'!$A$10:$S$256</definedName>
    <definedName name="_xlnm.Print_Area" localSheetId="6">'Gen exp'!$A$10:$AG$255</definedName>
    <definedName name="_xlnm.Print_Area" localSheetId="5">'Gen rev'!$A$10:$W$257</definedName>
    <definedName name="_xlnm.Print_Area" localSheetId="4">'GV Fund BS'!$A$10:$S$256</definedName>
    <definedName name="_xlnm.Print_Area" localSheetId="8">'GVFund Exp'!$A$10:$AL$256</definedName>
    <definedName name="_xlnm.Print_Area" localSheetId="7">'GVFund Rev'!$A$10:$W$257</definedName>
    <definedName name="_xlnm.Print_Area" localSheetId="12">'LT Lia GA'!$A$10:$U$256</definedName>
    <definedName name="_xlnm.Print_Area" localSheetId="13">Sanitation!$A$14:$W$244,Sanitation!$Y$14:$AY$244,Sanitation!$BA$14:$BM$244</definedName>
    <definedName name="_xlnm.Print_Area" localSheetId="10">Sewer!$A$10:$W$250,Sewer!$Y$10:$AY$250,Sewer!$BA$10:$BM$250</definedName>
    <definedName name="_xlnm.Print_Area" localSheetId="0">'Stmt net assets'!$A$10:$Y$256</definedName>
    <definedName name="_xlnm.Print_Area" localSheetId="1">'Stmt of activities-GA rev'!$A$10:$AC$256</definedName>
    <definedName name="_xlnm.Print_Area" localSheetId="2">'Stmt of activities-GAexp'!$A$10:$AA$255</definedName>
    <definedName name="_xlnm.Print_Area" localSheetId="9">Water!$A$12:$W$254,Water!$Z$12:$AZ$254,Water!$BB$12:$BN$254</definedName>
    <definedName name="_xlnm.Print_Titles" localSheetId="11">Electric!$1:$10</definedName>
    <definedName name="_xlnm.Print_Titles" localSheetId="3">'Gen Bal'!$1:$9</definedName>
    <definedName name="_xlnm.Print_Titles" localSheetId="6">'Gen exp'!$1:$9</definedName>
    <definedName name="_xlnm.Print_Titles" localSheetId="5">'Gen rev'!$1:$9</definedName>
    <definedName name="_xlnm.Print_Titles" localSheetId="4">'GV Fund BS'!$1:$9</definedName>
    <definedName name="_xlnm.Print_Titles" localSheetId="8">'GVFund Exp'!$1:$9</definedName>
    <definedName name="_xlnm.Print_Titles" localSheetId="7">'GVFund Rev'!$1:$9</definedName>
    <definedName name="_xlnm.Print_Titles" localSheetId="12">'LT Lia GA'!$1:$9</definedName>
    <definedName name="_xlnm.Print_Titles" localSheetId="13">Sanitation!$1:$10</definedName>
    <definedName name="_xlnm.Print_Titles" localSheetId="10">Sewer!$1:$9</definedName>
    <definedName name="_xlnm.Print_Titles" localSheetId="0">'Stmt net assets'!$1:$9</definedName>
    <definedName name="_xlnm.Print_Titles" localSheetId="1">'Stmt of activities-GA rev'!$1:$9</definedName>
    <definedName name="_xlnm.Print_Titles" localSheetId="2">'Stmt of activities-GAexp'!$1:$9</definedName>
    <definedName name="_xlnm.Print_Titles" localSheetId="9">Water!$1:$11</definedName>
  </definedNames>
  <calcPr calcId="125725"/>
</workbook>
</file>

<file path=xl/calcChain.xml><?xml version="1.0" encoding="utf-8"?>
<calcChain xmlns="http://schemas.openxmlformats.org/spreadsheetml/2006/main">
  <c r="AE128" i="14"/>
  <c r="E58"/>
  <c r="Q219" i="4"/>
  <c r="Q214"/>
  <c r="M117" i="10" l="1"/>
  <c r="M116"/>
  <c r="BK230" i="15"/>
  <c r="AE230"/>
  <c r="BI235" i="14"/>
  <c r="BG235"/>
  <c r="AE235"/>
  <c r="BL238" i="6"/>
  <c r="BJ238"/>
  <c r="AF238"/>
  <c r="G238"/>
  <c r="Q240" i="4"/>
  <c r="Q239" i="1"/>
  <c r="Q240" i="3"/>
  <c r="M240"/>
  <c r="K239" i="9"/>
  <c r="U240" i="10"/>
  <c r="G240"/>
  <c r="BK163" i="15"/>
  <c r="BI163"/>
  <c r="AE163"/>
  <c r="BK224"/>
  <c r="BI224"/>
  <c r="BE224"/>
  <c r="AE224"/>
  <c r="BK250" i="14" l="1"/>
  <c r="BI250"/>
  <c r="AE250"/>
  <c r="BL254" i="6"/>
  <c r="BJ254"/>
  <c r="BF254"/>
  <c r="AF254"/>
  <c r="W256" i="4"/>
  <c r="Q256"/>
  <c r="W256" i="1"/>
  <c r="Q256"/>
  <c r="Q256" i="3"/>
  <c r="M256"/>
  <c r="E256"/>
  <c r="M256" i="7"/>
  <c r="E256"/>
  <c r="U255" i="9"/>
  <c r="M255"/>
  <c r="K255"/>
  <c r="U256" i="10"/>
  <c r="G256"/>
  <c r="BK249" i="14"/>
  <c r="BI249"/>
  <c r="BE249"/>
  <c r="AE249"/>
  <c r="BJ253" i="6"/>
  <c r="BL253"/>
  <c r="BF253"/>
  <c r="AF253"/>
  <c r="W255" i="4"/>
  <c r="Q255"/>
  <c r="W255" i="1"/>
  <c r="Q255"/>
  <c r="Q255" i="3"/>
  <c r="M255"/>
  <c r="E255"/>
  <c r="M255" i="7"/>
  <c r="U254" i="9"/>
  <c r="M254"/>
  <c r="K254"/>
  <c r="U255" i="10"/>
  <c r="G255"/>
  <c r="E255" i="12"/>
  <c r="K255"/>
  <c r="BK244" i="15"/>
  <c r="AE244"/>
  <c r="BK248" i="14"/>
  <c r="AK248"/>
  <c r="AE248"/>
  <c r="BL252" i="6"/>
  <c r="AL252"/>
  <c r="AF252"/>
  <c r="W254" i="4"/>
  <c r="M254"/>
  <c r="M254" i="1"/>
  <c r="Q254" i="3"/>
  <c r="M254"/>
  <c r="E254"/>
  <c r="E254" i="7"/>
  <c r="M254"/>
  <c r="O253" i="9"/>
  <c r="U254" i="10"/>
  <c r="BL251" i="6"/>
  <c r="BF251"/>
  <c r="AF251"/>
  <c r="W253" i="4"/>
  <c r="Q253" i="3"/>
  <c r="M253"/>
  <c r="E253"/>
  <c r="G253" i="10"/>
  <c r="AL252" i="5"/>
  <c r="Q252" i="4"/>
  <c r="Q252" i="1"/>
  <c r="Q252" i="3"/>
  <c r="M252"/>
  <c r="E252"/>
  <c r="M252" i="7"/>
  <c r="E252"/>
  <c r="U252" i="10"/>
  <c r="G252"/>
  <c r="BL249" i="6"/>
  <c r="BF249"/>
  <c r="AF249"/>
  <c r="K249"/>
  <c r="W251" i="4"/>
  <c r="Q251" i="3"/>
  <c r="M251"/>
  <c r="S250" i="8"/>
  <c r="Q250"/>
  <c r="M250"/>
  <c r="K250"/>
  <c r="I250"/>
  <c r="E250"/>
  <c r="O250" i="9"/>
  <c r="U251" i="10"/>
  <c r="K251" i="12"/>
  <c r="G251"/>
  <c r="E251"/>
  <c r="BK240" i="15"/>
  <c r="AE240"/>
  <c r="BK244" i="14"/>
  <c r="BG244"/>
  <c r="AE244"/>
  <c r="BL248" i="6"/>
  <c r="BH248"/>
  <c r="AF248"/>
  <c r="Q250" i="4"/>
  <c r="Q250" i="1"/>
  <c r="Q250" i="3"/>
  <c r="M250"/>
  <c r="K249" i="9"/>
  <c r="U250" i="10"/>
  <c r="G250"/>
  <c r="BK243" i="14"/>
  <c r="AE243"/>
  <c r="W249" i="4"/>
  <c r="Q249"/>
  <c r="Q249" i="1"/>
  <c r="Q249" i="3"/>
  <c r="M249"/>
  <c r="M249" i="7"/>
  <c r="U249" i="10"/>
  <c r="G249"/>
  <c r="K249" i="12"/>
  <c r="BK242" i="14"/>
  <c r="BI242"/>
  <c r="AE242"/>
  <c r="G248" i="5"/>
  <c r="W248" i="4"/>
  <c r="Q248"/>
  <c r="I248"/>
  <c r="G247" i="2"/>
  <c r="Q248" i="1"/>
  <c r="I248"/>
  <c r="Q248" i="3"/>
  <c r="M248"/>
  <c r="E248"/>
  <c r="M248" i="7"/>
  <c r="E248"/>
  <c r="E247" i="8"/>
  <c r="O247" i="9"/>
  <c r="K247"/>
  <c r="U248" i="10"/>
  <c r="G248"/>
  <c r="BK241" i="14"/>
  <c r="BE241"/>
  <c r="AE241"/>
  <c r="W247" i="4"/>
  <c r="Q247"/>
  <c r="Q247" i="1"/>
  <c r="M247" i="3"/>
  <c r="M247" i="7"/>
  <c r="U246" i="9"/>
  <c r="M246"/>
  <c r="K246"/>
  <c r="U247" i="10"/>
  <c r="G247"/>
  <c r="Q247" i="12"/>
  <c r="BK240" i="14"/>
  <c r="BI240"/>
  <c r="BE240"/>
  <c r="AE240"/>
  <c r="BL244" i="6"/>
  <c r="BJ244"/>
  <c r="AF244"/>
  <c r="Q246" i="4"/>
  <c r="X250"/>
  <c r="W246"/>
  <c r="Q246" i="1"/>
  <c r="Q246" i="3"/>
  <c r="M246"/>
  <c r="E246"/>
  <c r="M246" i="7"/>
  <c r="M245" i="9"/>
  <c r="K245"/>
  <c r="U246" i="10"/>
  <c r="E246"/>
  <c r="W245" i="4"/>
  <c r="Q245"/>
  <c r="M245"/>
  <c r="Q245" i="1"/>
  <c r="M245"/>
  <c r="Q245" i="3"/>
  <c r="M245"/>
  <c r="E245"/>
  <c r="M245" i="7"/>
  <c r="E245"/>
  <c r="U245" i="10"/>
  <c r="G245"/>
  <c r="Q244" i="4"/>
  <c r="Q244" i="1"/>
  <c r="Q244" i="3"/>
  <c r="M244"/>
  <c r="M244" i="7"/>
  <c r="O243" i="9"/>
  <c r="U244" i="10"/>
  <c r="E244" i="12"/>
  <c r="AE238" i="14"/>
  <c r="W243" i="4"/>
  <c r="AF243" i="5"/>
  <c r="Q243" i="4"/>
  <c r="I243"/>
  <c r="Q243" i="1"/>
  <c r="I243"/>
  <c r="M243" i="3"/>
  <c r="E243"/>
  <c r="M243" i="7"/>
  <c r="E243"/>
  <c r="U242" i="9"/>
  <c r="O242"/>
  <c r="M242"/>
  <c r="K242"/>
  <c r="U243" i="10"/>
  <c r="G243"/>
  <c r="BK233" i="13"/>
  <c r="BE233"/>
  <c r="AE233"/>
  <c r="BK237" i="14"/>
  <c r="BE237"/>
  <c r="AE237"/>
  <c r="BL240" i="6"/>
  <c r="BJ240"/>
  <c r="BF240"/>
  <c r="AF240"/>
  <c r="AL242" i="5"/>
  <c r="W242" i="4"/>
  <c r="Q242"/>
  <c r="Q242" i="1"/>
  <c r="Q242" i="3"/>
  <c r="M242"/>
  <c r="E242"/>
  <c r="M242" i="7"/>
  <c r="U241" i="9"/>
  <c r="M241"/>
  <c r="K241"/>
  <c r="U242" i="10"/>
  <c r="G242"/>
  <c r="BM226" i="15"/>
  <c r="BM227"/>
  <c r="BM228"/>
  <c r="BM229"/>
  <c r="BM230"/>
  <c r="BM231"/>
  <c r="BM232"/>
  <c r="BM233"/>
  <c r="BM234"/>
  <c r="BM235"/>
  <c r="BM236"/>
  <c r="BM237"/>
  <c r="BM238"/>
  <c r="BM239"/>
  <c r="BM240"/>
  <c r="BM241"/>
  <c r="BM242"/>
  <c r="BM243"/>
  <c r="BM244"/>
  <c r="BK231"/>
  <c r="AE231"/>
  <c r="BK236" i="14"/>
  <c r="AE236"/>
  <c r="G236"/>
  <c r="AJ240" i="6"/>
  <c r="E240"/>
  <c r="BL239"/>
  <c r="BJ239"/>
  <c r="AF239"/>
  <c r="M239"/>
  <c r="G239"/>
  <c r="W241" i="4"/>
  <c r="Q241"/>
  <c r="Q240" i="1"/>
  <c r="Q241" i="3"/>
  <c r="M241"/>
  <c r="M241" i="7"/>
  <c r="K240" i="9"/>
  <c r="U240"/>
  <c r="U241" i="10"/>
  <c r="G241"/>
  <c r="E241" s="1"/>
  <c r="G241" i="12"/>
  <c r="BI234" i="14"/>
  <c r="AE234"/>
  <c r="BJ237" i="6"/>
  <c r="AF237"/>
  <c r="W239" i="4"/>
  <c r="Q239"/>
  <c r="Q238" i="1"/>
  <c r="Q239" i="3"/>
  <c r="K238" i="9"/>
  <c r="U239" i="10"/>
  <c r="G239"/>
  <c r="K239" i="12"/>
  <c r="I239"/>
  <c r="BK233" i="14"/>
  <c r="AE233"/>
  <c r="BL236" i="6"/>
  <c r="BJ236"/>
  <c r="AF236"/>
  <c r="W238" i="4"/>
  <c r="Q238"/>
  <c r="Q237" i="1"/>
  <c r="Q238" i="3"/>
  <c r="M238"/>
  <c r="E238"/>
  <c r="M238" i="7"/>
  <c r="E238"/>
  <c r="U238" i="10"/>
  <c r="G238"/>
  <c r="BK232" i="14"/>
  <c r="BI232"/>
  <c r="AE232"/>
  <c r="BL235" i="6"/>
  <c r="BJ235"/>
  <c r="BH235"/>
  <c r="AF235"/>
  <c r="W237" i="4"/>
  <c r="Q237" i="3"/>
  <c r="M237"/>
  <c r="E237"/>
  <c r="M237" i="7"/>
  <c r="E237"/>
  <c r="Q236" i="9"/>
  <c r="U237" i="10"/>
  <c r="G237"/>
  <c r="E237" i="12"/>
  <c r="AL235" i="5"/>
  <c r="G235"/>
  <c r="W236" i="4"/>
  <c r="Q236"/>
  <c r="G235" i="2"/>
  <c r="W235" i="1"/>
  <c r="Q235"/>
  <c r="Q236" i="3"/>
  <c r="E235" i="8"/>
  <c r="K235" i="9"/>
  <c r="U236" i="10"/>
  <c r="G236"/>
  <c r="BK225" i="15"/>
  <c r="AE225"/>
  <c r="BK230" i="14"/>
  <c r="BI230"/>
  <c r="BE230"/>
  <c r="AE230"/>
  <c r="BL233" i="6"/>
  <c r="BJ233"/>
  <c r="BH233"/>
  <c r="AF233"/>
  <c r="I234" i="5"/>
  <c r="Q235" i="4"/>
  <c r="Q234" i="1"/>
  <c r="Q235" i="3"/>
  <c r="M235"/>
  <c r="M235" i="7"/>
  <c r="K234" i="8"/>
  <c r="K234" i="9"/>
  <c r="U235" i="10"/>
  <c r="Q235" i="12"/>
  <c r="K235"/>
  <c r="BK225" i="13"/>
  <c r="AE225"/>
  <c r="BK229" i="14"/>
  <c r="BI229"/>
  <c r="BG229"/>
  <c r="AE229"/>
  <c r="S229"/>
  <c r="BL232" i="6"/>
  <c r="BJ232"/>
  <c r="AF232"/>
  <c r="BL231"/>
  <c r="BF231"/>
  <c r="BN231" s="1"/>
  <c r="BL230"/>
  <c r="BJ230"/>
  <c r="BF230"/>
  <c r="AF231"/>
  <c r="AJ231" s="1"/>
  <c r="AT231" s="1"/>
  <c r="AJ230"/>
  <c r="AT230" s="1"/>
  <c r="W231"/>
  <c r="K231"/>
  <c r="E231"/>
  <c r="AZ231" s="1"/>
  <c r="W230"/>
  <c r="K230"/>
  <c r="E230"/>
  <c r="BK228" i="14"/>
  <c r="BI228"/>
  <c r="BM228" s="1"/>
  <c r="BK227"/>
  <c r="BI227"/>
  <c r="BM227" s="1"/>
  <c r="BE227"/>
  <c r="AE228"/>
  <c r="AI228" s="1"/>
  <c r="AS228" s="1"/>
  <c r="AI227"/>
  <c r="AS227" s="1"/>
  <c r="W228"/>
  <c r="K228"/>
  <c r="E228"/>
  <c r="AY228" s="1"/>
  <c r="W227"/>
  <c r="K227"/>
  <c r="E227"/>
  <c r="G233" i="5"/>
  <c r="W233" i="4"/>
  <c r="Q233"/>
  <c r="G233" i="2"/>
  <c r="W233" i="1"/>
  <c r="Q233"/>
  <c r="Q234" i="3"/>
  <c r="M234"/>
  <c r="M234" i="7"/>
  <c r="E233" i="8"/>
  <c r="U233" i="9"/>
  <c r="O233"/>
  <c r="K233"/>
  <c r="U234" i="10"/>
  <c r="G234"/>
  <c r="AY227" i="14" l="1"/>
  <c r="AZ230" i="6"/>
  <c r="BN230"/>
  <c r="BK223" i="15"/>
  <c r="AE223"/>
  <c r="BK224" i="13"/>
  <c r="BG224"/>
  <c r="BE224"/>
  <c r="AE224"/>
  <c r="W232" i="4"/>
  <c r="Q232"/>
  <c r="Q232" i="1"/>
  <c r="Q233" i="3"/>
  <c r="M233"/>
  <c r="E233"/>
  <c r="M233" i="7"/>
  <c r="E233"/>
  <c r="K232" i="9"/>
  <c r="U233" i="10"/>
  <c r="G233"/>
  <c r="Y233" i="12"/>
  <c r="E233"/>
  <c r="G231" i="5"/>
  <c r="W231" i="4"/>
  <c r="Q231"/>
  <c r="S231" s="1"/>
  <c r="W231" i="1"/>
  <c r="Q231"/>
  <c r="Q232" i="3"/>
  <c r="M232"/>
  <c r="E232"/>
  <c r="M232" i="7"/>
  <c r="E231" i="8"/>
  <c r="U231" i="9"/>
  <c r="K231"/>
  <c r="U232" i="10"/>
  <c r="G232"/>
  <c r="Q232" i="12"/>
  <c r="BK226" i="14" l="1"/>
  <c r="AE226"/>
  <c r="BL229" i="6"/>
  <c r="AF229"/>
  <c r="M230" i="5"/>
  <c r="G230"/>
  <c r="E230"/>
  <c r="W230" i="4"/>
  <c r="M230" i="2"/>
  <c r="G230"/>
  <c r="E230"/>
  <c r="M231" i="3"/>
  <c r="Q231"/>
  <c r="M231" i="7"/>
  <c r="Q230" i="8"/>
  <c r="M230"/>
  <c r="E230"/>
  <c r="U231" i="10"/>
  <c r="G231"/>
  <c r="BK225" i="14"/>
  <c r="BI225"/>
  <c r="AE225"/>
  <c r="BL228" i="6"/>
  <c r="BJ228"/>
  <c r="BF228"/>
  <c r="AF228"/>
  <c r="S229" i="4"/>
  <c r="Q230" i="3"/>
  <c r="M230"/>
  <c r="M230" i="7"/>
  <c r="U230" i="10"/>
  <c r="G230"/>
  <c r="Q230" i="12"/>
  <c r="E230"/>
  <c r="BK218" i="15"/>
  <c r="AE218"/>
  <c r="AE224" i="14"/>
  <c r="G224"/>
  <c r="BL227" i="6"/>
  <c r="BJ227"/>
  <c r="AF227"/>
  <c r="M227"/>
  <c r="G227"/>
  <c r="E228" i="5"/>
  <c r="Q228" i="4"/>
  <c r="E228" i="2"/>
  <c r="Q228" i="1"/>
  <c r="Q229" i="3"/>
  <c r="M229"/>
  <c r="Q228" i="8"/>
  <c r="O228" i="9"/>
  <c r="G229" i="10"/>
  <c r="K229" i="12"/>
  <c r="BK223" i="14"/>
  <c r="BI223"/>
  <c r="AE223"/>
  <c r="BL226" i="6"/>
  <c r="BJ226"/>
  <c r="AF226"/>
  <c r="AL227" i="5"/>
  <c r="W227" i="4"/>
  <c r="I227"/>
  <c r="Q228" i="3"/>
  <c r="O228"/>
  <c r="M228"/>
  <c r="O228" i="7"/>
  <c r="M228"/>
  <c r="U228" i="10"/>
  <c r="O228"/>
  <c r="G228"/>
  <c r="W226" i="4"/>
  <c r="Q227" i="3" l="1"/>
  <c r="M227"/>
  <c r="M227" i="7"/>
  <c r="K226" i="9"/>
  <c r="U227" i="10"/>
  <c r="G227"/>
  <c r="M227" i="12"/>
  <c r="K227"/>
  <c r="BK221" i="14"/>
  <c r="BI221"/>
  <c r="AE221"/>
  <c r="BL224" i="6"/>
  <c r="BF224"/>
  <c r="AF224"/>
  <c r="W225" i="4"/>
  <c r="Q226" i="3"/>
  <c r="M226"/>
  <c r="M226" i="7"/>
  <c r="U225" i="9"/>
  <c r="U226" i="10"/>
  <c r="G226"/>
  <c r="W224" i="4"/>
  <c r="Q224"/>
  <c r="Q224" i="1"/>
  <c r="M224" i="9"/>
  <c r="K224"/>
  <c r="U225" i="10"/>
  <c r="G225"/>
  <c r="K225" i="12"/>
  <c r="BK219" i="14"/>
  <c r="AE219"/>
  <c r="E219"/>
  <c r="W223" i="4"/>
  <c r="Q223"/>
  <c r="Q223" i="1"/>
  <c r="Q224" i="3"/>
  <c r="M224"/>
  <c r="E224"/>
  <c r="M224" i="7"/>
  <c r="E224"/>
  <c r="K223" i="9"/>
  <c r="U224" i="10"/>
  <c r="G224"/>
  <c r="K224" i="12"/>
  <c r="BK218" i="14"/>
  <c r="BE218"/>
  <c r="AE218"/>
  <c r="BL221" i="6"/>
  <c r="BF221"/>
  <c r="AF221"/>
  <c r="W222" i="4"/>
  <c r="W222" i="1"/>
  <c r="M223" i="3"/>
  <c r="Q223"/>
  <c r="M223" i="7"/>
  <c r="U222" i="9"/>
  <c r="K222"/>
  <c r="U223" i="10"/>
  <c r="M223"/>
  <c r="G223"/>
  <c r="BK211" i="15"/>
  <c r="BK217" i="14"/>
  <c r="BI217"/>
  <c r="AE217"/>
  <c r="M217"/>
  <c r="G217"/>
  <c r="BL220" i="6"/>
  <c r="AF220"/>
  <c r="K220"/>
  <c r="W221" i="4"/>
  <c r="W221" i="1"/>
  <c r="O222" i="3"/>
  <c r="K221" i="9"/>
  <c r="U222" i="10"/>
  <c r="G222"/>
  <c r="E222" i="12"/>
  <c r="BK216" i="14"/>
  <c r="BI216"/>
  <c r="AE216"/>
  <c r="BL219" i="6"/>
  <c r="BH219"/>
  <c r="AF219"/>
  <c r="BK210" i="15"/>
  <c r="AE210"/>
  <c r="W220" i="4"/>
  <c r="Q220"/>
  <c r="W220" i="1"/>
  <c r="Q220"/>
  <c r="O220" i="9"/>
  <c r="U220" i="10"/>
  <c r="G220"/>
  <c r="E220" i="12"/>
  <c r="BK209" i="15"/>
  <c r="AE209"/>
  <c r="BK215" i="14"/>
  <c r="AE215"/>
  <c r="BL218" i="6"/>
  <c r="BJ218"/>
  <c r="AF218"/>
  <c r="Q219" i="1"/>
  <c r="M220" i="3"/>
  <c r="K219" i="9"/>
  <c r="U219" i="10"/>
  <c r="G219"/>
  <c r="E218" i="12"/>
  <c r="U218"/>
  <c r="BG214" i="14" l="1"/>
  <c r="AE214"/>
  <c r="BH217" i="6"/>
  <c r="AF217"/>
  <c r="S217"/>
  <c r="X218" i="4"/>
  <c r="Q218"/>
  <c r="W218" i="1"/>
  <c r="AN219" i="2" s="1"/>
  <c r="AO219" s="1"/>
  <c r="AN218"/>
  <c r="Q218" i="1"/>
  <c r="Q219" i="3"/>
  <c r="M219"/>
  <c r="E219"/>
  <c r="Q219" i="7"/>
  <c r="M219"/>
  <c r="E219"/>
  <c r="U218" i="10"/>
  <c r="G218"/>
  <c r="BK208" i="13"/>
  <c r="BE208"/>
  <c r="AE208"/>
  <c r="BK213" i="14"/>
  <c r="BE213"/>
  <c r="AE213"/>
  <c r="BL216" i="6"/>
  <c r="BF216"/>
  <c r="AF216"/>
  <c r="Q217" i="4"/>
  <c r="Q217" i="1"/>
  <c r="Q218" i="3"/>
  <c r="M218"/>
  <c r="E218"/>
  <c r="M218" i="7"/>
  <c r="E218"/>
  <c r="U217" i="10"/>
  <c r="G217"/>
  <c r="BK212" i="14"/>
  <c r="BE212"/>
  <c r="AE212"/>
  <c r="Q216" i="5"/>
  <c r="W216" i="4"/>
  <c r="Q216"/>
  <c r="Q216" i="1"/>
  <c r="Q217" i="3"/>
  <c r="M217"/>
  <c r="E217"/>
  <c r="M217" i="7"/>
  <c r="S216" i="8"/>
  <c r="U216" i="9"/>
  <c r="K216"/>
  <c r="U216" i="10"/>
  <c r="BK211" i="14"/>
  <c r="AE211"/>
  <c r="BL214" i="6"/>
  <c r="BJ214"/>
  <c r="AF214"/>
  <c r="G215" i="5"/>
  <c r="W215" i="4"/>
  <c r="G215" i="2"/>
  <c r="Q216" i="3"/>
  <c r="M216"/>
  <c r="M216" i="7"/>
  <c r="U215" i="10"/>
  <c r="E215" i="8"/>
  <c r="K215" i="9"/>
  <c r="E215" i="12"/>
  <c r="AE210" i="14"/>
  <c r="AF213" i="6"/>
  <c r="Q214" i="1"/>
  <c r="Q215" i="3"/>
  <c r="M215"/>
  <c r="E215"/>
  <c r="M215" i="7"/>
  <c r="E215"/>
  <c r="U214" i="10"/>
  <c r="G214"/>
  <c r="BK209" i="14"/>
  <c r="BI209"/>
  <c r="AE209"/>
  <c r="AL213" i="5"/>
  <c r="W213" i="4"/>
  <c r="M214" i="3"/>
  <c r="M214" i="7"/>
  <c r="O213" i="9"/>
  <c r="M213"/>
  <c r="K213"/>
  <c r="U213" i="10"/>
  <c r="G213"/>
  <c r="E213" i="12"/>
  <c r="BL211" i="6"/>
  <c r="BJ211"/>
  <c r="AF211"/>
  <c r="I212" i="5"/>
  <c r="W212" i="4"/>
  <c r="Q212"/>
  <c r="Q212" i="1"/>
  <c r="Q213" i="3"/>
  <c r="M213"/>
  <c r="M213" i="7"/>
  <c r="K212" i="8"/>
  <c r="U212" i="10"/>
  <c r="BL210" i="6"/>
  <c r="BJ210"/>
  <c r="BF210"/>
  <c r="AF210"/>
  <c r="W211" i="4"/>
  <c r="Q211"/>
  <c r="Q211" i="1"/>
  <c r="Q212" i="3"/>
  <c r="M212"/>
  <c r="E212"/>
  <c r="M212" i="7"/>
  <c r="K211" i="9"/>
  <c r="U211" i="10"/>
  <c r="G211"/>
  <c r="BK200" i="15"/>
  <c r="AE200"/>
  <c r="E200"/>
  <c r="BK199"/>
  <c r="AE199"/>
  <c r="M199"/>
  <c r="BK206" i="14" l="1"/>
  <c r="BI206"/>
  <c r="BE206"/>
  <c r="AE206"/>
  <c r="BL209" i="6"/>
  <c r="BJ209"/>
  <c r="BF209"/>
  <c r="AF209"/>
  <c r="E209"/>
  <c r="W210" i="4"/>
  <c r="Q210"/>
  <c r="Q210" i="1"/>
  <c r="Q211" i="3"/>
  <c r="M211"/>
  <c r="M211" i="7"/>
  <c r="U210" i="9"/>
  <c r="M210"/>
  <c r="K210"/>
  <c r="U210" i="10"/>
  <c r="I210" i="12"/>
  <c r="BK200" i="13"/>
  <c r="BE200"/>
  <c r="AE200"/>
  <c r="M200"/>
  <c r="AE205" i="14"/>
  <c r="M205"/>
  <c r="G205"/>
  <c r="BL208" i="6"/>
  <c r="AF208"/>
  <c r="G208"/>
  <c r="Q209" i="4"/>
  <c r="Q209" i="1"/>
  <c r="Q210" i="3"/>
  <c r="M210"/>
  <c r="M210" i="7"/>
  <c r="M209" i="9"/>
  <c r="K209"/>
  <c r="U209" i="10"/>
  <c r="G209"/>
  <c r="BK199" i="13"/>
  <c r="BE199"/>
  <c r="AE199"/>
  <c r="BK204" i="14"/>
  <c r="BI204"/>
  <c r="BE204"/>
  <c r="AE204"/>
  <c r="BL207" i="6"/>
  <c r="BJ207"/>
  <c r="BF207"/>
  <c r="AF207"/>
  <c r="W208" i="4"/>
  <c r="Q208"/>
  <c r="Q208" i="1"/>
  <c r="Q208" i="3"/>
  <c r="M208"/>
  <c r="E208"/>
  <c r="M208" i="7"/>
  <c r="U208" i="9"/>
  <c r="K208"/>
  <c r="U208" i="10"/>
  <c r="G208"/>
  <c r="K208" i="12"/>
  <c r="Q207" i="5"/>
  <c r="W207" i="4"/>
  <c r="Q207"/>
  <c r="Q207" i="2"/>
  <c r="Q207" i="1"/>
  <c r="Q207" i="3"/>
  <c r="M207"/>
  <c r="E207"/>
  <c r="M207" i="7"/>
  <c r="U207" i="10"/>
  <c r="G207"/>
  <c r="Q207" i="12"/>
  <c r="BK202" i="14"/>
  <c r="BE202"/>
  <c r="AE202"/>
  <c r="BL205" i="6"/>
  <c r="BF205"/>
  <c r="AF205"/>
  <c r="W206" i="4"/>
  <c r="AL206" i="5"/>
  <c r="I206" i="4"/>
  <c r="W206" i="1"/>
  <c r="I206"/>
  <c r="Q206" i="3"/>
  <c r="M206"/>
  <c r="E206"/>
  <c r="M206" i="7"/>
  <c r="E206"/>
  <c r="Q206" i="9"/>
  <c r="U206" i="10"/>
  <c r="G206"/>
  <c r="O206" i="12"/>
  <c r="E206"/>
  <c r="G206"/>
  <c r="W205" i="4"/>
  <c r="Q205"/>
  <c r="Q205" i="1"/>
  <c r="Q205" i="3"/>
  <c r="O205"/>
  <c r="M205"/>
  <c r="E205"/>
  <c r="O205" i="7"/>
  <c r="M205"/>
  <c r="E205"/>
  <c r="AD205" i="9"/>
  <c r="O205"/>
  <c r="U205" i="10"/>
  <c r="G205"/>
  <c r="BK200" i="14"/>
  <c r="BG200"/>
  <c r="AE200"/>
  <c r="BL203" i="6"/>
  <c r="BH203"/>
  <c r="BF203"/>
  <c r="AF203"/>
  <c r="Q204" i="3"/>
  <c r="M204"/>
  <c r="E204"/>
  <c r="M204" i="7"/>
  <c r="E204"/>
  <c r="O204" i="9"/>
  <c r="U204" i="10"/>
  <c r="G204"/>
  <c r="Q203" i="5"/>
  <c r="G203"/>
  <c r="E203"/>
  <c r="W203" i="4"/>
  <c r="Q203"/>
  <c r="Q203" i="2"/>
  <c r="G203"/>
  <c r="E203"/>
  <c r="Q203" i="1"/>
  <c r="Q203" i="3"/>
  <c r="M203"/>
  <c r="E203"/>
  <c r="E203" i="7"/>
  <c r="S203" i="8"/>
  <c r="Q203"/>
  <c r="E203"/>
  <c r="K203" i="9"/>
  <c r="U203" i="10"/>
  <c r="G203"/>
  <c r="K203" i="12"/>
  <c r="BL201" i="6"/>
  <c r="BJ201"/>
  <c r="AL201"/>
  <c r="AF201"/>
  <c r="G202" i="5"/>
  <c r="W202" i="4"/>
  <c r="Q202"/>
  <c r="G202" i="2"/>
  <c r="Q202" i="1"/>
  <c r="Q202" i="3"/>
  <c r="M202"/>
  <c r="M202" i="7"/>
  <c r="E202" i="8"/>
  <c r="U202" i="9"/>
  <c r="M202"/>
  <c r="K202"/>
  <c r="U202" i="10"/>
  <c r="G202"/>
  <c r="Q202" i="12"/>
  <c r="K202"/>
  <c r="W201" i="4"/>
  <c r="Q201" i="3"/>
  <c r="M201"/>
  <c r="E201"/>
  <c r="E201" i="7"/>
  <c r="U201" i="10"/>
  <c r="G201"/>
  <c r="K201" i="12"/>
  <c r="Q193"/>
  <c r="BK196" i="14"/>
  <c r="BE196"/>
  <c r="AK196"/>
  <c r="AE196"/>
  <c r="BL199" i="6"/>
  <c r="BF199"/>
  <c r="AF199"/>
  <c r="G200" i="5"/>
  <c r="I200"/>
  <c r="W200" i="4"/>
  <c r="S200"/>
  <c r="I200" i="2"/>
  <c r="G200"/>
  <c r="Q200" i="3"/>
  <c r="M200"/>
  <c r="E200"/>
  <c r="M200" i="7"/>
  <c r="U200" i="9"/>
  <c r="K200" i="8"/>
  <c r="E200"/>
  <c r="U200" i="10"/>
  <c r="G200"/>
  <c r="E200" i="12"/>
  <c r="BK190" i="13"/>
  <c r="AE190"/>
  <c r="BK195" i="14"/>
  <c r="BI195"/>
  <c r="AE195"/>
  <c r="BL198" i="6"/>
  <c r="BJ198"/>
  <c r="AF198"/>
  <c r="K198"/>
  <c r="W199" i="4"/>
  <c r="Q199"/>
  <c r="Q199" i="1"/>
  <c r="M199" i="3"/>
  <c r="Q199"/>
  <c r="M199" i="7"/>
  <c r="K199" i="9"/>
  <c r="M199"/>
  <c r="U199" i="10"/>
  <c r="G199"/>
  <c r="AE194" i="14"/>
  <c r="AF197" i="6"/>
  <c r="AB198" i="5"/>
  <c r="W198" i="4"/>
  <c r="W197" i="2"/>
  <c r="Q198" i="3"/>
  <c r="M198"/>
  <c r="E198"/>
  <c r="M198" i="7"/>
  <c r="M198" i="9"/>
  <c r="K198"/>
  <c r="U198" i="10"/>
  <c r="G198"/>
  <c r="I198" i="12"/>
  <c r="AL197" i="5"/>
  <c r="W197" i="4"/>
  <c r="Q197"/>
  <c r="Q197" i="1"/>
  <c r="Q197" i="3"/>
  <c r="M197"/>
  <c r="E197"/>
  <c r="M197" i="7"/>
  <c r="E197"/>
  <c r="U197" i="10"/>
  <c r="G197"/>
  <c r="E197" s="1"/>
  <c r="Q196" i="5"/>
  <c r="O196"/>
  <c r="G196"/>
  <c r="E196"/>
  <c r="W196" i="4"/>
  <c r="Q196"/>
  <c r="O195" i="2"/>
  <c r="Q195"/>
  <c r="G195"/>
  <c r="E195"/>
  <c r="Q196" i="1"/>
  <c r="S196" s="1"/>
  <c r="Q196" i="3"/>
  <c r="M196"/>
  <c r="Q195" i="8"/>
  <c r="I195"/>
  <c r="E195"/>
  <c r="K195" i="9"/>
  <c r="U196" i="10"/>
  <c r="G196"/>
  <c r="AS196" i="5"/>
  <c r="W195" i="4"/>
  <c r="W195" i="1"/>
  <c r="M195" i="3"/>
  <c r="M195" i="7"/>
  <c r="K194" i="9"/>
  <c r="U194"/>
  <c r="U195" i="10"/>
  <c r="G195"/>
  <c r="BK190" i="14"/>
  <c r="BI190"/>
  <c r="BE190"/>
  <c r="AE190"/>
  <c r="K190"/>
  <c r="BL193" i="6"/>
  <c r="BJ193"/>
  <c r="BF193"/>
  <c r="AF193"/>
  <c r="G194" i="5"/>
  <c r="E194"/>
  <c r="W194" i="4"/>
  <c r="Q194"/>
  <c r="I194"/>
  <c r="G193" i="2"/>
  <c r="E193"/>
  <c r="Q194" i="1"/>
  <c r="I194"/>
  <c r="Q194" i="3"/>
  <c r="M194"/>
  <c r="M194" i="7"/>
  <c r="E193" i="8"/>
  <c r="Q193"/>
  <c r="O193" i="9"/>
  <c r="M193"/>
  <c r="K193"/>
  <c r="U194" i="10"/>
  <c r="G194"/>
  <c r="Q193" i="5"/>
  <c r="W193" i="4"/>
  <c r="Q193"/>
  <c r="Q192" i="2"/>
  <c r="Q193" i="1"/>
  <c r="Q193" i="3"/>
  <c r="M193"/>
  <c r="E193"/>
  <c r="M193" i="7"/>
  <c r="U193" i="10"/>
  <c r="G193"/>
  <c r="Y193" i="12"/>
  <c r="BI188" i="14"/>
  <c r="BE188"/>
  <c r="AE188"/>
  <c r="AI188" s="1"/>
  <c r="BJ191" i="6"/>
  <c r="BF191"/>
  <c r="E191"/>
  <c r="Q192" i="3"/>
  <c r="M192"/>
  <c r="M192" i="7"/>
  <c r="O191" i="9"/>
  <c r="K191"/>
  <c r="U192" i="10"/>
  <c r="G192"/>
  <c r="W191" i="4"/>
  <c r="Q191" i="3"/>
  <c r="M191"/>
  <c r="M191" i="7"/>
  <c r="O190" i="9"/>
  <c r="K190"/>
  <c r="U191" i="10"/>
  <c r="G191"/>
  <c r="E191" s="1"/>
  <c r="Q190" i="4"/>
  <c r="Q190" i="3"/>
  <c r="O189" i="9"/>
  <c r="K189"/>
  <c r="U190" i="10"/>
  <c r="G190"/>
  <c r="BK185" i="14"/>
  <c r="BI185"/>
  <c r="BG185"/>
  <c r="BL188" i="6"/>
  <c r="BJ188"/>
  <c r="BF188"/>
  <c r="E188"/>
  <c r="W189" i="4"/>
  <c r="Q189" i="3"/>
  <c r="M189"/>
  <c r="O189"/>
  <c r="E189"/>
  <c r="O189" i="7"/>
  <c r="M189"/>
  <c r="W188" i="8"/>
  <c r="M188" i="9"/>
  <c r="K188"/>
  <c r="U189" i="10"/>
  <c r="G189"/>
  <c r="BK183" i="14"/>
  <c r="BI183"/>
  <c r="BE183"/>
  <c r="AQ183"/>
  <c r="AE183"/>
  <c r="BL186" i="6"/>
  <c r="BJ186"/>
  <c r="BF186"/>
  <c r="AR186"/>
  <c r="AF186"/>
  <c r="Q187" i="4"/>
  <c r="Q187" i="1"/>
  <c r="M187" i="3"/>
  <c r="Q187"/>
  <c r="E187"/>
  <c r="M187" i="7"/>
  <c r="E187"/>
  <c r="K186" i="9"/>
  <c r="U187" i="10"/>
  <c r="G187"/>
  <c r="K187" i="12"/>
  <c r="BL185" i="6"/>
  <c r="BF185"/>
  <c r="AF185"/>
  <c r="M185"/>
  <c r="G185"/>
  <c r="W186" i="4"/>
  <c r="W186" i="1"/>
  <c r="Q186" i="3"/>
  <c r="M186"/>
  <c r="U185" i="9"/>
  <c r="K185"/>
  <c r="U186" i="10"/>
  <c r="G186"/>
  <c r="BK181" i="14"/>
  <c r="BI181"/>
  <c r="AE181"/>
  <c r="BJ184" i="6"/>
  <c r="BL184"/>
  <c r="AF184"/>
  <c r="K184"/>
  <c r="I185" i="5"/>
  <c r="G185"/>
  <c r="W185" i="4"/>
  <c r="Q185"/>
  <c r="I184" i="2"/>
  <c r="G184"/>
  <c r="Q185" i="1"/>
  <c r="Q185" i="3"/>
  <c r="M185"/>
  <c r="E185"/>
  <c r="M185" i="7"/>
  <c r="K184" i="8"/>
  <c r="E184"/>
  <c r="M184" i="9"/>
  <c r="U185" i="10"/>
  <c r="G185"/>
  <c r="E185" i="12"/>
  <c r="Q184" i="4"/>
  <c r="M184"/>
  <c r="Q184" i="1"/>
  <c r="M184"/>
  <c r="Q184" i="3"/>
  <c r="M184"/>
  <c r="M184" i="7"/>
  <c r="Q183" i="9"/>
  <c r="U184" i="10"/>
  <c r="O184"/>
  <c r="G184"/>
  <c r="E184" i="12"/>
  <c r="BK173" i="15"/>
  <c r="AE173"/>
  <c r="BK179" i="14"/>
  <c r="BI179"/>
  <c r="AE179"/>
  <c r="BL182" i="6"/>
  <c r="BJ182"/>
  <c r="BH182"/>
  <c r="AF182"/>
  <c r="W183" i="4"/>
  <c r="Q183" i="3"/>
  <c r="M183"/>
  <c r="Q183" i="4"/>
  <c r="Q182" i="1"/>
  <c r="M183" i="7"/>
  <c r="K182" i="9"/>
  <c r="U183" i="10"/>
  <c r="G183"/>
  <c r="BK178" i="14"/>
  <c r="BI178"/>
  <c r="BE178"/>
  <c r="AE178"/>
  <c r="BL181" i="6"/>
  <c r="BJ181"/>
  <c r="AF181"/>
  <c r="E181"/>
  <c r="G182" i="5"/>
  <c r="W182" i="4"/>
  <c r="Q182"/>
  <c r="Q181" i="1"/>
  <c r="Q182" i="3"/>
  <c r="M182"/>
  <c r="M182" i="7"/>
  <c r="E181" i="8"/>
  <c r="O181" i="9"/>
  <c r="K181"/>
  <c r="U182" i="10"/>
  <c r="G182"/>
  <c r="BK172" i="13"/>
  <c r="BE172"/>
  <c r="AE172"/>
  <c r="BK177" i="14"/>
  <c r="BE177"/>
  <c r="AE177"/>
  <c r="E177"/>
  <c r="BL180" i="6"/>
  <c r="BF180"/>
  <c r="AF180"/>
  <c r="K180"/>
  <c r="W181" i="4"/>
  <c r="M181"/>
  <c r="I181"/>
  <c r="M180" i="1"/>
  <c r="I180"/>
  <c r="M181" i="3"/>
  <c r="E181"/>
  <c r="M181" i="7"/>
  <c r="E181"/>
  <c r="U181" i="10"/>
  <c r="G181"/>
  <c r="Q181" i="12"/>
  <c r="BK176" i="14"/>
  <c r="BI176"/>
  <c r="BE176"/>
  <c r="AE176"/>
  <c r="BL178" i="6"/>
  <c r="BF178"/>
  <c r="AF178"/>
  <c r="E178"/>
  <c r="AL179" i="5"/>
  <c r="AB179"/>
  <c r="W180" i="4"/>
  <c r="Q180"/>
  <c r="I180"/>
  <c r="Q179" i="1"/>
  <c r="Q180" i="3"/>
  <c r="M180"/>
  <c r="M180" i="7"/>
  <c r="K179" i="9"/>
  <c r="O179"/>
  <c r="U180" i="10"/>
  <c r="G180"/>
  <c r="BK174" i="14"/>
  <c r="BI174"/>
  <c r="BE174"/>
  <c r="AE174"/>
  <c r="M174"/>
  <c r="AF177" i="6"/>
  <c r="Q179" i="4"/>
  <c r="Q178" i="1"/>
  <c r="Q179" i="3"/>
  <c r="M179"/>
  <c r="E179"/>
  <c r="M179" i="7"/>
  <c r="E179"/>
  <c r="E180" i="10"/>
  <c r="U179"/>
  <c r="G179"/>
  <c r="G177" i="5"/>
  <c r="W178" i="4"/>
  <c r="Q178"/>
  <c r="I178"/>
  <c r="Q177" i="1"/>
  <c r="I177"/>
  <c r="Q178" i="3"/>
  <c r="M178"/>
  <c r="M178" i="7"/>
  <c r="E177" i="8"/>
  <c r="O177" i="9"/>
  <c r="K177"/>
  <c r="U178" i="10"/>
  <c r="G178"/>
  <c r="BI172" i="14"/>
  <c r="BE172"/>
  <c r="AE172"/>
  <c r="BJ175" i="6"/>
  <c r="BF175"/>
  <c r="AF175"/>
  <c r="I176" i="5"/>
  <c r="W176" i="4"/>
  <c r="Q176"/>
  <c r="Q176" i="1"/>
  <c r="M177" i="3"/>
  <c r="Q177"/>
  <c r="K176" i="8"/>
  <c r="K176" i="9"/>
  <c r="U177" i="10"/>
  <c r="G177"/>
  <c r="AB175" i="5"/>
  <c r="W175" i="4"/>
  <c r="Q176" i="3"/>
  <c r="M176"/>
  <c r="E176"/>
  <c r="M176" i="7"/>
  <c r="K175" i="9"/>
  <c r="U176" i="10"/>
  <c r="G176"/>
  <c r="K176" i="12"/>
  <c r="W174" i="4"/>
  <c r="Q174"/>
  <c r="Q174" i="1"/>
  <c r="Q175" i="3"/>
  <c r="M175"/>
  <c r="E175"/>
  <c r="M175" i="7"/>
  <c r="E175"/>
  <c r="M174" i="9"/>
  <c r="K174"/>
  <c r="U175" i="10"/>
  <c r="G175"/>
  <c r="K175" i="12"/>
  <c r="BK165" i="13"/>
  <c r="BG165"/>
  <c r="AE165"/>
  <c r="BK169" i="14"/>
  <c r="BI169"/>
  <c r="AE169"/>
  <c r="BL172" i="6"/>
  <c r="BJ172"/>
  <c r="BF172"/>
  <c r="AF172"/>
  <c r="W173" i="4"/>
  <c r="Q173"/>
  <c r="W173" i="1"/>
  <c r="Q173"/>
  <c r="M174" i="3"/>
  <c r="Q174"/>
  <c r="E174"/>
  <c r="M174" i="7"/>
  <c r="E174"/>
  <c r="U174" i="10"/>
  <c r="G174"/>
  <c r="Q174" i="12"/>
  <c r="K174"/>
  <c r="BK168" i="14"/>
  <c r="BI168"/>
  <c r="AE168"/>
  <c r="BL171" i="6"/>
  <c r="BF171"/>
  <c r="AF171"/>
  <c r="AL172" i="5"/>
  <c r="W172" i="4"/>
  <c r="Q172"/>
  <c r="Q172" i="1"/>
  <c r="Q173" i="3"/>
  <c r="M173"/>
  <c r="M173" i="7"/>
  <c r="U173" i="10"/>
  <c r="G173"/>
  <c r="E173" i="12"/>
  <c r="BK163" i="13"/>
  <c r="AE163"/>
  <c r="S163"/>
  <c r="BK167" i="14"/>
  <c r="AE167"/>
  <c r="BL170" i="6"/>
  <c r="BJ170"/>
  <c r="BH170"/>
  <c r="AF170"/>
  <c r="S170"/>
  <c r="G171" i="5"/>
  <c r="G171" i="2"/>
  <c r="Q172" i="3"/>
  <c r="E171" i="8"/>
  <c r="M171" i="9"/>
  <c r="BI166" i="14"/>
  <c r="BE166"/>
  <c r="AE166"/>
  <c r="AF169" i="6"/>
  <c r="W170" i="4"/>
  <c r="Q170"/>
  <c r="Q170" i="1"/>
  <c r="Q171" i="3"/>
  <c r="M171"/>
  <c r="E171"/>
  <c r="M171" i="7"/>
  <c r="E171"/>
  <c r="U171" i="10"/>
  <c r="G171"/>
  <c r="Q171" i="12"/>
  <c r="K171"/>
  <c r="BK165" i="14"/>
  <c r="BI165"/>
  <c r="AE165"/>
  <c r="BL168" i="6"/>
  <c r="BJ168"/>
  <c r="AF168"/>
  <c r="AL169" i="5"/>
  <c r="W169" i="4"/>
  <c r="Q170" i="3"/>
  <c r="M170"/>
  <c r="E170"/>
  <c r="U169" i="9"/>
  <c r="M169"/>
  <c r="K169"/>
  <c r="U170" i="10"/>
  <c r="E170" i="12"/>
  <c r="BK159" i="13"/>
  <c r="AE159"/>
  <c r="M159"/>
  <c r="G159"/>
  <c r="BI163" i="14"/>
  <c r="AE163"/>
  <c r="M163"/>
  <c r="AF166" i="6"/>
  <c r="M166"/>
  <c r="W167" i="4"/>
  <c r="Q167"/>
  <c r="Q167" i="1"/>
  <c r="Q168" i="3"/>
  <c r="M168"/>
  <c r="E168"/>
  <c r="M168" i="7"/>
  <c r="E168"/>
  <c r="U168" i="10"/>
  <c r="G168"/>
  <c r="BK162" i="14"/>
  <c r="BI162"/>
  <c r="AE162"/>
  <c r="K162"/>
  <c r="BL165" i="6"/>
  <c r="AF165"/>
  <c r="AC166" i="2"/>
  <c r="Q167" i="3"/>
  <c r="M167"/>
  <c r="E167"/>
  <c r="M167" i="7"/>
  <c r="E167"/>
  <c r="K166" i="9"/>
  <c r="U166" i="10"/>
  <c r="G166"/>
  <c r="BL164" i="6"/>
  <c r="BJ164"/>
  <c r="AF164"/>
  <c r="G165" i="5"/>
  <c r="E165"/>
  <c r="W165" i="4"/>
  <c r="Q165"/>
  <c r="I165"/>
  <c r="G165" i="2"/>
  <c r="E165"/>
  <c r="Q165" i="1"/>
  <c r="Q166" i="3"/>
  <c r="E166"/>
  <c r="U165" i="8"/>
  <c r="Q165"/>
  <c r="E165"/>
  <c r="U165" i="10"/>
  <c r="G165"/>
  <c r="Q165" i="12"/>
  <c r="K165"/>
  <c r="BK155" i="15"/>
  <c r="AE155"/>
  <c r="BK160" i="14"/>
  <c r="BI160"/>
  <c r="AE160"/>
  <c r="BL163" i="6"/>
  <c r="BJ163"/>
  <c r="BF163"/>
  <c r="AF163"/>
  <c r="Q164" i="4"/>
  <c r="Q164" i="1"/>
  <c r="Q165" i="3"/>
  <c r="M165"/>
  <c r="E165"/>
  <c r="E165" i="7"/>
  <c r="K164" i="9"/>
  <c r="U164" i="10"/>
  <c r="G164"/>
  <c r="K164" i="12"/>
  <c r="Q163" i="4"/>
  <c r="Q163" i="1"/>
  <c r="Q164" i="3"/>
  <c r="E164"/>
  <c r="E164" i="7"/>
  <c r="M163" i="9"/>
  <c r="K163"/>
  <c r="U163" i="10"/>
  <c r="G163"/>
  <c r="W162" i="4"/>
  <c r="Q162"/>
  <c r="Q162" i="1"/>
  <c r="Q163" i="3"/>
  <c r="M163"/>
  <c r="M163" i="7"/>
  <c r="U162" i="10"/>
  <c r="G162"/>
  <c r="BK157" i="14"/>
  <c r="BI157"/>
  <c r="AE157"/>
  <c r="W161" i="4"/>
  <c r="Q161"/>
  <c r="Q161" i="1"/>
  <c r="Q162" i="3"/>
  <c r="M162"/>
  <c r="M162" i="7"/>
  <c r="K161" i="9"/>
  <c r="G161" i="10"/>
  <c r="BK156" i="14"/>
  <c r="BI156"/>
  <c r="BE156"/>
  <c r="AE156"/>
  <c r="BL159" i="6"/>
  <c r="BJ159"/>
  <c r="BF159"/>
  <c r="AF159"/>
  <c r="K159"/>
  <c r="W160" i="4"/>
  <c r="Q161" i="3"/>
  <c r="M161"/>
  <c r="M161" i="7"/>
  <c r="K160" i="9"/>
  <c r="U160" i="10"/>
  <c r="G160"/>
  <c r="K160" i="12"/>
  <c r="BK155" i="14"/>
  <c r="BI155"/>
  <c r="BE155"/>
  <c r="AE155"/>
  <c r="W159" i="4"/>
  <c r="M159" i="9"/>
  <c r="K159"/>
  <c r="U159" i="10"/>
  <c r="G159"/>
  <c r="Q159" i="12"/>
  <c r="AE154" i="14"/>
  <c r="BJ157" i="6"/>
  <c r="BF157"/>
  <c r="AF157"/>
  <c r="I158" i="5"/>
  <c r="G158"/>
  <c r="Q158" i="4"/>
  <c r="Q158" i="1"/>
  <c r="Q159" i="3"/>
  <c r="M159"/>
  <c r="E159"/>
  <c r="M159" i="7"/>
  <c r="E159"/>
  <c r="K158" i="8"/>
  <c r="E158"/>
  <c r="M158" i="9"/>
  <c r="K158"/>
  <c r="U158" i="10"/>
  <c r="G158"/>
  <c r="BK149" i="13"/>
  <c r="AE149"/>
  <c r="BK153" i="14"/>
  <c r="BI153"/>
  <c r="AE153"/>
  <c r="BL156" i="6"/>
  <c r="BJ156"/>
  <c r="AF156"/>
  <c r="AH157" i="5"/>
  <c r="W157" i="4"/>
  <c r="Q157"/>
  <c r="Q157" i="1"/>
  <c r="M157" i="3"/>
  <c r="Q157"/>
  <c r="M157" i="7"/>
  <c r="U157" i="9"/>
  <c r="M157"/>
  <c r="K157"/>
  <c r="U157" i="10"/>
  <c r="G157"/>
  <c r="BK152" i="14"/>
  <c r="BI152"/>
  <c r="AE152"/>
  <c r="BL155" i="6"/>
  <c r="BF155"/>
  <c r="AF155"/>
  <c r="W156" i="4"/>
  <c r="Q156"/>
  <c r="S156" s="1"/>
  <c r="Q156" i="1"/>
  <c r="Q156" i="3"/>
  <c r="M156"/>
  <c r="E156"/>
  <c r="M156" i="7"/>
  <c r="E156"/>
  <c r="K156" i="9"/>
  <c r="U156" i="10"/>
  <c r="G156"/>
  <c r="BK151" i="14"/>
  <c r="BI151"/>
  <c r="AE151"/>
  <c r="K151"/>
  <c r="BL154" i="6"/>
  <c r="BJ154"/>
  <c r="AF154"/>
  <c r="W155" i="4"/>
  <c r="Q155"/>
  <c r="Q155" i="1"/>
  <c r="Q155" i="3"/>
  <c r="M155"/>
  <c r="M155" i="7"/>
  <c r="M155" i="9"/>
  <c r="K155"/>
  <c r="U155" i="10"/>
  <c r="G155"/>
  <c r="Q154" i="4"/>
  <c r="Q154" i="1"/>
  <c r="Q154" i="3"/>
  <c r="M154" i="9"/>
  <c r="K154"/>
  <c r="U154" i="10"/>
  <c r="G154"/>
  <c r="BJ153" i="6"/>
  <c r="BL153"/>
  <c r="BK150" i="14"/>
  <c r="BI150"/>
  <c r="AE150"/>
  <c r="AF153" i="6"/>
  <c r="W153" i="4"/>
  <c r="Q153"/>
  <c r="W153" i="1"/>
  <c r="Q153"/>
  <c r="M153" i="3"/>
  <c r="Q153"/>
  <c r="E153"/>
  <c r="M153" i="7"/>
  <c r="O153" i="9"/>
  <c r="U153" i="10"/>
  <c r="G153"/>
  <c r="I153" i="12"/>
  <c r="G153"/>
  <c r="E153"/>
  <c r="BK149" i="14"/>
  <c r="BI149"/>
  <c r="AE149"/>
  <c r="BL152" i="6"/>
  <c r="BJ152"/>
  <c r="AF152"/>
  <c r="E152"/>
  <c r="AL152" i="5"/>
  <c r="G152"/>
  <c r="W152" i="4"/>
  <c r="G152" i="2"/>
  <c r="Q152" i="3"/>
  <c r="E152" i="8"/>
  <c r="M152" i="9"/>
  <c r="K152"/>
  <c r="U152" i="10"/>
  <c r="G152"/>
  <c r="K152" i="12"/>
  <c r="AE143" i="15"/>
  <c r="BG144" i="13"/>
  <c r="AE144"/>
  <c r="BK148" i="14"/>
  <c r="BE148"/>
  <c r="BI148"/>
  <c r="BG148"/>
  <c r="AE148"/>
  <c r="BL151" i="6"/>
  <c r="BJ151"/>
  <c r="BH151"/>
  <c r="BF151"/>
  <c r="AF151"/>
  <c r="W151" i="4"/>
  <c r="Q151"/>
  <c r="W151" i="1"/>
  <c r="Q151"/>
  <c r="M151" i="3"/>
  <c r="M151" i="7"/>
  <c r="U151" i="10"/>
  <c r="G151"/>
  <c r="BF150" i="6"/>
  <c r="AF150"/>
  <c r="Q150" i="3"/>
  <c r="M150" i="9"/>
  <c r="K150"/>
  <c r="U150" i="10" l="1"/>
  <c r="G150"/>
  <c r="E150" i="12"/>
  <c r="BK146" i="14"/>
  <c r="BE146"/>
  <c r="AE146"/>
  <c r="BL149" i="6"/>
  <c r="BJ149"/>
  <c r="BH149"/>
  <c r="BF149"/>
  <c r="AF149"/>
  <c r="S149"/>
  <c r="W149" i="4"/>
  <c r="Q149"/>
  <c r="Q149" i="1"/>
  <c r="M149" i="3"/>
  <c r="Q149"/>
  <c r="E149"/>
  <c r="M149" i="7"/>
  <c r="E149"/>
  <c r="K149" i="9"/>
  <c r="U149" i="10"/>
  <c r="G149"/>
  <c r="AL148" i="5"/>
  <c r="W148" i="4"/>
  <c r="K148" i="9"/>
  <c r="U148" i="10"/>
  <c r="G148"/>
  <c r="S147" i="5"/>
  <c r="W147" i="4"/>
  <c r="Q147"/>
  <c r="I147"/>
  <c r="W147" i="1"/>
  <c r="Q147"/>
  <c r="Q147" i="3"/>
  <c r="M147"/>
  <c r="M147" i="7"/>
  <c r="U147" i="9"/>
  <c r="Q147"/>
  <c r="K147"/>
  <c r="U147" i="10"/>
  <c r="K147" i="12"/>
  <c r="W146" i="4"/>
  <c r="Q146"/>
  <c r="W146" i="1"/>
  <c r="Q146"/>
  <c r="Q146" i="3"/>
  <c r="M146"/>
  <c r="E146"/>
  <c r="M146" i="7"/>
  <c r="E146"/>
  <c r="U146" i="10"/>
  <c r="G146"/>
  <c r="BL145" i="6"/>
  <c r="BJ145"/>
  <c r="AF145"/>
  <c r="Q145" i="3"/>
  <c r="O145" i="9"/>
  <c r="U145" i="10"/>
  <c r="G145"/>
  <c r="BK141" i="14"/>
  <c r="BI141"/>
  <c r="AE141"/>
  <c r="BL144" i="6"/>
  <c r="BJ144"/>
  <c r="AF144"/>
  <c r="W144" i="4"/>
  <c r="AS145" i="5"/>
  <c r="AS144"/>
  <c r="Q144" i="4"/>
  <c r="Q144" i="3"/>
  <c r="Q144" i="1"/>
  <c r="O144" i="9"/>
  <c r="E145" i="10"/>
  <c r="U144"/>
  <c r="G144"/>
  <c r="BE135" i="15"/>
  <c r="AE135"/>
  <c r="BK140" i="14"/>
  <c r="BE140"/>
  <c r="AE140"/>
  <c r="BL143" i="6"/>
  <c r="BF143"/>
  <c r="AF143"/>
  <c r="W143" i="4"/>
  <c r="Q143"/>
  <c r="Q143" i="1"/>
  <c r="Q143" i="3"/>
  <c r="M143"/>
  <c r="E143"/>
  <c r="M143" i="7"/>
  <c r="O143" i="9"/>
  <c r="U143" i="10"/>
  <c r="G143"/>
  <c r="Q143" i="12"/>
  <c r="I142" i="5"/>
  <c r="G142"/>
  <c r="W142" i="4"/>
  <c r="I142" i="2"/>
  <c r="G142"/>
  <c r="Q142" i="3"/>
  <c r="M142"/>
  <c r="M142" i="7"/>
  <c r="K142" i="8"/>
  <c r="E142"/>
  <c r="M142" i="9"/>
  <c r="K142"/>
  <c r="U142" i="10"/>
  <c r="G142"/>
  <c r="M142" i="12"/>
  <c r="BK138" i="14"/>
  <c r="BE138"/>
  <c r="AE138"/>
  <c r="BL141" i="6"/>
  <c r="BF141"/>
  <c r="AF141"/>
  <c r="AL141" i="5"/>
  <c r="Q141"/>
  <c r="W141" i="4"/>
  <c r="Q141" i="3"/>
  <c r="M141"/>
  <c r="E141"/>
  <c r="M141" i="7"/>
  <c r="K141" i="9"/>
  <c r="M141"/>
  <c r="U141" i="10"/>
  <c r="G141"/>
  <c r="W140" i="4"/>
  <c r="Q140"/>
  <c r="Q140" i="1"/>
  <c r="Q140" i="3"/>
  <c r="M140"/>
  <c r="K140" i="9"/>
  <c r="U140" i="10"/>
  <c r="G140"/>
  <c r="K140" i="12"/>
  <c r="G139" i="5"/>
  <c r="W139" i="4"/>
  <c r="Q139"/>
  <c r="I139"/>
  <c r="G139" i="2"/>
  <c r="Q139" i="1"/>
  <c r="Q139" i="3"/>
  <c r="M139"/>
  <c r="M139" i="7"/>
  <c r="E139" i="8"/>
  <c r="O139" i="9"/>
  <c r="K139"/>
  <c r="U139" i="10"/>
  <c r="I139"/>
  <c r="G139"/>
  <c r="Y139" i="12"/>
  <c r="Y138"/>
  <c r="BK130" i="15"/>
  <c r="AE130"/>
  <c r="E130"/>
  <c r="BL138" i="6"/>
  <c r="BJ138"/>
  <c r="BF138"/>
  <c r="AF138"/>
  <c r="Q138" i="3"/>
  <c r="M138"/>
  <c r="E138"/>
  <c r="W138" i="4"/>
  <c r="Q138"/>
  <c r="Q138" i="1"/>
  <c r="M138" i="7"/>
  <c r="M138" i="9"/>
  <c r="K138"/>
  <c r="U138" i="10"/>
  <c r="G138"/>
  <c r="W137" i="4"/>
  <c r="Q137"/>
  <c r="M137" i="3"/>
  <c r="Q137"/>
  <c r="E137"/>
  <c r="M137" i="7"/>
  <c r="E137"/>
  <c r="K137" i="9"/>
  <c r="G137" i="10"/>
  <c r="I137" i="12"/>
  <c r="BK132" i="14"/>
  <c r="AE133"/>
  <c r="AS146" i="5" l="1"/>
  <c r="AF136" i="6"/>
  <c r="W136" i="4"/>
  <c r="Q136"/>
  <c r="W136" i="1"/>
  <c r="Q136"/>
  <c r="Q136" i="3"/>
  <c r="M136"/>
  <c r="E136"/>
  <c r="M136" i="7"/>
  <c r="E136"/>
  <c r="U136" i="10"/>
  <c r="G136"/>
  <c r="Q136" i="12"/>
  <c r="BK127" i="15"/>
  <c r="AE127"/>
  <c r="BI132" i="14"/>
  <c r="AE132"/>
  <c r="I135" i="5"/>
  <c r="W135" i="4"/>
  <c r="Q135"/>
  <c r="Q135" i="1"/>
  <c r="Q135" i="3"/>
  <c r="M135"/>
  <c r="E135"/>
  <c r="M135" i="7"/>
  <c r="E135"/>
  <c r="M135" i="9"/>
  <c r="K135"/>
  <c r="U135" i="10"/>
  <c r="G135"/>
  <c r="Q135" i="12"/>
  <c r="BE131" i="14"/>
  <c r="AE131"/>
  <c r="Q134" i="3"/>
  <c r="M134"/>
  <c r="E134"/>
  <c r="M134" i="7"/>
  <c r="K134" i="9"/>
  <c r="U134" i="10"/>
  <c r="G134"/>
  <c r="BK130" i="14"/>
  <c r="BI130"/>
  <c r="BG130"/>
  <c r="BE130"/>
  <c r="AE130"/>
  <c r="BL133" i="6"/>
  <c r="BH133"/>
  <c r="BF133"/>
  <c r="AF133"/>
  <c r="G133" i="5"/>
  <c r="W133" i="4"/>
  <c r="Q133"/>
  <c r="I133"/>
  <c r="G132" i="2"/>
  <c r="Q133" i="1"/>
  <c r="Q133" i="3"/>
  <c r="E132" i="8"/>
  <c r="U132" i="9"/>
  <c r="O132"/>
  <c r="K132"/>
  <c r="U133" i="10"/>
  <c r="G133"/>
  <c r="Y132" i="12"/>
  <c r="BK124" i="15"/>
  <c r="AE124"/>
  <c r="BL132" i="6"/>
  <c r="BJ132"/>
  <c r="AF132"/>
  <c r="W132" i="4"/>
  <c r="Q132"/>
  <c r="Q132" i="1"/>
  <c r="Q132" i="3"/>
  <c r="M132"/>
  <c r="E132"/>
  <c r="M132" i="7"/>
  <c r="K131" i="9"/>
  <c r="U132" i="10"/>
  <c r="G132"/>
  <c r="I132" i="12"/>
  <c r="BK123" i="15"/>
  <c r="K123"/>
  <c r="BK128" i="14"/>
  <c r="BI128"/>
  <c r="BE128"/>
  <c r="AL131" i="5"/>
  <c r="M131"/>
  <c r="G131"/>
  <c r="E131"/>
  <c r="W131" i="4"/>
  <c r="Q131"/>
  <c r="G130" i="2"/>
  <c r="E130"/>
  <c r="Q131" i="1"/>
  <c r="Q131" i="3"/>
  <c r="M131"/>
  <c r="M131" i="7"/>
  <c r="M130" i="8"/>
  <c r="Q130"/>
  <c r="E130"/>
  <c r="M130" i="9"/>
  <c r="K130"/>
  <c r="U131" i="10"/>
  <c r="G131"/>
  <c r="K131" i="12"/>
  <c r="BK127" i="14"/>
  <c r="BI127"/>
  <c r="BE127"/>
  <c r="AE127"/>
  <c r="BL130" i="6"/>
  <c r="BJ130"/>
  <c r="AF130"/>
  <c r="K130"/>
  <c r="AL130" i="5"/>
  <c r="M130"/>
  <c r="G130"/>
  <c r="E130"/>
  <c r="W130" i="4"/>
  <c r="I130"/>
  <c r="G129" i="2"/>
  <c r="E129"/>
  <c r="I130" i="1"/>
  <c r="Q130" i="3"/>
  <c r="M130"/>
  <c r="E130"/>
  <c r="M130" i="7"/>
  <c r="E130"/>
  <c r="M129" i="9"/>
  <c r="E129" i="8"/>
  <c r="M129"/>
  <c r="Q129"/>
  <c r="U129" i="9"/>
  <c r="O129"/>
  <c r="K129"/>
  <c r="U130" i="10"/>
  <c r="G130"/>
  <c r="K130" i="12"/>
  <c r="BK121" i="15"/>
  <c r="W129" i="4"/>
  <c r="Q129" i="3"/>
  <c r="M129"/>
  <c r="K128" i="9"/>
  <c r="U129" i="10"/>
  <c r="G129"/>
  <c r="K129" i="12"/>
  <c r="AE125" i="14"/>
  <c r="AF128" i="6"/>
  <c r="Q128" i="3"/>
  <c r="M128"/>
  <c r="W128" i="4"/>
  <c r="Q128"/>
  <c r="Q128" i="1"/>
  <c r="E128" i="3"/>
  <c r="M128" i="7"/>
  <c r="M127" i="9"/>
  <c r="K127"/>
  <c r="U128" i="10"/>
  <c r="G128"/>
  <c r="Q127" i="4"/>
  <c r="Q127" i="1"/>
  <c r="Q127" i="3"/>
  <c r="E127"/>
  <c r="E127" i="7"/>
  <c r="G127" i="10"/>
  <c r="W126" i="4"/>
  <c r="W126" i="1"/>
  <c r="Q126" i="3"/>
  <c r="M126"/>
  <c r="M126" i="7"/>
  <c r="M125" i="9"/>
  <c r="K125"/>
  <c r="U126" i="10"/>
  <c r="G126"/>
  <c r="K126" i="12"/>
  <c r="BK120" i="14"/>
  <c r="BI120"/>
  <c r="BE120"/>
  <c r="AE120"/>
  <c r="S120"/>
  <c r="BL123" i="6"/>
  <c r="BJ123"/>
  <c r="BF123"/>
  <c r="AF123"/>
  <c r="S123"/>
  <c r="I121" i="5"/>
  <c r="W122" i="4"/>
  <c r="Q122"/>
  <c r="I122"/>
  <c r="W121" i="1"/>
  <c r="Q121"/>
  <c r="Q122" i="3"/>
  <c r="M122"/>
  <c r="E122"/>
  <c r="K121" i="8"/>
  <c r="O121" i="9"/>
  <c r="M121"/>
  <c r="K121"/>
  <c r="U122" i="10"/>
  <c r="G122"/>
  <c r="K122" i="12"/>
  <c r="W125" i="4"/>
  <c r="Q125"/>
  <c r="Q124" i="1"/>
  <c r="Q125" i="3"/>
  <c r="M125"/>
  <c r="E125"/>
  <c r="M125" i="7"/>
  <c r="E125"/>
  <c r="U125" i="10"/>
  <c r="G125"/>
  <c r="BK117" i="15"/>
  <c r="AI115"/>
  <c r="AI116"/>
  <c r="AI117"/>
  <c r="AI118"/>
  <c r="AE117"/>
  <c r="M117"/>
  <c r="AE122" i="14"/>
  <c r="M122"/>
  <c r="G122"/>
  <c r="AF125" i="6"/>
  <c r="M125"/>
  <c r="G125"/>
  <c r="W124" i="4"/>
  <c r="Q124"/>
  <c r="W123" i="1"/>
  <c r="Q123"/>
  <c r="Q124" i="3"/>
  <c r="M124"/>
  <c r="E124"/>
  <c r="M124" i="7"/>
  <c r="E124"/>
  <c r="U124" i="10"/>
  <c r="G124"/>
  <c r="BK121" i="14"/>
  <c r="BE121"/>
  <c r="AE121"/>
  <c r="BL124" i="6"/>
  <c r="BJ124"/>
  <c r="BF124"/>
  <c r="AF124"/>
  <c r="Q123" i="4"/>
  <c r="Q122" i="1"/>
  <c r="Q123" i="3"/>
  <c r="M123"/>
  <c r="M123" i="7"/>
  <c r="U123" i="10"/>
  <c r="G123"/>
  <c r="BK114" i="15"/>
  <c r="AE114"/>
  <c r="BK119" i="14"/>
  <c r="BI119"/>
  <c r="AE119"/>
  <c r="BL122" i="6"/>
  <c r="BJ122"/>
  <c r="AF122"/>
  <c r="W120" i="4"/>
  <c r="Q121" i="3"/>
  <c r="M121"/>
  <c r="E121"/>
  <c r="M121" i="7"/>
  <c r="M120" i="9"/>
  <c r="K120"/>
  <c r="G121" i="10"/>
  <c r="K121" i="12"/>
  <c r="E121"/>
  <c r="BK118" i="14"/>
  <c r="BI118"/>
  <c r="BG118"/>
  <c r="AE118"/>
  <c r="BL121" i="6"/>
  <c r="BH121"/>
  <c r="AF121"/>
  <c r="G119" i="5"/>
  <c r="G119" i="2"/>
  <c r="AD119" i="9"/>
  <c r="E119" i="8"/>
  <c r="M119" i="9"/>
  <c r="K119"/>
  <c r="U120" i="10"/>
  <c r="G120"/>
  <c r="BK117" i="14"/>
  <c r="BI117"/>
  <c r="BG117"/>
  <c r="BE117"/>
  <c r="AE117"/>
  <c r="BL120" i="6"/>
  <c r="BF120"/>
  <c r="AF120"/>
  <c r="E120"/>
  <c r="W118" i="4"/>
  <c r="Q118"/>
  <c r="W118" i="1"/>
  <c r="Q118"/>
  <c r="Q119" i="3"/>
  <c r="M119"/>
  <c r="M119" i="7"/>
  <c r="U118" i="9"/>
  <c r="U119" i="10"/>
  <c r="G119"/>
  <c r="AE111" i="15"/>
  <c r="BK112" i="13"/>
  <c r="BG112"/>
  <c r="AE112"/>
  <c r="S112"/>
  <c r="BK116" i="14"/>
  <c r="BG116"/>
  <c r="AE116"/>
  <c r="S116"/>
  <c r="BL119" i="6"/>
  <c r="BH119"/>
  <c r="AF119"/>
  <c r="S119"/>
  <c r="E119"/>
  <c r="G117" i="5"/>
  <c r="W117" i="4"/>
  <c r="I117"/>
  <c r="W117" i="1"/>
  <c r="M118" i="3"/>
  <c r="M118" i="7"/>
  <c r="E117" i="8"/>
  <c r="K117" i="9"/>
  <c r="U117"/>
  <c r="O117"/>
  <c r="U118" i="10"/>
  <c r="G118"/>
  <c r="BK110" i="15"/>
  <c r="BI110"/>
  <c r="AE110"/>
  <c r="BK115" i="14"/>
  <c r="BI115"/>
  <c r="BG115"/>
  <c r="AE115"/>
  <c r="BL118" i="6"/>
  <c r="BJ118"/>
  <c r="BH118"/>
  <c r="AF118"/>
  <c r="W116" i="4"/>
  <c r="Q116"/>
  <c r="W116" i="1"/>
  <c r="Q116"/>
  <c r="Q117" i="3"/>
  <c r="M117"/>
  <c r="E117"/>
  <c r="M117" i="7"/>
  <c r="E117"/>
  <c r="K116" i="9"/>
  <c r="U117" i="10"/>
  <c r="G117"/>
  <c r="Y117" i="12"/>
  <c r="K117"/>
  <c r="BK114" i="14"/>
  <c r="BI114"/>
  <c r="BE114"/>
  <c r="AE114"/>
  <c r="BL117" i="6"/>
  <c r="BJ117"/>
  <c r="BF117"/>
  <c r="AF117"/>
  <c r="S117"/>
  <c r="AL115" i="5"/>
  <c r="G115"/>
  <c r="W115" i="4"/>
  <c r="Q115"/>
  <c r="W115" i="1"/>
  <c r="G115" i="2"/>
  <c r="Q115" i="1"/>
  <c r="Q116" i="3"/>
  <c r="M116"/>
  <c r="E116"/>
  <c r="E116" i="7"/>
  <c r="E115" i="8"/>
  <c r="K115" i="9"/>
  <c r="U116" i="10"/>
  <c r="G116"/>
  <c r="BI113" i="14"/>
  <c r="BM113" s="1"/>
  <c r="BE113"/>
  <c r="AE113"/>
  <c r="AI113" s="1"/>
  <c r="AS113" s="1"/>
  <c r="W113"/>
  <c r="K113"/>
  <c r="E113"/>
  <c r="W114" i="4"/>
  <c r="Q114"/>
  <c r="W114" i="1"/>
  <c r="Q114"/>
  <c r="Q115" i="3"/>
  <c r="K114" i="9"/>
  <c r="U114" i="10"/>
  <c r="G114"/>
  <c r="G113" i="5"/>
  <c r="W113" i="4"/>
  <c r="Q113"/>
  <c r="G113" i="2"/>
  <c r="Q113" i="1"/>
  <c r="M114" i="3"/>
  <c r="M114" i="7"/>
  <c r="E113" i="8"/>
  <c r="U113" i="9"/>
  <c r="K113"/>
  <c r="AC117" i="10"/>
  <c r="AC116"/>
  <c r="AC114"/>
  <c r="AC113"/>
  <c r="AH113"/>
  <c r="AG113"/>
  <c r="AF113"/>
  <c r="AE113"/>
  <c r="AD113"/>
  <c r="U113"/>
  <c r="G113"/>
  <c r="BK106" i="15"/>
  <c r="AE106"/>
  <c r="BK110" i="14"/>
  <c r="BI110"/>
  <c r="AQ110"/>
  <c r="AE110"/>
  <c r="BL113" i="6"/>
  <c r="BJ113"/>
  <c r="AR113"/>
  <c r="AF113"/>
  <c r="Q111" i="4"/>
  <c r="Q111" i="1"/>
  <c r="Q112" i="3"/>
  <c r="M112"/>
  <c r="M112" i="7"/>
  <c r="U111" i="10"/>
  <c r="G111"/>
  <c r="K111" i="9"/>
  <c r="AD111"/>
  <c r="BK106" i="13"/>
  <c r="BG106"/>
  <c r="AE106"/>
  <c r="BK109" i="14"/>
  <c r="BI109"/>
  <c r="AE109"/>
  <c r="BL112" i="6"/>
  <c r="BH112"/>
  <c r="AF112"/>
  <c r="W110" i="4"/>
  <c r="Q110"/>
  <c r="Q110" i="1"/>
  <c r="Q111" i="3"/>
  <c r="M111"/>
  <c r="U110" i="9"/>
  <c r="K110"/>
  <c r="U110" i="10"/>
  <c r="G110"/>
  <c r="AL108" i="5"/>
  <c r="W108" i="4"/>
  <c r="Q108"/>
  <c r="Q108" i="1"/>
  <c r="I108"/>
  <c r="I108" i="4"/>
  <c r="Q109" i="3"/>
  <c r="M109"/>
  <c r="E109"/>
  <c r="M109" i="7"/>
  <c r="E109"/>
  <c r="O108" i="9"/>
  <c r="K108"/>
  <c r="U108" i="10"/>
  <c r="G108"/>
  <c r="Q108" i="12"/>
  <c r="I108"/>
  <c r="E109" i="6"/>
  <c r="W107" i="4"/>
  <c r="Q107"/>
  <c r="Q107" i="5"/>
  <c r="Q107" i="1"/>
  <c r="Q108" i="3"/>
  <c r="M108"/>
  <c r="AD107" i="9"/>
  <c r="K107"/>
  <c r="U107"/>
  <c r="U107" i="10"/>
  <c r="G107"/>
  <c r="BK102" i="13"/>
  <c r="BE102"/>
  <c r="AE102"/>
  <c r="BK106" i="14"/>
  <c r="BI106"/>
  <c r="BE106"/>
  <c r="AE106"/>
  <c r="BL108" i="6"/>
  <c r="BF108"/>
  <c r="AF108"/>
  <c r="W106" i="4"/>
  <c r="M106" i="3"/>
  <c r="Q106"/>
  <c r="E106"/>
  <c r="M106" i="7"/>
  <c r="U106" i="10"/>
  <c r="G106"/>
  <c r="BI105" i="14"/>
  <c r="AE105"/>
  <c r="BH107" i="6"/>
  <c r="AF107"/>
  <c r="S107"/>
  <c r="G105" i="5"/>
  <c r="Q105" i="3"/>
  <c r="M105"/>
  <c r="M105" i="7"/>
  <c r="E105" i="8"/>
  <c r="O105" i="9"/>
  <c r="M105"/>
  <c r="K105"/>
  <c r="U105" i="10"/>
  <c r="G105"/>
  <c r="K105" i="12"/>
  <c r="BK100" i="13"/>
  <c r="AE100"/>
  <c r="BK104" i="14"/>
  <c r="BI104"/>
  <c r="BG104"/>
  <c r="AE104"/>
  <c r="BL106" i="6"/>
  <c r="BJ106"/>
  <c r="AF106"/>
  <c r="Q104" i="4"/>
  <c r="Q104" i="1"/>
  <c r="O104" i="3"/>
  <c r="M104"/>
  <c r="E104"/>
  <c r="M104" i="7"/>
  <c r="E104"/>
  <c r="K104" i="9"/>
  <c r="U104" i="10"/>
  <c r="AC130" i="2" l="1"/>
  <c r="AY113" i="14"/>
  <c r="BK103"/>
  <c r="BI103"/>
  <c r="AE103"/>
  <c r="BL105" i="6"/>
  <c r="BH105"/>
  <c r="AF105"/>
  <c r="W103" i="4"/>
  <c r="E103" i="5"/>
  <c r="Q103" i="4"/>
  <c r="E103" i="2" l="1"/>
  <c r="W103" i="1"/>
  <c r="Q103"/>
  <c r="Q103" i="3"/>
  <c r="M103"/>
  <c r="E103"/>
  <c r="E103" i="7"/>
  <c r="Q103" i="8"/>
  <c r="U103" i="9"/>
  <c r="K103"/>
  <c r="U103" i="10"/>
  <c r="G103"/>
  <c r="E103" i="12"/>
  <c r="W102" i="4"/>
  <c r="Q102"/>
  <c r="Q102" i="1"/>
  <c r="Q102" i="3"/>
  <c r="E102"/>
  <c r="M102" i="9"/>
  <c r="U102" i="10"/>
  <c r="G102"/>
  <c r="W101" i="4"/>
  <c r="Q101" i="3"/>
  <c r="M101"/>
  <c r="M101" i="7"/>
  <c r="M101" i="9"/>
  <c r="K101"/>
  <c r="U101" i="10"/>
  <c r="G101"/>
  <c r="BK100" i="14"/>
  <c r="BI100"/>
  <c r="AE100"/>
  <c r="BL102" i="6"/>
  <c r="BF102"/>
  <c r="AF102"/>
  <c r="AL100" i="5"/>
  <c r="W100" i="4"/>
  <c r="Q100"/>
  <c r="Q100" i="1"/>
  <c r="Q100" i="3"/>
  <c r="M100"/>
  <c r="E100"/>
  <c r="M100" i="7"/>
  <c r="E100"/>
  <c r="U100" i="10"/>
  <c r="G100"/>
  <c r="BG99" i="14"/>
  <c r="BK99"/>
  <c r="BI99"/>
  <c r="BE99"/>
  <c r="AE99"/>
  <c r="BL101" i="6"/>
  <c r="BJ101"/>
  <c r="AF101"/>
  <c r="W99" i="4"/>
  <c r="Q99"/>
  <c r="Q99" i="1"/>
  <c r="Q99" i="3"/>
  <c r="M99"/>
  <c r="E99"/>
  <c r="M99" i="7"/>
  <c r="K99" i="9"/>
  <c r="U99" i="10"/>
  <c r="G99"/>
  <c r="K99" i="12"/>
  <c r="E99"/>
  <c r="BK94" i="13"/>
  <c r="BG94"/>
  <c r="AE94"/>
  <c r="S94"/>
  <c r="BK98" i="14"/>
  <c r="BG98"/>
  <c r="AE98"/>
  <c r="S98"/>
  <c r="BL100" i="6"/>
  <c r="BH100"/>
  <c r="AF100"/>
  <c r="S100"/>
  <c r="E100"/>
  <c r="AL98" i="5"/>
  <c r="W98" i="4"/>
  <c r="Q98"/>
  <c r="W98" i="1"/>
  <c r="Q98"/>
  <c r="Q98" i="3"/>
  <c r="M98"/>
  <c r="M98" i="7"/>
  <c r="K98" i="9"/>
  <c r="U98" i="10"/>
  <c r="G98"/>
  <c r="E98" i="12"/>
  <c r="BK97" i="14"/>
  <c r="BI97"/>
  <c r="AE97"/>
  <c r="BJ99" i="6"/>
  <c r="AF99"/>
  <c r="I97" i="5"/>
  <c r="E97"/>
  <c r="W97" i="4"/>
  <c r="Q97"/>
  <c r="I97"/>
  <c r="W97" i="1"/>
  <c r="Q97"/>
  <c r="Q97" i="3"/>
  <c r="M97"/>
  <c r="E97"/>
  <c r="Q97" i="8"/>
  <c r="K97"/>
  <c r="O97" i="9"/>
  <c r="K97"/>
  <c r="U97" i="10"/>
  <c r="G97"/>
  <c r="BK96" i="14"/>
  <c r="BG96"/>
  <c r="AE96"/>
  <c r="AF98" i="6"/>
  <c r="Q96" i="4"/>
  <c r="Q96" i="1"/>
  <c r="Q96" i="3"/>
  <c r="M96"/>
  <c r="E96"/>
  <c r="M96" i="7"/>
  <c r="K96" i="9"/>
  <c r="U96" i="10"/>
  <c r="G96"/>
  <c r="Q96" i="12"/>
  <c r="M96"/>
  <c r="AL95" i="5"/>
  <c r="W95" i="4"/>
  <c r="Q95"/>
  <c r="I95"/>
  <c r="W95" i="1"/>
  <c r="Q95"/>
  <c r="Q95" i="3"/>
  <c r="M95"/>
  <c r="U95" i="9"/>
  <c r="O95"/>
  <c r="M95"/>
  <c r="K95"/>
  <c r="U95" i="10"/>
  <c r="G95"/>
  <c r="W94" i="4"/>
  <c r="Q94"/>
  <c r="Q94" i="1"/>
  <c r="S94" s="1"/>
  <c r="Q94" i="3"/>
  <c r="M94"/>
  <c r="M94" i="7"/>
  <c r="K94" i="9"/>
  <c r="U94" i="10"/>
  <c r="G94"/>
  <c r="BK93" i="14"/>
  <c r="BI93"/>
  <c r="AE93"/>
  <c r="BL95" i="6"/>
  <c r="BJ95"/>
  <c r="AF95"/>
  <c r="K95"/>
  <c r="Q93" i="4"/>
  <c r="Q93" i="1"/>
  <c r="Q93" i="3"/>
  <c r="M93"/>
  <c r="M93" i="7"/>
  <c r="M93" i="9"/>
  <c r="K93"/>
  <c r="U93" i="10"/>
  <c r="M93"/>
  <c r="G93"/>
  <c r="BJ94" i="6"/>
  <c r="AF94"/>
  <c r="AJ94" s="1"/>
  <c r="BK92" i="14"/>
  <c r="BI92"/>
  <c r="AE92"/>
  <c r="W92" i="4"/>
  <c r="Q92" i="3"/>
  <c r="M92"/>
  <c r="K92" i="9"/>
  <c r="U92" i="10"/>
  <c r="G92"/>
  <c r="W91" i="4"/>
  <c r="Q91"/>
  <c r="Q91" i="1"/>
  <c r="AD91" i="9"/>
  <c r="M91"/>
  <c r="O91"/>
  <c r="K91"/>
  <c r="U91" i="10"/>
  <c r="G91"/>
  <c r="Q91" i="12"/>
  <c r="BK86" i="13"/>
  <c r="BI86"/>
  <c r="BE86"/>
  <c r="AE86"/>
  <c r="BK90" i="14"/>
  <c r="BI90"/>
  <c r="AE90"/>
  <c r="BL92" i="6"/>
  <c r="BJ92"/>
  <c r="AF92"/>
  <c r="E92"/>
  <c r="G90" i="5"/>
  <c r="W90" i="4"/>
  <c r="Q90"/>
  <c r="G90" i="2"/>
  <c r="Q90" i="1"/>
  <c r="Q90" i="3"/>
  <c r="M90"/>
  <c r="M90" i="7"/>
  <c r="E90" i="8"/>
  <c r="O90" i="9"/>
  <c r="M90"/>
  <c r="K90"/>
  <c r="U90" i="10"/>
  <c r="G90"/>
  <c r="Q90" i="12"/>
  <c r="BI89" i="14"/>
  <c r="BE89"/>
  <c r="AE89"/>
  <c r="BF91" i="6"/>
  <c r="AF91"/>
  <c r="G91"/>
  <c r="W89" i="4"/>
  <c r="Q89"/>
  <c r="I89"/>
  <c r="W89" i="1"/>
  <c r="Q89"/>
  <c r="Q89" i="3"/>
  <c r="M89"/>
  <c r="O89" i="9"/>
  <c r="K89"/>
  <c r="S89"/>
  <c r="U89" i="10"/>
  <c r="G89"/>
  <c r="BI88" i="14"/>
  <c r="AE88"/>
  <c r="G88"/>
  <c r="BF90" i="6"/>
  <c r="AF90"/>
  <c r="G90"/>
  <c r="AL88" i="5"/>
  <c r="I88"/>
  <c r="W88" i="4"/>
  <c r="Q88"/>
  <c r="I88" i="2"/>
  <c r="Q88" i="1"/>
  <c r="Q88" i="3"/>
  <c r="M88"/>
  <c r="M88" i="7"/>
  <c r="K88" i="8"/>
  <c r="K88" i="9"/>
  <c r="U88" i="10"/>
  <c r="G88"/>
  <c r="Q88" i="12"/>
  <c r="BK86" i="14"/>
  <c r="AE86"/>
  <c r="BL88" i="6"/>
  <c r="BJ88"/>
  <c r="BH88"/>
  <c r="AR88"/>
  <c r="AF88"/>
  <c r="S88"/>
  <c r="W87" i="4"/>
  <c r="AL87" i="5"/>
  <c r="G87"/>
  <c r="G87" i="2"/>
  <c r="Q87" i="3"/>
  <c r="M87"/>
  <c r="E87" i="8"/>
  <c r="O87" i="9"/>
  <c r="K87"/>
  <c r="E88" i="10"/>
  <c r="U87"/>
  <c r="G87"/>
  <c r="I87" i="12"/>
  <c r="BI85" i="14"/>
  <c r="AE85"/>
  <c r="BJ87" i="6"/>
  <c r="AF87"/>
  <c r="W86" i="4"/>
  <c r="Q86"/>
  <c r="Q86" i="1"/>
  <c r="Q86" i="3"/>
  <c r="M86"/>
  <c r="E86"/>
  <c r="S86" i="9"/>
  <c r="K86"/>
  <c r="U86" i="10"/>
  <c r="G86"/>
  <c r="Q85" i="3" l="1"/>
  <c r="S85" i="9"/>
  <c r="K85"/>
  <c r="U84" i="10"/>
  <c r="U85"/>
  <c r="G85"/>
  <c r="BL85" i="6"/>
  <c r="BJ85"/>
  <c r="BF85"/>
  <c r="AF85"/>
  <c r="S85"/>
  <c r="AP84" i="5"/>
  <c r="AL84"/>
  <c r="AF84"/>
  <c r="W84" i="4"/>
  <c r="Q84" i="1"/>
  <c r="Q84" i="4"/>
  <c r="W84" i="1"/>
  <c r="Q84" i="3"/>
  <c r="M84"/>
  <c r="M84" i="7"/>
  <c r="S84" i="9"/>
  <c r="K84"/>
  <c r="Y84" i="10"/>
  <c r="AB84" s="1"/>
  <c r="G84"/>
  <c r="Q84" i="12"/>
  <c r="BK82" i="14"/>
  <c r="BI82"/>
  <c r="AE82"/>
  <c r="K82"/>
  <c r="W83" i="4"/>
  <c r="Q83" i="3"/>
  <c r="M83"/>
  <c r="M83" i="7"/>
  <c r="M83" i="9"/>
  <c r="K83"/>
  <c r="U83" i="10"/>
  <c r="G83"/>
  <c r="K83" i="12"/>
  <c r="AH82" i="5"/>
  <c r="Q82" i="4"/>
  <c r="Q82" i="1"/>
  <c r="Q82" i="3"/>
  <c r="M82"/>
  <c r="M82" i="7"/>
  <c r="M82" i="9"/>
  <c r="K82"/>
  <c r="U82" i="10"/>
  <c r="G82"/>
  <c r="BK77" i="15"/>
  <c r="BK80" i="14"/>
  <c r="BE80"/>
  <c r="AE80"/>
  <c r="K80"/>
  <c r="BL82" i="6"/>
  <c r="BJ82"/>
  <c r="AF82"/>
  <c r="AL81" i="5"/>
  <c r="W81" i="4"/>
  <c r="W81" i="1"/>
  <c r="Q81" i="3"/>
  <c r="Q81" i="9"/>
  <c r="K81"/>
  <c r="U81" i="10"/>
  <c r="G81"/>
  <c r="AE76" i="15"/>
  <c r="BK79" i="14"/>
  <c r="BI79"/>
  <c r="BE79"/>
  <c r="AE79"/>
  <c r="BL81" i="6"/>
  <c r="BJ81"/>
  <c r="BF81"/>
  <c r="AF81"/>
  <c r="W80" i="4"/>
  <c r="I80"/>
  <c r="Q80" i="3"/>
  <c r="M80"/>
  <c r="M80" i="9"/>
  <c r="K80"/>
  <c r="U80" i="10"/>
  <c r="G80"/>
  <c r="E80" i="12"/>
  <c r="BK78" i="14"/>
  <c r="BI78"/>
  <c r="BE78"/>
  <c r="AE78"/>
  <c r="BJ80" i="6"/>
  <c r="BF80"/>
  <c r="W79" i="4"/>
  <c r="Q79"/>
  <c r="Q79" i="1"/>
  <c r="Q79" i="3"/>
  <c r="M79"/>
  <c r="M79" i="7"/>
  <c r="U79" i="9"/>
  <c r="U79" i="10"/>
  <c r="Y79" s="1"/>
  <c r="I79"/>
  <c r="G79"/>
  <c r="Q79" i="12"/>
  <c r="AE74" i="15"/>
  <c r="BI77" i="14"/>
  <c r="AE77"/>
  <c r="AF79" i="6"/>
  <c r="W78" i="4"/>
  <c r="Q78"/>
  <c r="Q78" i="3"/>
  <c r="M78"/>
  <c r="K78" i="9"/>
  <c r="U78" i="10"/>
  <c r="M78"/>
  <c r="G78"/>
  <c r="E78" s="1"/>
  <c r="AE73" i="15"/>
  <c r="BK76" i="14"/>
  <c r="BI76"/>
  <c r="BE76"/>
  <c r="AE76"/>
  <c r="BJ78" i="6"/>
  <c r="BF78"/>
  <c r="AF78"/>
  <c r="W77" i="4"/>
  <c r="Q77"/>
  <c r="S77" s="1"/>
  <c r="Q77" i="1"/>
  <c r="Q77" i="3"/>
  <c r="M77"/>
  <c r="O77" i="9"/>
  <c r="U77" i="10"/>
  <c r="G77"/>
  <c r="K77" i="12"/>
  <c r="AE75" i="14"/>
  <c r="AF77" i="6"/>
  <c r="W76" i="4"/>
  <c r="Q76"/>
  <c r="Q76" i="1"/>
  <c r="Q76" i="3"/>
  <c r="M76"/>
  <c r="M76" i="7"/>
  <c r="U76" i="9"/>
  <c r="K76"/>
  <c r="U76" i="10"/>
  <c r="G76"/>
  <c r="K76" i="12"/>
  <c r="BK74" i="14"/>
  <c r="AE74"/>
  <c r="W75" i="4"/>
  <c r="AL75" i="5"/>
  <c r="Q75" i="4"/>
  <c r="I75"/>
  <c r="AG75" i="2"/>
  <c r="W75" i="1"/>
  <c r="Q75"/>
  <c r="Q75" i="3"/>
  <c r="Y75" i="9"/>
  <c r="U75"/>
  <c r="O75"/>
  <c r="K75"/>
  <c r="G75" i="10"/>
  <c r="BK73" i="14"/>
  <c r="BI73"/>
  <c r="BE73"/>
  <c r="AE73"/>
  <c r="BL75" i="6"/>
  <c r="BJ75"/>
  <c r="BF75"/>
  <c r="AF75"/>
  <c r="W74" i="4"/>
  <c r="Q74"/>
  <c r="Q74" i="1"/>
  <c r="Q74" i="3"/>
  <c r="M74"/>
  <c r="E74"/>
  <c r="M74" i="7"/>
  <c r="E74"/>
  <c r="K74" i="9"/>
  <c r="U74" i="10"/>
  <c r="K74" i="12"/>
  <c r="BI72" i="14"/>
  <c r="AE72"/>
  <c r="K72"/>
  <c r="BL74" i="6"/>
  <c r="BJ74"/>
  <c r="AF74"/>
  <c r="W73" i="4"/>
  <c r="Q73"/>
  <c r="Q73" i="1"/>
  <c r="Q73" i="3"/>
  <c r="M73"/>
  <c r="K73" i="9"/>
  <c r="M73"/>
  <c r="U73" i="10"/>
  <c r="G73"/>
  <c r="K73" i="12"/>
  <c r="BK71" i="14"/>
  <c r="AE71"/>
  <c r="BL73" i="6"/>
  <c r="BJ73"/>
  <c r="AF73"/>
  <c r="Q72" i="4"/>
  <c r="Q72" i="1"/>
  <c r="Q72" i="3"/>
  <c r="K72" i="9"/>
  <c r="U72" i="10"/>
  <c r="G72"/>
  <c r="Q71" i="12"/>
  <c r="BK70" i="14"/>
  <c r="AE70"/>
  <c r="K70"/>
  <c r="BL72" i="6"/>
  <c r="BF72"/>
  <c r="AF72"/>
  <c r="AL71" i="5"/>
  <c r="W71" i="4"/>
  <c r="I71"/>
  <c r="Q71" i="3"/>
  <c r="M71"/>
  <c r="E71"/>
  <c r="M71" i="7"/>
  <c r="O71" i="9"/>
  <c r="M71"/>
  <c r="K71"/>
  <c r="U71" i="10"/>
  <c r="G71"/>
  <c r="AA71" i="12"/>
  <c r="Y71"/>
  <c r="BK67" i="13"/>
  <c r="BG67"/>
  <c r="AE67"/>
  <c r="S67"/>
  <c r="BI69" i="14"/>
  <c r="AE69"/>
  <c r="BL71" i="6"/>
  <c r="BH71"/>
  <c r="AF71"/>
  <c r="S71"/>
  <c r="Q70" i="3"/>
  <c r="M70"/>
  <c r="M69" i="9"/>
  <c r="K69"/>
  <c r="U70" i="10"/>
  <c r="G70"/>
  <c r="BK68" i="14"/>
  <c r="BI68"/>
  <c r="AE68"/>
  <c r="BL70" i="6"/>
  <c r="BJ70"/>
  <c r="BF70"/>
  <c r="AF70"/>
  <c r="Q69" i="4"/>
  <c r="Q69" i="3"/>
  <c r="M69" i="7"/>
  <c r="M68" i="9"/>
  <c r="K68"/>
  <c r="U69" i="10"/>
  <c r="G69"/>
  <c r="E68" i="12"/>
  <c r="BK65" i="15"/>
  <c r="BE65"/>
  <c r="AE65"/>
  <c r="BK67" i="14"/>
  <c r="BI67"/>
  <c r="BE67"/>
  <c r="AE67"/>
  <c r="BL69" i="6"/>
  <c r="BF69"/>
  <c r="AF69"/>
  <c r="G68" i="5"/>
  <c r="W68" i="4"/>
  <c r="Q68"/>
  <c r="G67" i="2"/>
  <c r="W68" i="1"/>
  <c r="Q68"/>
  <c r="Q68" i="3"/>
  <c r="M68"/>
  <c r="M68" i="7"/>
  <c r="U67" i="9"/>
  <c r="S67" i="8"/>
  <c r="S67" i="9"/>
  <c r="O67"/>
  <c r="M67"/>
  <c r="K67"/>
  <c r="U68" i="10"/>
  <c r="I68"/>
  <c r="G68"/>
  <c r="E196"/>
  <c r="M196"/>
  <c r="Y256"/>
  <c r="M256"/>
  <c r="E256"/>
  <c r="Y255"/>
  <c r="M255"/>
  <c r="E255"/>
  <c r="Y254"/>
  <c r="M254"/>
  <c r="E254"/>
  <c r="Y253"/>
  <c r="M253"/>
  <c r="E253"/>
  <c r="Y252"/>
  <c r="M252"/>
  <c r="E252"/>
  <c r="Y251"/>
  <c r="M251"/>
  <c r="E251"/>
  <c r="Y250"/>
  <c r="M250"/>
  <c r="E250"/>
  <c r="Y249"/>
  <c r="M249"/>
  <c r="E249"/>
  <c r="Y248"/>
  <c r="M248"/>
  <c r="E248"/>
  <c r="Y247"/>
  <c r="M247"/>
  <c r="E247"/>
  <c r="Y246"/>
  <c r="M246"/>
  <c r="Y245"/>
  <c r="M245"/>
  <c r="E245"/>
  <c r="Y244"/>
  <c r="M244"/>
  <c r="E244"/>
  <c r="Y243"/>
  <c r="M243"/>
  <c r="E243"/>
  <c r="Y242"/>
  <c r="M242"/>
  <c r="E242"/>
  <c r="Y241"/>
  <c r="M241"/>
  <c r="Y240"/>
  <c r="M240"/>
  <c r="E240"/>
  <c r="Y239"/>
  <c r="M239"/>
  <c r="E239"/>
  <c r="Y238"/>
  <c r="M238"/>
  <c r="E238"/>
  <c r="Y237"/>
  <c r="M237"/>
  <c r="E237"/>
  <c r="Y236"/>
  <c r="M236"/>
  <c r="E236"/>
  <c r="Y235"/>
  <c r="M235"/>
  <c r="E235"/>
  <c r="Y234"/>
  <c r="M234"/>
  <c r="E234"/>
  <c r="Y233"/>
  <c r="M233"/>
  <c r="E233"/>
  <c r="Y232"/>
  <c r="M232"/>
  <c r="E232"/>
  <c r="Y231"/>
  <c r="M231"/>
  <c r="E231"/>
  <c r="Y230"/>
  <c r="M230"/>
  <c r="E230"/>
  <c r="Y229"/>
  <c r="M229"/>
  <c r="E229"/>
  <c r="Y228"/>
  <c r="M228"/>
  <c r="E228"/>
  <c r="Y227"/>
  <c r="M227"/>
  <c r="E227"/>
  <c r="Y226"/>
  <c r="M226"/>
  <c r="E226"/>
  <c r="Y225"/>
  <c r="M225"/>
  <c r="E225"/>
  <c r="Y224"/>
  <c r="M224"/>
  <c r="E224"/>
  <c r="Y223"/>
  <c r="E223"/>
  <c r="Y222"/>
  <c r="M222"/>
  <c r="E222"/>
  <c r="Y220"/>
  <c r="M220"/>
  <c r="E220"/>
  <c r="Y219"/>
  <c r="M219"/>
  <c r="E219"/>
  <c r="Y218"/>
  <c r="M218"/>
  <c r="E218"/>
  <c r="Y217"/>
  <c r="AA217" i="8" s="1"/>
  <c r="M217" i="10"/>
  <c r="E217"/>
  <c r="Y216"/>
  <c r="AA216" i="8" s="1"/>
  <c r="M216" i="10"/>
  <c r="E216"/>
  <c r="Y215"/>
  <c r="AA215" i="8" s="1"/>
  <c r="M215" i="10"/>
  <c r="E215"/>
  <c r="Y214"/>
  <c r="AA214" i="8" s="1"/>
  <c r="M214" i="10"/>
  <c r="E214"/>
  <c r="Y213"/>
  <c r="AA213" i="8" s="1"/>
  <c r="M213" i="10"/>
  <c r="E213"/>
  <c r="Y212"/>
  <c r="AA212" i="8" s="1"/>
  <c r="M212" i="10"/>
  <c r="E212"/>
  <c r="Y211"/>
  <c r="AA211" i="8" s="1"/>
  <c r="M211" i="10"/>
  <c r="E211"/>
  <c r="Y210"/>
  <c r="AA210" i="8" s="1"/>
  <c r="M210" i="10"/>
  <c r="E210"/>
  <c r="Y209"/>
  <c r="AA209" i="8" s="1"/>
  <c r="M209" i="10"/>
  <c r="E209"/>
  <c r="Y208"/>
  <c r="AA208" i="8" s="1"/>
  <c r="M208" i="10"/>
  <c r="E208"/>
  <c r="Y207"/>
  <c r="AA207" i="8" s="1"/>
  <c r="M207" i="10"/>
  <c r="E207"/>
  <c r="Y206"/>
  <c r="AA206" i="8" s="1"/>
  <c r="M206" i="10"/>
  <c r="E206"/>
  <c r="Y205"/>
  <c r="AA205" i="8" s="1"/>
  <c r="M205" i="10"/>
  <c r="E205"/>
  <c r="Y204"/>
  <c r="AA204" i="8" s="1"/>
  <c r="M204" i="10"/>
  <c r="E204"/>
  <c r="Y203"/>
  <c r="AA203" i="8" s="1"/>
  <c r="M203" i="10"/>
  <c r="E203"/>
  <c r="Y202"/>
  <c r="AA202" i="8" s="1"/>
  <c r="M202" i="10"/>
  <c r="E202"/>
  <c r="Y201"/>
  <c r="AA201" i="8" s="1"/>
  <c r="M201" i="10"/>
  <c r="E201"/>
  <c r="Y200"/>
  <c r="AA200" i="8" s="1"/>
  <c r="M200" i="10"/>
  <c r="E200"/>
  <c r="Y199"/>
  <c r="AA199" i="8" s="1"/>
  <c r="M199" i="10"/>
  <c r="E199"/>
  <c r="Y198"/>
  <c r="AA198" i="8" s="1"/>
  <c r="M198" i="10"/>
  <c r="E198"/>
  <c r="Y197"/>
  <c r="AA197" i="8" s="1"/>
  <c r="M197" i="10"/>
  <c r="Y195"/>
  <c r="AA194" i="8" s="1"/>
  <c r="M195" i="10"/>
  <c r="E195"/>
  <c r="Y194"/>
  <c r="AA193" i="8" s="1"/>
  <c r="M194" i="10"/>
  <c r="E194"/>
  <c r="Y193"/>
  <c r="AA192" i="8" s="1"/>
  <c r="M193" i="10"/>
  <c r="E193"/>
  <c r="Y192"/>
  <c r="AA191" i="8" s="1"/>
  <c r="M192" i="10"/>
  <c r="E192"/>
  <c r="Y191"/>
  <c r="AA190" i="8" s="1"/>
  <c r="M191" i="10"/>
  <c r="Y190"/>
  <c r="AA189" i="8" s="1"/>
  <c r="M190" i="10"/>
  <c r="E190"/>
  <c r="Y189"/>
  <c r="AA188" i="8" s="1"/>
  <c r="M189" i="10"/>
  <c r="E189"/>
  <c r="Y188"/>
  <c r="AA187" i="8" s="1"/>
  <c r="M188" i="10"/>
  <c r="E188"/>
  <c r="Y187"/>
  <c r="AA186" i="8" s="1"/>
  <c r="M187" i="10"/>
  <c r="E187"/>
  <c r="Y186"/>
  <c r="AA185" i="8" s="1"/>
  <c r="M186" i="10"/>
  <c r="E186"/>
  <c r="Y185"/>
  <c r="AA184" i="8" s="1"/>
  <c r="M185" i="10"/>
  <c r="E185"/>
  <c r="Y184"/>
  <c r="AA183" i="8" s="1"/>
  <c r="M184" i="10"/>
  <c r="E184"/>
  <c r="Y183"/>
  <c r="AA182" i="8" s="1"/>
  <c r="M183" i="10"/>
  <c r="E183"/>
  <c r="Y182"/>
  <c r="AA181" i="8" s="1"/>
  <c r="M182" i="10"/>
  <c r="E182"/>
  <c r="Y181"/>
  <c r="AA180" i="8" s="1"/>
  <c r="M181" i="10"/>
  <c r="E181"/>
  <c r="Y180"/>
  <c r="AA179" i="8" s="1"/>
  <c r="M180" i="10"/>
  <c r="Y179"/>
  <c r="AA178" i="8" s="1"/>
  <c r="M179" i="10"/>
  <c r="E179"/>
  <c r="Y178"/>
  <c r="AA177" i="8" s="1"/>
  <c r="M178" i="10"/>
  <c r="E178"/>
  <c r="Y177"/>
  <c r="AA176" i="8" s="1"/>
  <c r="M177" i="10"/>
  <c r="E177"/>
  <c r="Y176"/>
  <c r="AA175" i="8" s="1"/>
  <c r="M176" i="10"/>
  <c r="E176"/>
  <c r="Y175"/>
  <c r="AA174" i="8" s="1"/>
  <c r="M175" i="10"/>
  <c r="E175"/>
  <c r="Y174"/>
  <c r="AA173" i="8" s="1"/>
  <c r="M174" i="10"/>
  <c r="E174"/>
  <c r="Y173"/>
  <c r="AA172" i="8" s="1"/>
  <c r="M173" i="10"/>
  <c r="E173"/>
  <c r="Y172"/>
  <c r="AA171" i="8" s="1"/>
  <c r="Y171" i="10"/>
  <c r="AA170" i="8" s="1"/>
  <c r="M171" i="10"/>
  <c r="E171"/>
  <c r="Y170"/>
  <c r="AA169" i="8" s="1"/>
  <c r="M170" i="10"/>
  <c r="E170"/>
  <c r="Y169"/>
  <c r="AA168" i="8" s="1"/>
  <c r="M169" i="10"/>
  <c r="E169"/>
  <c r="Y168"/>
  <c r="AA167" i="8" s="1"/>
  <c r="M168" i="10"/>
  <c r="E168"/>
  <c r="Y166"/>
  <c r="AA166" i="8" s="1"/>
  <c r="M166" i="10"/>
  <c r="E166"/>
  <c r="Y165"/>
  <c r="AA165" i="8" s="1"/>
  <c r="M165" i="10"/>
  <c r="E165"/>
  <c r="Y164"/>
  <c r="AA164" i="8" s="1"/>
  <c r="M164" i="10"/>
  <c r="E164"/>
  <c r="Y163"/>
  <c r="AA163" i="8" s="1"/>
  <c r="M163" i="10"/>
  <c r="E163"/>
  <c r="Y162"/>
  <c r="AA162" i="8" s="1"/>
  <c r="M162" i="10"/>
  <c r="E162"/>
  <c r="Y161"/>
  <c r="AA161" i="8" s="1"/>
  <c r="M161" i="10"/>
  <c r="E161"/>
  <c r="Y160"/>
  <c r="AA160" i="8" s="1"/>
  <c r="M160" i="10"/>
  <c r="E160"/>
  <c r="Y159"/>
  <c r="AA159" i="8" s="1"/>
  <c r="M159" i="10"/>
  <c r="E159"/>
  <c r="Y158"/>
  <c r="AA158" i="8" s="1"/>
  <c r="M158" i="10"/>
  <c r="E158"/>
  <c r="Y157"/>
  <c r="AA157" i="8" s="1"/>
  <c r="M157" i="10"/>
  <c r="E157"/>
  <c r="Y156"/>
  <c r="AA156" i="8" s="1"/>
  <c r="M156" i="10"/>
  <c r="E156"/>
  <c r="Y155"/>
  <c r="AA155" i="8" s="1"/>
  <c r="M155" i="10"/>
  <c r="E155"/>
  <c r="Y154"/>
  <c r="AA154" i="8" s="1"/>
  <c r="M154" i="10"/>
  <c r="E154"/>
  <c r="Y153"/>
  <c r="AA153" i="8" s="1"/>
  <c r="M153" i="10"/>
  <c r="E153"/>
  <c r="Y152"/>
  <c r="AA152" i="8" s="1"/>
  <c r="M152" i="10"/>
  <c r="E152"/>
  <c r="Y151"/>
  <c r="AA151" i="8" s="1"/>
  <c r="M151" i="10"/>
  <c r="E151"/>
  <c r="Y150"/>
  <c r="AA150" i="8" s="1"/>
  <c r="M150" i="10"/>
  <c r="E150"/>
  <c r="Y149"/>
  <c r="AA149" i="8" s="1"/>
  <c r="M149" i="10"/>
  <c r="E149"/>
  <c r="Y148"/>
  <c r="AA148" i="8" s="1"/>
  <c r="M148" i="10"/>
  <c r="E148"/>
  <c r="Y147"/>
  <c r="AA147" i="8" s="1"/>
  <c r="M147" i="10"/>
  <c r="E147"/>
  <c r="Y146"/>
  <c r="AA146" i="8" s="1"/>
  <c r="M146" i="10"/>
  <c r="E146"/>
  <c r="Y145"/>
  <c r="AA145" i="8" s="1"/>
  <c r="M145" i="10"/>
  <c r="Y144"/>
  <c r="M144"/>
  <c r="E144"/>
  <c r="Y143"/>
  <c r="M143"/>
  <c r="E143"/>
  <c r="Y142"/>
  <c r="M142"/>
  <c r="E142"/>
  <c r="Y141"/>
  <c r="M141"/>
  <c r="E141"/>
  <c r="Y140"/>
  <c r="M140"/>
  <c r="E140"/>
  <c r="Y139"/>
  <c r="M139"/>
  <c r="E139"/>
  <c r="Y138"/>
  <c r="M138"/>
  <c r="E138"/>
  <c r="Y137"/>
  <c r="M137"/>
  <c r="E137"/>
  <c r="Y136"/>
  <c r="M136"/>
  <c r="E136"/>
  <c r="Y135"/>
  <c r="M135"/>
  <c r="E135"/>
  <c r="Y134"/>
  <c r="M134"/>
  <c r="E134"/>
  <c r="Y133"/>
  <c r="M133"/>
  <c r="E133"/>
  <c r="Y132"/>
  <c r="M132"/>
  <c r="E132"/>
  <c r="Y130"/>
  <c r="M130"/>
  <c r="E130"/>
  <c r="Y129"/>
  <c r="M129"/>
  <c r="E129"/>
  <c r="Y128"/>
  <c r="M128"/>
  <c r="E128"/>
  <c r="Y127"/>
  <c r="M127"/>
  <c r="E127"/>
  <c r="Y126"/>
  <c r="M126"/>
  <c r="E126"/>
  <c r="Y125"/>
  <c r="M125"/>
  <c r="E125"/>
  <c r="Y124"/>
  <c r="M124"/>
  <c r="E124"/>
  <c r="Y123"/>
  <c r="M123"/>
  <c r="E123"/>
  <c r="Y122"/>
  <c r="M122"/>
  <c r="E122"/>
  <c r="Y121"/>
  <c r="M121"/>
  <c r="E121"/>
  <c r="Y120"/>
  <c r="M120"/>
  <c r="E120"/>
  <c r="Y119"/>
  <c r="M119"/>
  <c r="E119"/>
  <c r="Y118"/>
  <c r="M118"/>
  <c r="E118"/>
  <c r="Y117"/>
  <c r="E117"/>
  <c r="Y116"/>
  <c r="E116"/>
  <c r="Y114"/>
  <c r="M114"/>
  <c r="E114"/>
  <c r="Y113"/>
  <c r="AB113" s="1"/>
  <c r="M113"/>
  <c r="E113"/>
  <c r="Y112"/>
  <c r="M112"/>
  <c r="E112"/>
  <c r="Y111"/>
  <c r="M111"/>
  <c r="E111"/>
  <c r="Y110"/>
  <c r="M110"/>
  <c r="E110"/>
  <c r="Y109"/>
  <c r="AA109" i="8" s="1"/>
  <c r="M109" i="10"/>
  <c r="E109"/>
  <c r="Y108"/>
  <c r="M108"/>
  <c r="E108"/>
  <c r="Y107"/>
  <c r="M107"/>
  <c r="E107"/>
  <c r="Y106"/>
  <c r="M106"/>
  <c r="E106"/>
  <c r="Y105"/>
  <c r="M105"/>
  <c r="E105"/>
  <c r="Y104"/>
  <c r="M104"/>
  <c r="E104"/>
  <c r="Y103"/>
  <c r="AB103" s="1"/>
  <c r="M103"/>
  <c r="E103"/>
  <c r="Y102"/>
  <c r="M102"/>
  <c r="E102"/>
  <c r="Y101"/>
  <c r="M101"/>
  <c r="E101"/>
  <c r="Y100"/>
  <c r="M100"/>
  <c r="E100"/>
  <c r="Y99"/>
  <c r="M99"/>
  <c r="E99"/>
  <c r="Y98"/>
  <c r="M98"/>
  <c r="E98"/>
  <c r="Y97"/>
  <c r="M97"/>
  <c r="E97"/>
  <c r="Y96"/>
  <c r="M96"/>
  <c r="E96"/>
  <c r="Y95"/>
  <c r="M95"/>
  <c r="E95"/>
  <c r="Y94"/>
  <c r="M94"/>
  <c r="E94"/>
  <c r="Y93"/>
  <c r="E93"/>
  <c r="Y92"/>
  <c r="M92"/>
  <c r="E92"/>
  <c r="Y91"/>
  <c r="M91"/>
  <c r="E91"/>
  <c r="Y90"/>
  <c r="M90"/>
  <c r="E90"/>
  <c r="Y89"/>
  <c r="M89"/>
  <c r="E89"/>
  <c r="Y88"/>
  <c r="M88"/>
  <c r="Y87"/>
  <c r="M87"/>
  <c r="E87"/>
  <c r="Y86"/>
  <c r="M86"/>
  <c r="E86"/>
  <c r="Y85"/>
  <c r="M85"/>
  <c r="E85"/>
  <c r="M84"/>
  <c r="E84"/>
  <c r="Y83"/>
  <c r="M83"/>
  <c r="E83"/>
  <c r="Y82"/>
  <c r="M82"/>
  <c r="E82"/>
  <c r="Y81"/>
  <c r="M81"/>
  <c r="E81"/>
  <c r="Y80"/>
  <c r="M80"/>
  <c r="E80"/>
  <c r="M79"/>
  <c r="E79"/>
  <c r="Y78"/>
  <c r="Y77"/>
  <c r="M77"/>
  <c r="E77"/>
  <c r="Y76"/>
  <c r="M76"/>
  <c r="E76"/>
  <c r="Y75"/>
  <c r="M75"/>
  <c r="E75"/>
  <c r="Y74"/>
  <c r="M74"/>
  <c r="E74"/>
  <c r="Y73"/>
  <c r="M73"/>
  <c r="E73"/>
  <c r="Y72"/>
  <c r="M72"/>
  <c r="E72"/>
  <c r="E70"/>
  <c r="E71"/>
  <c r="W255" i="8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4"/>
  <c r="W193"/>
  <c r="W192"/>
  <c r="W191"/>
  <c r="W190"/>
  <c r="W189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2"/>
  <c r="W13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S256" i="3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8"/>
  <c r="S207"/>
  <c r="S206"/>
  <c r="S205"/>
  <c r="S204"/>
  <c r="S203"/>
  <c r="S202"/>
  <c r="S201"/>
  <c r="S200"/>
  <c r="S199"/>
  <c r="S198"/>
  <c r="S197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2"/>
  <c r="S81"/>
  <c r="S80"/>
  <c r="S78"/>
  <c r="S76"/>
  <c r="S75"/>
  <c r="S74"/>
  <c r="S73"/>
  <c r="S72"/>
  <c r="S256" i="1"/>
  <c r="S255"/>
  <c r="S254"/>
  <c r="S253"/>
  <c r="S252"/>
  <c r="S251"/>
  <c r="S250"/>
  <c r="S249"/>
  <c r="S248"/>
  <c r="S247"/>
  <c r="S246"/>
  <c r="S245"/>
  <c r="S244"/>
  <c r="S243"/>
  <c r="S242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5"/>
  <c r="S194"/>
  <c r="S193"/>
  <c r="S192"/>
  <c r="S191"/>
  <c r="S190"/>
  <c r="S189"/>
  <c r="S188"/>
  <c r="S187"/>
  <c r="S186"/>
  <c r="S185"/>
  <c r="S184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6"/>
  <c r="S127"/>
  <c r="S128"/>
  <c r="S129"/>
  <c r="S130"/>
  <c r="AC255" i="2"/>
  <c r="AC254"/>
  <c r="AC253"/>
  <c r="AC252"/>
  <c r="AC251"/>
  <c r="AC250"/>
  <c r="AC249"/>
  <c r="AC248"/>
  <c r="AC247"/>
  <c r="AC246"/>
  <c r="AC245"/>
  <c r="AC244"/>
  <c r="AC243"/>
  <c r="AC242"/>
  <c r="AC241"/>
  <c r="AC240"/>
  <c r="AC239"/>
  <c r="AC238"/>
  <c r="AC237"/>
  <c r="AC236"/>
  <c r="AC235"/>
  <c r="AC234"/>
  <c r="AC233"/>
  <c r="AC232"/>
  <c r="AC231"/>
  <c r="AC230"/>
  <c r="AC229"/>
  <c r="AC228"/>
  <c r="AC227"/>
  <c r="AC226"/>
  <c r="AC225"/>
  <c r="AC224"/>
  <c r="AC223"/>
  <c r="AC222"/>
  <c r="AC221"/>
  <c r="AC220"/>
  <c r="AC219"/>
  <c r="AC218"/>
  <c r="AO218" s="1"/>
  <c r="AC217"/>
  <c r="AC216"/>
  <c r="AC215"/>
  <c r="AC214"/>
  <c r="AC213"/>
  <c r="AC212"/>
  <c r="AC211"/>
  <c r="AC210"/>
  <c r="AC209"/>
  <c r="AC208"/>
  <c r="AC207"/>
  <c r="AC206"/>
  <c r="AC205"/>
  <c r="AC204"/>
  <c r="AC203"/>
  <c r="AC202"/>
  <c r="AC201"/>
  <c r="AC200"/>
  <c r="AC198"/>
  <c r="AC197"/>
  <c r="AC196"/>
  <c r="AC194"/>
  <c r="AC193"/>
  <c r="AC192"/>
  <c r="AC191"/>
  <c r="AC190"/>
  <c r="AC189"/>
  <c r="AC188"/>
  <c r="AC187"/>
  <c r="AC186"/>
  <c r="AC185"/>
  <c r="AC184"/>
  <c r="AC183"/>
  <c r="AC182"/>
  <c r="AC181"/>
  <c r="AC180"/>
  <c r="AC179"/>
  <c r="AC178"/>
  <c r="AC177"/>
  <c r="AC176"/>
  <c r="AC175"/>
  <c r="AC174"/>
  <c r="AC173"/>
  <c r="AC172"/>
  <c r="AC171"/>
  <c r="AC170"/>
  <c r="AC169"/>
  <c r="AC168"/>
  <c r="AC167"/>
  <c r="AC165"/>
  <c r="AC164"/>
  <c r="AC163"/>
  <c r="AC162"/>
  <c r="AC161"/>
  <c r="AC160"/>
  <c r="AC159"/>
  <c r="AC158"/>
  <c r="AC157"/>
  <c r="AC15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4"/>
  <c r="AC133"/>
  <c r="AC132"/>
  <c r="AC131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S196" i="4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3"/>
  <c r="S232"/>
  <c r="S230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199"/>
  <c r="S198"/>
  <c r="S197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5"/>
  <c r="S154"/>
  <c r="S153"/>
  <c r="S152"/>
  <c r="S151"/>
  <c r="S150"/>
  <c r="S149"/>
  <c r="S148"/>
  <c r="S147"/>
  <c r="S146"/>
  <c r="S145"/>
  <c r="S144"/>
  <c r="S143"/>
  <c r="S142"/>
  <c r="S140"/>
  <c r="S139"/>
  <c r="S138"/>
  <c r="S137"/>
  <c r="S136"/>
  <c r="S135"/>
  <c r="S134"/>
  <c r="S133"/>
  <c r="S132"/>
  <c r="S130"/>
  <c r="S129"/>
  <c r="S128"/>
  <c r="S127"/>
  <c r="S126"/>
  <c r="S125"/>
  <c r="S124"/>
  <c r="S123"/>
  <c r="S122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6"/>
  <c r="S74"/>
  <c r="S73"/>
  <c r="S72"/>
  <c r="AH256" i="5"/>
  <c r="AH255"/>
  <c r="AH254"/>
  <c r="AH253"/>
  <c r="AH252"/>
  <c r="AH251"/>
  <c r="AH250"/>
  <c r="AH249"/>
  <c r="AH248"/>
  <c r="AH247"/>
  <c r="AH246"/>
  <c r="AH245"/>
  <c r="AH244"/>
  <c r="AH243"/>
  <c r="AH242"/>
  <c r="AH241"/>
  <c r="AH240"/>
  <c r="AH239"/>
  <c r="AH238"/>
  <c r="AH236"/>
  <c r="AH235"/>
  <c r="AH234"/>
  <c r="AH233"/>
  <c r="AH232"/>
  <c r="AH231"/>
  <c r="AH230"/>
  <c r="AH229"/>
  <c r="AH228"/>
  <c r="AH227"/>
  <c r="AH226"/>
  <c r="AH225"/>
  <c r="AH224"/>
  <c r="AH223"/>
  <c r="AH222"/>
  <c r="AH221"/>
  <c r="AH220"/>
  <c r="AH219"/>
  <c r="AH218"/>
  <c r="AH217"/>
  <c r="AH216"/>
  <c r="AH215"/>
  <c r="AH214"/>
  <c r="AH213"/>
  <c r="AH212"/>
  <c r="AH211"/>
  <c r="AH210"/>
  <c r="AH209"/>
  <c r="AH208"/>
  <c r="AH207"/>
  <c r="AH206"/>
  <c r="AH205"/>
  <c r="AH204"/>
  <c r="AH203"/>
  <c r="AH202"/>
  <c r="AH201"/>
  <c r="AH200"/>
  <c r="AH199"/>
  <c r="AH198"/>
  <c r="AH197"/>
  <c r="AR197" s="1"/>
  <c r="AH195"/>
  <c r="AH194"/>
  <c r="AH193"/>
  <c r="AH192"/>
  <c r="AH191"/>
  <c r="AH190"/>
  <c r="AH189"/>
  <c r="AH188"/>
  <c r="AH187"/>
  <c r="AH186"/>
  <c r="AH185"/>
  <c r="AH184"/>
  <c r="AH183"/>
  <c r="AH182"/>
  <c r="AH181"/>
  <c r="AH179"/>
  <c r="AH178"/>
  <c r="AH177"/>
  <c r="AH176"/>
  <c r="AH175"/>
  <c r="AH174"/>
  <c r="AH173"/>
  <c r="AH172"/>
  <c r="AH171"/>
  <c r="AH170"/>
  <c r="AH169"/>
  <c r="AH168"/>
  <c r="AH167"/>
  <c r="AH166"/>
  <c r="AH165"/>
  <c r="AH164"/>
  <c r="AH163"/>
  <c r="AH162"/>
  <c r="AH161"/>
  <c r="AH160"/>
  <c r="AH159"/>
  <c r="AH158"/>
  <c r="AH15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0"/>
  <c r="AH129"/>
  <c r="AH128"/>
  <c r="AH127"/>
  <c r="AH126"/>
  <c r="AH125"/>
  <c r="AH124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1"/>
  <c r="AH80"/>
  <c r="AH79"/>
  <c r="AH78"/>
  <c r="AH77"/>
  <c r="AH76"/>
  <c r="AH75"/>
  <c r="AH74"/>
  <c r="AH73"/>
  <c r="AH72"/>
  <c r="W184" i="6"/>
  <c r="E184"/>
  <c r="W183"/>
  <c r="K183"/>
  <c r="E183"/>
  <c r="W182"/>
  <c r="K182"/>
  <c r="E182"/>
  <c r="W181"/>
  <c r="K181"/>
  <c r="W180"/>
  <c r="E180"/>
  <c r="W178"/>
  <c r="K178"/>
  <c r="W177"/>
  <c r="K177"/>
  <c r="E177"/>
  <c r="W176"/>
  <c r="K176"/>
  <c r="E176"/>
  <c r="W175"/>
  <c r="K175"/>
  <c r="E175"/>
  <c r="W174"/>
  <c r="K174"/>
  <c r="E174"/>
  <c r="W173"/>
  <c r="K173"/>
  <c r="E173"/>
  <c r="W172"/>
  <c r="K172"/>
  <c r="E172"/>
  <c r="W171"/>
  <c r="K171"/>
  <c r="E171"/>
  <c r="W170"/>
  <c r="K170"/>
  <c r="E170"/>
  <c r="W169"/>
  <c r="K169"/>
  <c r="E169"/>
  <c r="W168"/>
  <c r="K168"/>
  <c r="E168"/>
  <c r="W167"/>
  <c r="K167"/>
  <c r="E167"/>
  <c r="W166"/>
  <c r="K166"/>
  <c r="E166"/>
  <c r="W165"/>
  <c r="K165"/>
  <c r="AZ165" s="1"/>
  <c r="E165"/>
  <c r="W164"/>
  <c r="K164"/>
  <c r="E164"/>
  <c r="W163"/>
  <c r="K163"/>
  <c r="E163"/>
  <c r="W162"/>
  <c r="K162"/>
  <c r="E162"/>
  <c r="W161"/>
  <c r="K161"/>
  <c r="E161"/>
  <c r="W160"/>
  <c r="K160"/>
  <c r="E160"/>
  <c r="W159"/>
  <c r="E159"/>
  <c r="W158"/>
  <c r="K158"/>
  <c r="E158"/>
  <c r="W157"/>
  <c r="K157"/>
  <c r="E157"/>
  <c r="W156"/>
  <c r="K156"/>
  <c r="E156"/>
  <c r="W155"/>
  <c r="K155"/>
  <c r="E155"/>
  <c r="W154"/>
  <c r="K154"/>
  <c r="E154"/>
  <c r="W153"/>
  <c r="K153"/>
  <c r="E153"/>
  <c r="W152"/>
  <c r="K152"/>
  <c r="W151"/>
  <c r="K151"/>
  <c r="E151"/>
  <c r="W150"/>
  <c r="K150"/>
  <c r="E150"/>
  <c r="W149"/>
  <c r="K149"/>
  <c r="E149"/>
  <c r="W148"/>
  <c r="K148"/>
  <c r="E148"/>
  <c r="W147"/>
  <c r="K147"/>
  <c r="E147"/>
  <c r="W146"/>
  <c r="K146"/>
  <c r="E146"/>
  <c r="W145"/>
  <c r="K145"/>
  <c r="E145"/>
  <c r="W144"/>
  <c r="K144"/>
  <c r="E144"/>
  <c r="W143"/>
  <c r="K143"/>
  <c r="E143"/>
  <c r="W142"/>
  <c r="K142"/>
  <c r="E142"/>
  <c r="W141"/>
  <c r="K141"/>
  <c r="E141"/>
  <c r="W140"/>
  <c r="K140"/>
  <c r="E140"/>
  <c r="W139"/>
  <c r="K139"/>
  <c r="E139"/>
  <c r="W138"/>
  <c r="K138"/>
  <c r="E138"/>
  <c r="W137"/>
  <c r="K137"/>
  <c r="E137"/>
  <c r="W136"/>
  <c r="K136"/>
  <c r="E136"/>
  <c r="W135"/>
  <c r="K135"/>
  <c r="E135"/>
  <c r="W134"/>
  <c r="K134"/>
  <c r="E134"/>
  <c r="W133"/>
  <c r="K133"/>
  <c r="E133"/>
  <c r="W132"/>
  <c r="K132"/>
  <c r="E132"/>
  <c r="W131"/>
  <c r="K131"/>
  <c r="E131"/>
  <c r="W130"/>
  <c r="E130"/>
  <c r="W129"/>
  <c r="K129"/>
  <c r="E129"/>
  <c r="W128"/>
  <c r="K128"/>
  <c r="E128"/>
  <c r="W127"/>
  <c r="K127"/>
  <c r="E127"/>
  <c r="W126"/>
  <c r="K126"/>
  <c r="E126"/>
  <c r="W125"/>
  <c r="K125"/>
  <c r="E125"/>
  <c r="W124"/>
  <c r="K124"/>
  <c r="E124"/>
  <c r="W123"/>
  <c r="K123"/>
  <c r="E123"/>
  <c r="W122"/>
  <c r="K122"/>
  <c r="E122"/>
  <c r="W121"/>
  <c r="K121"/>
  <c r="E121"/>
  <c r="W120"/>
  <c r="K120"/>
  <c r="W119"/>
  <c r="K119"/>
  <c r="W118"/>
  <c r="K118"/>
  <c r="E118"/>
  <c r="W117"/>
  <c r="K117"/>
  <c r="E117"/>
  <c r="W116"/>
  <c r="K116"/>
  <c r="E116"/>
  <c r="W115"/>
  <c r="K115"/>
  <c r="E115"/>
  <c r="W114"/>
  <c r="K114"/>
  <c r="E114"/>
  <c r="W113"/>
  <c r="K113"/>
  <c r="E113"/>
  <c r="W112"/>
  <c r="K112"/>
  <c r="E112"/>
  <c r="W111"/>
  <c r="K111"/>
  <c r="E111"/>
  <c r="W110"/>
  <c r="K110"/>
  <c r="E110"/>
  <c r="W109"/>
  <c r="K109"/>
  <c r="W108"/>
  <c r="K108"/>
  <c r="E108"/>
  <c r="W107"/>
  <c r="K107"/>
  <c r="E107"/>
  <c r="W106"/>
  <c r="K106"/>
  <c r="E106"/>
  <c r="W105"/>
  <c r="K105"/>
  <c r="E105"/>
  <c r="W104"/>
  <c r="K104"/>
  <c r="E104"/>
  <c r="W103"/>
  <c r="K103"/>
  <c r="E103"/>
  <c r="W102"/>
  <c r="K102"/>
  <c r="E102"/>
  <c r="W101"/>
  <c r="K101"/>
  <c r="E101"/>
  <c r="W100"/>
  <c r="K100"/>
  <c r="W99"/>
  <c r="K99"/>
  <c r="E99"/>
  <c r="W98"/>
  <c r="K98"/>
  <c r="E98"/>
  <c r="W254"/>
  <c r="K254"/>
  <c r="E254"/>
  <c r="W253"/>
  <c r="K253"/>
  <c r="E253"/>
  <c r="W252"/>
  <c r="K252"/>
  <c r="E252"/>
  <c r="W251"/>
  <c r="K251"/>
  <c r="E251"/>
  <c r="W250"/>
  <c r="K250"/>
  <c r="E250"/>
  <c r="W249"/>
  <c r="W248"/>
  <c r="K248"/>
  <c r="E248"/>
  <c r="W247"/>
  <c r="K247"/>
  <c r="E247"/>
  <c r="W246"/>
  <c r="K246"/>
  <c r="E246"/>
  <c r="W245"/>
  <c r="K245"/>
  <c r="E245"/>
  <c r="W244"/>
  <c r="K244"/>
  <c r="E244"/>
  <c r="W243"/>
  <c r="K243"/>
  <c r="E243"/>
  <c r="W242"/>
  <c r="K242"/>
  <c r="E242"/>
  <c r="W241"/>
  <c r="K241"/>
  <c r="E241"/>
  <c r="W240"/>
  <c r="K240"/>
  <c r="AZ240" s="1"/>
  <c r="W239"/>
  <c r="K239"/>
  <c r="E239"/>
  <c r="W238"/>
  <c r="K238"/>
  <c r="E238"/>
  <c r="W237"/>
  <c r="K237"/>
  <c r="E237"/>
  <c r="W236"/>
  <c r="K236"/>
  <c r="E236"/>
  <c r="W235"/>
  <c r="K235"/>
  <c r="E235"/>
  <c r="W234"/>
  <c r="K234"/>
  <c r="E234"/>
  <c r="W233"/>
  <c r="K233"/>
  <c r="E233"/>
  <c r="W232"/>
  <c r="K232"/>
  <c r="E232"/>
  <c r="W229"/>
  <c r="K229"/>
  <c r="E229"/>
  <c r="W228"/>
  <c r="K228"/>
  <c r="E228"/>
  <c r="W227"/>
  <c r="K227"/>
  <c r="E227"/>
  <c r="W226"/>
  <c r="K226"/>
  <c r="E226"/>
  <c r="W225"/>
  <c r="K225"/>
  <c r="E225"/>
  <c r="W224"/>
  <c r="K224"/>
  <c r="E224"/>
  <c r="W223"/>
  <c r="K223"/>
  <c r="E223"/>
  <c r="W222"/>
  <c r="K222"/>
  <c r="E222"/>
  <c r="W221"/>
  <c r="K221"/>
  <c r="E221"/>
  <c r="W220"/>
  <c r="E220"/>
  <c r="W219"/>
  <c r="K219"/>
  <c r="E219"/>
  <c r="W218"/>
  <c r="K218"/>
  <c r="E218"/>
  <c r="W217"/>
  <c r="K217"/>
  <c r="E217"/>
  <c r="W216"/>
  <c r="K216"/>
  <c r="E216"/>
  <c r="W215"/>
  <c r="K215"/>
  <c r="E215"/>
  <c r="W214"/>
  <c r="K214"/>
  <c r="E214"/>
  <c r="W213"/>
  <c r="K213"/>
  <c r="E213"/>
  <c r="W212"/>
  <c r="K212"/>
  <c r="E212"/>
  <c r="W211"/>
  <c r="K211"/>
  <c r="E211"/>
  <c r="W210"/>
  <c r="K210"/>
  <c r="E210"/>
  <c r="W209"/>
  <c r="K209"/>
  <c r="W208"/>
  <c r="K208"/>
  <c r="E208"/>
  <c r="W207"/>
  <c r="K207"/>
  <c r="E207"/>
  <c r="W206"/>
  <c r="K206"/>
  <c r="E206"/>
  <c r="W205"/>
  <c r="K205"/>
  <c r="E205"/>
  <c r="W204"/>
  <c r="K204"/>
  <c r="E204"/>
  <c r="W203"/>
  <c r="K203"/>
  <c r="E203"/>
  <c r="W202"/>
  <c r="K202"/>
  <c r="E202"/>
  <c r="W201"/>
  <c r="K201"/>
  <c r="E201"/>
  <c r="W200"/>
  <c r="K200"/>
  <c r="E200"/>
  <c r="W199"/>
  <c r="K199"/>
  <c r="E199"/>
  <c r="W198"/>
  <c r="E198"/>
  <c r="W197"/>
  <c r="K197"/>
  <c r="E197"/>
  <c r="W196"/>
  <c r="K196"/>
  <c r="E196"/>
  <c r="W195"/>
  <c r="K195"/>
  <c r="E195"/>
  <c r="W194"/>
  <c r="K194"/>
  <c r="E194"/>
  <c r="W193"/>
  <c r="K193"/>
  <c r="E193"/>
  <c r="W192"/>
  <c r="K192"/>
  <c r="E192"/>
  <c r="AZ192" s="1"/>
  <c r="W191"/>
  <c r="K191"/>
  <c r="AZ184"/>
  <c r="AJ184"/>
  <c r="AT184" s="1"/>
  <c r="AZ183"/>
  <c r="AJ183"/>
  <c r="AT183" s="1"/>
  <c r="AZ182"/>
  <c r="AJ182"/>
  <c r="AT182" s="1"/>
  <c r="AZ181"/>
  <c r="AJ181"/>
  <c r="AT181" s="1"/>
  <c r="AZ180"/>
  <c r="AJ180"/>
  <c r="AT180" s="1"/>
  <c r="AZ178"/>
  <c r="AJ178"/>
  <c r="AT178" s="1"/>
  <c r="AZ177"/>
  <c r="AJ177"/>
  <c r="AT177" s="1"/>
  <c r="AZ176"/>
  <c r="AJ176"/>
  <c r="AT176" s="1"/>
  <c r="AZ175"/>
  <c r="AJ175"/>
  <c r="AT175" s="1"/>
  <c r="AZ174"/>
  <c r="AJ174"/>
  <c r="AT174" s="1"/>
  <c r="AZ173"/>
  <c r="AT173"/>
  <c r="AJ173"/>
  <c r="AZ172"/>
  <c r="AJ172"/>
  <c r="AT172" s="1"/>
  <c r="AZ171"/>
  <c r="AJ171"/>
  <c r="AT171" s="1"/>
  <c r="AJ170"/>
  <c r="AT170" s="1"/>
  <c r="AZ169"/>
  <c r="AJ169"/>
  <c r="AT169" s="1"/>
  <c r="AZ168"/>
  <c r="AJ168"/>
  <c r="AT168" s="1"/>
  <c r="AZ167"/>
  <c r="AJ167"/>
  <c r="AT167" s="1"/>
  <c r="AZ166"/>
  <c r="AJ166"/>
  <c r="AT166" s="1"/>
  <c r="AJ165"/>
  <c r="AT165" s="1"/>
  <c r="AZ164"/>
  <c r="AJ164"/>
  <c r="AT164" s="1"/>
  <c r="AZ163"/>
  <c r="AJ163"/>
  <c r="AT163" s="1"/>
  <c r="AZ162"/>
  <c r="AJ162"/>
  <c r="AT162" s="1"/>
  <c r="AZ161"/>
  <c r="AJ161"/>
  <c r="AT161" s="1"/>
  <c r="AZ160"/>
  <c r="AJ160"/>
  <c r="AT160" s="1"/>
  <c r="AZ159"/>
  <c r="AJ159"/>
  <c r="AT159" s="1"/>
  <c r="AZ158"/>
  <c r="AJ158"/>
  <c r="AT158" s="1"/>
  <c r="AZ157"/>
  <c r="AJ157"/>
  <c r="AT157" s="1"/>
  <c r="AZ156"/>
  <c r="AJ156"/>
  <c r="AT156" s="1"/>
  <c r="AZ155"/>
  <c r="AJ155"/>
  <c r="AT155" s="1"/>
  <c r="AZ154"/>
  <c r="AJ154"/>
  <c r="AT154" s="1"/>
  <c r="AZ153"/>
  <c r="AJ153"/>
  <c r="AT153" s="1"/>
  <c r="AZ152"/>
  <c r="AJ152"/>
  <c r="AT152" s="1"/>
  <c r="AZ151"/>
  <c r="AJ151"/>
  <c r="AT151" s="1"/>
  <c r="AZ150"/>
  <c r="AJ150"/>
  <c r="AT150" s="1"/>
  <c r="AZ149"/>
  <c r="AJ149"/>
  <c r="AT149" s="1"/>
  <c r="AZ148"/>
  <c r="AJ148"/>
  <c r="AT148" s="1"/>
  <c r="AZ147"/>
  <c r="AJ147"/>
  <c r="AT147" s="1"/>
  <c r="AZ146"/>
  <c r="AJ146"/>
  <c r="AT146" s="1"/>
  <c r="AZ145"/>
  <c r="AJ145"/>
  <c r="AT145" s="1"/>
  <c r="AZ144"/>
  <c r="AJ144"/>
  <c r="AT144" s="1"/>
  <c r="AZ143"/>
  <c r="AJ143"/>
  <c r="AT143" s="1"/>
  <c r="AZ142"/>
  <c r="AJ142"/>
  <c r="AT142" s="1"/>
  <c r="AZ141"/>
  <c r="AJ141"/>
  <c r="AT141" s="1"/>
  <c r="AZ140"/>
  <c r="AJ140"/>
  <c r="AT140" s="1"/>
  <c r="AZ139"/>
  <c r="AT139"/>
  <c r="AJ139"/>
  <c r="AZ138"/>
  <c r="AJ138"/>
  <c r="AT138" s="1"/>
  <c r="AZ137"/>
  <c r="AJ137"/>
  <c r="AT137" s="1"/>
  <c r="AZ136"/>
  <c r="AJ136"/>
  <c r="AT136" s="1"/>
  <c r="AZ135"/>
  <c r="AJ135"/>
  <c r="AT135" s="1"/>
  <c r="AZ134"/>
  <c r="AJ134"/>
  <c r="AT134" s="1"/>
  <c r="AZ133"/>
  <c r="AJ133"/>
  <c r="AT133" s="1"/>
  <c r="AZ132"/>
  <c r="AJ132"/>
  <c r="AT132" s="1"/>
  <c r="AZ131"/>
  <c r="AJ131"/>
  <c r="AT131" s="1"/>
  <c r="AZ130"/>
  <c r="AJ130"/>
  <c r="AT130" s="1"/>
  <c r="AZ129"/>
  <c r="AT129"/>
  <c r="AJ129"/>
  <c r="AZ128"/>
  <c r="AJ128"/>
  <c r="AT128" s="1"/>
  <c r="AZ127"/>
  <c r="AJ127"/>
  <c r="AT127" s="1"/>
  <c r="AZ126"/>
  <c r="AJ126"/>
  <c r="AT126" s="1"/>
  <c r="AJ125"/>
  <c r="AT125" s="1"/>
  <c r="AZ124"/>
  <c r="AJ124"/>
  <c r="AT124" s="1"/>
  <c r="AZ123"/>
  <c r="AJ123"/>
  <c r="AT123" s="1"/>
  <c r="AZ122"/>
  <c r="AJ122"/>
  <c r="AT122" s="1"/>
  <c r="AZ121"/>
  <c r="AJ121"/>
  <c r="AT121" s="1"/>
  <c r="AZ120"/>
  <c r="AJ120"/>
  <c r="AT120" s="1"/>
  <c r="AZ119"/>
  <c r="AJ119"/>
  <c r="AT119" s="1"/>
  <c r="AZ118"/>
  <c r="AJ118"/>
  <c r="AT118" s="1"/>
  <c r="AZ117"/>
  <c r="AJ117"/>
  <c r="AT117" s="1"/>
  <c r="AZ116"/>
  <c r="AJ116"/>
  <c r="AT116" s="1"/>
  <c r="AZ115"/>
  <c r="AT115"/>
  <c r="AJ115"/>
  <c r="AZ114"/>
  <c r="AJ114"/>
  <c r="AT114" s="1"/>
  <c r="AJ113"/>
  <c r="AT113" s="1"/>
  <c r="AZ112"/>
  <c r="AJ112"/>
  <c r="AT112" s="1"/>
  <c r="AZ111"/>
  <c r="AJ111"/>
  <c r="AT111" s="1"/>
  <c r="AZ110"/>
  <c r="AJ110"/>
  <c r="AT110" s="1"/>
  <c r="AZ109"/>
  <c r="AJ109"/>
  <c r="AT109" s="1"/>
  <c r="AZ108"/>
  <c r="AJ108"/>
  <c r="AT108" s="1"/>
  <c r="AZ107"/>
  <c r="AJ107"/>
  <c r="AT107" s="1"/>
  <c r="AJ106"/>
  <c r="AT106" s="1"/>
  <c r="AJ105"/>
  <c r="AT105" s="1"/>
  <c r="AZ104"/>
  <c r="AJ104"/>
  <c r="AT104" s="1"/>
  <c r="AZ103"/>
  <c r="AT103"/>
  <c r="AJ103"/>
  <c r="AZ102"/>
  <c r="AJ102"/>
  <c r="AT102" s="1"/>
  <c r="AZ101"/>
  <c r="AJ101"/>
  <c r="AT101" s="1"/>
  <c r="AZ100"/>
  <c r="AJ100"/>
  <c r="AT100" s="1"/>
  <c r="AZ99"/>
  <c r="AJ99"/>
  <c r="AT99" s="1"/>
  <c r="AZ98"/>
  <c r="AJ98"/>
  <c r="AT98" s="1"/>
  <c r="AZ254"/>
  <c r="AJ254"/>
  <c r="AT254" s="1"/>
  <c r="AZ253"/>
  <c r="AJ253"/>
  <c r="AT253" s="1"/>
  <c r="AZ252"/>
  <c r="AJ252"/>
  <c r="AT252" s="1"/>
  <c r="AZ251"/>
  <c r="AJ251"/>
  <c r="AT251" s="1"/>
  <c r="AZ250"/>
  <c r="AJ250"/>
  <c r="AT250" s="1"/>
  <c r="AZ249"/>
  <c r="AJ249"/>
  <c r="AT249" s="1"/>
  <c r="AZ248"/>
  <c r="AJ248"/>
  <c r="AT248" s="1"/>
  <c r="AZ247"/>
  <c r="AJ247"/>
  <c r="AT247" s="1"/>
  <c r="AZ246"/>
  <c r="AJ246"/>
  <c r="AT246" s="1"/>
  <c r="AZ245"/>
  <c r="AJ245"/>
  <c r="AT245" s="1"/>
  <c r="AZ244"/>
  <c r="AJ244"/>
  <c r="AT244" s="1"/>
  <c r="AZ243"/>
  <c r="AJ243"/>
  <c r="AT243" s="1"/>
  <c r="AZ242"/>
  <c r="AJ242"/>
  <c r="AT242" s="1"/>
  <c r="AZ241"/>
  <c r="AT241"/>
  <c r="AJ241"/>
  <c r="AT240"/>
  <c r="AZ239"/>
  <c r="AJ239"/>
  <c r="AT239" s="1"/>
  <c r="AZ238"/>
  <c r="AJ238"/>
  <c r="AT238" s="1"/>
  <c r="AZ237"/>
  <c r="AJ237"/>
  <c r="AT237" s="1"/>
  <c r="AJ236"/>
  <c r="AT236" s="1"/>
  <c r="AJ235"/>
  <c r="AT235" s="1"/>
  <c r="AZ234"/>
  <c r="AJ234"/>
  <c r="AT234" s="1"/>
  <c r="AZ233"/>
  <c r="AJ233"/>
  <c r="AT233" s="1"/>
  <c r="AZ232"/>
  <c r="AJ232"/>
  <c r="AT232" s="1"/>
  <c r="AZ229"/>
  <c r="AJ229"/>
  <c r="AT229" s="1"/>
  <c r="AZ228"/>
  <c r="AJ228"/>
  <c r="AT228" s="1"/>
  <c r="AZ227"/>
  <c r="AJ227"/>
  <c r="AT227" s="1"/>
  <c r="AZ226"/>
  <c r="AJ226"/>
  <c r="AT226" s="1"/>
  <c r="AZ225"/>
  <c r="AT225"/>
  <c r="AJ225"/>
  <c r="AJ224"/>
  <c r="AT224" s="1"/>
  <c r="AZ223"/>
  <c r="AJ223"/>
  <c r="AT223" s="1"/>
  <c r="AZ222"/>
  <c r="AJ222"/>
  <c r="AT222" s="1"/>
  <c r="AZ221"/>
  <c r="AJ221"/>
  <c r="AT221" s="1"/>
  <c r="AZ220"/>
  <c r="AJ220"/>
  <c r="AT220" s="1"/>
  <c r="AZ219"/>
  <c r="AJ219"/>
  <c r="AT219" s="1"/>
  <c r="AZ218"/>
  <c r="AJ218"/>
  <c r="AT218" s="1"/>
  <c r="AZ217"/>
  <c r="AJ217"/>
  <c r="AT217" s="1"/>
  <c r="AZ216"/>
  <c r="AJ216"/>
  <c r="AT216" s="1"/>
  <c r="AZ215"/>
  <c r="AT215"/>
  <c r="AJ215"/>
  <c r="AZ214"/>
  <c r="AJ214"/>
  <c r="AT214" s="1"/>
  <c r="AZ213"/>
  <c r="AJ213"/>
  <c r="AT213" s="1"/>
  <c r="AZ212"/>
  <c r="AJ212"/>
  <c r="AT212" s="1"/>
  <c r="AZ211"/>
  <c r="AJ211"/>
  <c r="AT211" s="1"/>
  <c r="AZ210"/>
  <c r="AJ210"/>
  <c r="AT210" s="1"/>
  <c r="AZ209"/>
  <c r="AJ209"/>
  <c r="AT209" s="1"/>
  <c r="AZ208"/>
  <c r="AJ208"/>
  <c r="AT208" s="1"/>
  <c r="AZ207"/>
  <c r="AJ207"/>
  <c r="AT207" s="1"/>
  <c r="AZ206"/>
  <c r="AJ206"/>
  <c r="AT206" s="1"/>
  <c r="AZ205"/>
  <c r="AJ205"/>
  <c r="AT205" s="1"/>
  <c r="AZ204"/>
  <c r="AJ204"/>
  <c r="AT204" s="1"/>
  <c r="AZ203"/>
  <c r="AJ203"/>
  <c r="AT203" s="1"/>
  <c r="AZ202"/>
  <c r="AJ202"/>
  <c r="AT202" s="1"/>
  <c r="AZ201"/>
  <c r="AJ201"/>
  <c r="AT201" s="1"/>
  <c r="AZ200"/>
  <c r="AJ200"/>
  <c r="AT200" s="1"/>
  <c r="AZ199"/>
  <c r="AJ199"/>
  <c r="AT199" s="1"/>
  <c r="AZ198"/>
  <c r="AJ198"/>
  <c r="AT198" s="1"/>
  <c r="AZ197"/>
  <c r="AJ197"/>
  <c r="AT197" s="1"/>
  <c r="AZ196"/>
  <c r="AJ196"/>
  <c r="AT196" s="1"/>
  <c r="AZ195"/>
  <c r="AJ195"/>
  <c r="AT195" s="1"/>
  <c r="AZ194"/>
  <c r="AJ194"/>
  <c r="AT194" s="1"/>
  <c r="AZ193"/>
  <c r="AJ193"/>
  <c r="AT193" s="1"/>
  <c r="AJ192"/>
  <c r="AT192" s="1"/>
  <c r="AZ191"/>
  <c r="AJ191"/>
  <c r="AT191" s="1"/>
  <c r="AJ188"/>
  <c r="AI250" i="14"/>
  <c r="AS250" s="1"/>
  <c r="AI249"/>
  <c r="AS249" s="1"/>
  <c r="AI248"/>
  <c r="AS248" s="1"/>
  <c r="AI247"/>
  <c r="AS247" s="1"/>
  <c r="AI246"/>
  <c r="AS246" s="1"/>
  <c r="AI245"/>
  <c r="AS245" s="1"/>
  <c r="AI244"/>
  <c r="AS244" s="1"/>
  <c r="AI243"/>
  <c r="AS243" s="1"/>
  <c r="AI242"/>
  <c r="AS242" s="1"/>
  <c r="AI241"/>
  <c r="AS241" s="1"/>
  <c r="AI240"/>
  <c r="AS240" s="1"/>
  <c r="AI239"/>
  <c r="AS239" s="1"/>
  <c r="AI238"/>
  <c r="AS238" s="1"/>
  <c r="AI237"/>
  <c r="AS237" s="1"/>
  <c r="AI236"/>
  <c r="AS236" s="1"/>
  <c r="AI235"/>
  <c r="AS235" s="1"/>
  <c r="AI234"/>
  <c r="AS234" s="1"/>
  <c r="AI233"/>
  <c r="AS233" s="1"/>
  <c r="AI232"/>
  <c r="AS232" s="1"/>
  <c r="AI231"/>
  <c r="AS231" s="1"/>
  <c r="AI230"/>
  <c r="AS230" s="1"/>
  <c r="AI229"/>
  <c r="AS229" s="1"/>
  <c r="AI226"/>
  <c r="AS226" s="1"/>
  <c r="AI225"/>
  <c r="AS225" s="1"/>
  <c r="AI224"/>
  <c r="AS224" s="1"/>
  <c r="AI223"/>
  <c r="AS223" s="1"/>
  <c r="AI222"/>
  <c r="AS222" s="1"/>
  <c r="AI221"/>
  <c r="AS221" s="1"/>
  <c r="AI220"/>
  <c r="AS220" s="1"/>
  <c r="AI219"/>
  <c r="AS219" s="1"/>
  <c r="AI218"/>
  <c r="AS218" s="1"/>
  <c r="AI217"/>
  <c r="AS217" s="1"/>
  <c r="AI216"/>
  <c r="AS216" s="1"/>
  <c r="AI215"/>
  <c r="AS215" s="1"/>
  <c r="AI214"/>
  <c r="AS214" s="1"/>
  <c r="AI213"/>
  <c r="AS213" s="1"/>
  <c r="AI212"/>
  <c r="AS212" s="1"/>
  <c r="AI211"/>
  <c r="AS211" s="1"/>
  <c r="AI210"/>
  <c r="AS210" s="1"/>
  <c r="AI209"/>
  <c r="AS209" s="1"/>
  <c r="AI208"/>
  <c r="AS208" s="1"/>
  <c r="AI207"/>
  <c r="AS207" s="1"/>
  <c r="AI206"/>
  <c r="AS206" s="1"/>
  <c r="AI205"/>
  <c r="AS205" s="1"/>
  <c r="AI204"/>
  <c r="AS204" s="1"/>
  <c r="AI203"/>
  <c r="AS203" s="1"/>
  <c r="AI202"/>
  <c r="AS202" s="1"/>
  <c r="AI201"/>
  <c r="AS201" s="1"/>
  <c r="AI200"/>
  <c r="AS200" s="1"/>
  <c r="AI199"/>
  <c r="AS199" s="1"/>
  <c r="AI198"/>
  <c r="AS198" s="1"/>
  <c r="AI197"/>
  <c r="AS197" s="1"/>
  <c r="AI196"/>
  <c r="AS196" s="1"/>
  <c r="AI195"/>
  <c r="AS195" s="1"/>
  <c r="AI194"/>
  <c r="AS194" s="1"/>
  <c r="AI193"/>
  <c r="AS193" s="1"/>
  <c r="AI192"/>
  <c r="AS192" s="1"/>
  <c r="AI191"/>
  <c r="AS191" s="1"/>
  <c r="AI190"/>
  <c r="AS190" s="1"/>
  <c r="AI189"/>
  <c r="AS189" s="1"/>
  <c r="AS188"/>
  <c r="AI187"/>
  <c r="AS187" s="1"/>
  <c r="AI186"/>
  <c r="AS186" s="1"/>
  <c r="AI185"/>
  <c r="AS185" s="1"/>
  <c r="AI184"/>
  <c r="AS184" s="1"/>
  <c r="AI183"/>
  <c r="AS183" s="1"/>
  <c r="AI182"/>
  <c r="AS182" s="1"/>
  <c r="AI181"/>
  <c r="AS181" s="1"/>
  <c r="AI180"/>
  <c r="AS180" s="1"/>
  <c r="AI179"/>
  <c r="AS179" s="1"/>
  <c r="AI178"/>
  <c r="AS178" s="1"/>
  <c r="AI177"/>
  <c r="AS177" s="1"/>
  <c r="AI174"/>
  <c r="AS174" s="1"/>
  <c r="AI173"/>
  <c r="AS173" s="1"/>
  <c r="AI172"/>
  <c r="AS172" s="1"/>
  <c r="AI171"/>
  <c r="AS171" s="1"/>
  <c r="AI170"/>
  <c r="AS170" s="1"/>
  <c r="AI169"/>
  <c r="AS169" s="1"/>
  <c r="AI168"/>
  <c r="AS168" s="1"/>
  <c r="AI167"/>
  <c r="AS167" s="1"/>
  <c r="AI166"/>
  <c r="AS166" s="1"/>
  <c r="AI165"/>
  <c r="AS165" s="1"/>
  <c r="AI164"/>
  <c r="AS164" s="1"/>
  <c r="AI163"/>
  <c r="AS163" s="1"/>
  <c r="AI162"/>
  <c r="AS162" s="1"/>
  <c r="AI161"/>
  <c r="AS161" s="1"/>
  <c r="AI160"/>
  <c r="AS160" s="1"/>
  <c r="AI159"/>
  <c r="AS159" s="1"/>
  <c r="AI158"/>
  <c r="AS158" s="1"/>
  <c r="AI157"/>
  <c r="AS157" s="1"/>
  <c r="AI156"/>
  <c r="AS156" s="1"/>
  <c r="AI155"/>
  <c r="AS155" s="1"/>
  <c r="AI154"/>
  <c r="AS154" s="1"/>
  <c r="AI153"/>
  <c r="AS153" s="1"/>
  <c r="AI152"/>
  <c r="AS152" s="1"/>
  <c r="AI151"/>
  <c r="AS151" s="1"/>
  <c r="AI150"/>
  <c r="AS150" s="1"/>
  <c r="AI149"/>
  <c r="AS149" s="1"/>
  <c r="AI148"/>
  <c r="AS148" s="1"/>
  <c r="AI147"/>
  <c r="AS147" s="1"/>
  <c r="AI146"/>
  <c r="AS146" s="1"/>
  <c r="AI145"/>
  <c r="AS145" s="1"/>
  <c r="AI144"/>
  <c r="AS144" s="1"/>
  <c r="AI143"/>
  <c r="AS143" s="1"/>
  <c r="AI142"/>
  <c r="AS142" s="1"/>
  <c r="AI141"/>
  <c r="AS141" s="1"/>
  <c r="AI140"/>
  <c r="AS140" s="1"/>
  <c r="AI139"/>
  <c r="AS139" s="1"/>
  <c r="AI138"/>
  <c r="AS138" s="1"/>
  <c r="AI137"/>
  <c r="AS137" s="1"/>
  <c r="AI136"/>
  <c r="AS136" s="1"/>
  <c r="AI135"/>
  <c r="AS135" s="1"/>
  <c r="AI134"/>
  <c r="AS134" s="1"/>
  <c r="AI133"/>
  <c r="AS133" s="1"/>
  <c r="AI132"/>
  <c r="AS132" s="1"/>
  <c r="AI131"/>
  <c r="AS131" s="1"/>
  <c r="AI130"/>
  <c r="AS130" s="1"/>
  <c r="AI129"/>
  <c r="AS129" s="1"/>
  <c r="AI128"/>
  <c r="AS128" s="1"/>
  <c r="AI127"/>
  <c r="AS127" s="1"/>
  <c r="AI126"/>
  <c r="AS126" s="1"/>
  <c r="AI125"/>
  <c r="AS125" s="1"/>
  <c r="AI124"/>
  <c r="AS124" s="1"/>
  <c r="AI123"/>
  <c r="AS123" s="1"/>
  <c r="AI122"/>
  <c r="AS122" s="1"/>
  <c r="AI121"/>
  <c r="AS121" s="1"/>
  <c r="AI120"/>
  <c r="AS120" s="1"/>
  <c r="AI119"/>
  <c r="AS119" s="1"/>
  <c r="AI118"/>
  <c r="AS118" s="1"/>
  <c r="AI117"/>
  <c r="AS117" s="1"/>
  <c r="AI116"/>
  <c r="AS116" s="1"/>
  <c r="AI115"/>
  <c r="AS115" s="1"/>
  <c r="AI114"/>
  <c r="AS114" s="1"/>
  <c r="AI112"/>
  <c r="AS112" s="1"/>
  <c r="AI111"/>
  <c r="AS111" s="1"/>
  <c r="AI110"/>
  <c r="AS110" s="1"/>
  <c r="AI109"/>
  <c r="AS109" s="1"/>
  <c r="AI108"/>
  <c r="AS108" s="1"/>
  <c r="AI107"/>
  <c r="AS107" s="1"/>
  <c r="AI106"/>
  <c r="AS106" s="1"/>
  <c r="AI105"/>
  <c r="AS105" s="1"/>
  <c r="AI104"/>
  <c r="AS104" s="1"/>
  <c r="AI103"/>
  <c r="AS103" s="1"/>
  <c r="AI102"/>
  <c r="AS102" s="1"/>
  <c r="AI101"/>
  <c r="AS101" s="1"/>
  <c r="AI100"/>
  <c r="AS100" s="1"/>
  <c r="AI99"/>
  <c r="AS99" s="1"/>
  <c r="AI98"/>
  <c r="AS98" s="1"/>
  <c r="AI97"/>
  <c r="AS97" s="1"/>
  <c r="AI96"/>
  <c r="AS96" s="1"/>
  <c r="AI95"/>
  <c r="AS95" s="1"/>
  <c r="AI94"/>
  <c r="AS94" s="1"/>
  <c r="AI93"/>
  <c r="AS93" s="1"/>
  <c r="AI92"/>
  <c r="AS92" s="1"/>
  <c r="E176"/>
  <c r="W250"/>
  <c r="K250"/>
  <c r="E250"/>
  <c r="W249"/>
  <c r="K249"/>
  <c r="E249"/>
  <c r="W248"/>
  <c r="K248"/>
  <c r="E248"/>
  <c r="W247"/>
  <c r="K247"/>
  <c r="E247"/>
  <c r="AY247" s="1"/>
  <c r="W246"/>
  <c r="K246"/>
  <c r="E246"/>
  <c r="AY246" s="1"/>
  <c r="W245"/>
  <c r="K245"/>
  <c r="AY245" s="1"/>
  <c r="E245"/>
  <c r="W244"/>
  <c r="K244"/>
  <c r="E244"/>
  <c r="W243"/>
  <c r="K243"/>
  <c r="E243"/>
  <c r="W242"/>
  <c r="K242"/>
  <c r="E242"/>
  <c r="W241"/>
  <c r="K241"/>
  <c r="E241"/>
  <c r="W240"/>
  <c r="K240"/>
  <c r="E240"/>
  <c r="W239"/>
  <c r="K239"/>
  <c r="E239"/>
  <c r="W238"/>
  <c r="K238"/>
  <c r="E238"/>
  <c r="W237"/>
  <c r="K237"/>
  <c r="E237"/>
  <c r="W236"/>
  <c r="K236"/>
  <c r="E236"/>
  <c r="W235"/>
  <c r="K235"/>
  <c r="E235"/>
  <c r="W234"/>
  <c r="K234"/>
  <c r="E234"/>
  <c r="W233"/>
  <c r="K233"/>
  <c r="E233"/>
  <c r="W232"/>
  <c r="K232"/>
  <c r="E232"/>
  <c r="AY232" s="1"/>
  <c r="W231"/>
  <c r="K231"/>
  <c r="AY231" s="1"/>
  <c r="E231"/>
  <c r="W230"/>
  <c r="K230"/>
  <c r="E230"/>
  <c r="W229"/>
  <c r="K229"/>
  <c r="E229"/>
  <c r="W226"/>
  <c r="K226"/>
  <c r="E226"/>
  <c r="W225"/>
  <c r="K225"/>
  <c r="E225"/>
  <c r="W224"/>
  <c r="K224"/>
  <c r="E224"/>
  <c r="W223"/>
  <c r="K223"/>
  <c r="E223"/>
  <c r="W222"/>
  <c r="K222"/>
  <c r="E222"/>
  <c r="AY222" s="1"/>
  <c r="W221"/>
  <c r="K221"/>
  <c r="E221"/>
  <c r="W220"/>
  <c r="K220"/>
  <c r="E220"/>
  <c r="AY220" s="1"/>
  <c r="W219"/>
  <c r="K219"/>
  <c r="AY219" s="1"/>
  <c r="W218"/>
  <c r="K218"/>
  <c r="E218"/>
  <c r="W217"/>
  <c r="K217"/>
  <c r="E217"/>
  <c r="W216"/>
  <c r="K216"/>
  <c r="E216"/>
  <c r="W215"/>
  <c r="K215"/>
  <c r="E215"/>
  <c r="W214"/>
  <c r="K214"/>
  <c r="E214"/>
  <c r="W213"/>
  <c r="K213"/>
  <c r="E213"/>
  <c r="W212"/>
  <c r="K212"/>
  <c r="E212"/>
  <c r="W211"/>
  <c r="K211"/>
  <c r="E211"/>
  <c r="W210"/>
  <c r="K210"/>
  <c r="E210"/>
  <c r="W209"/>
  <c r="K209"/>
  <c r="E209"/>
  <c r="W208"/>
  <c r="K208"/>
  <c r="E208"/>
  <c r="W207"/>
  <c r="K207"/>
  <c r="E207"/>
  <c r="W206"/>
  <c r="K206"/>
  <c r="E206"/>
  <c r="W205"/>
  <c r="K205"/>
  <c r="E205"/>
  <c r="W204"/>
  <c r="K204"/>
  <c r="E204"/>
  <c r="W203"/>
  <c r="K203"/>
  <c r="E203"/>
  <c r="AY203" s="1"/>
  <c r="W202"/>
  <c r="K202"/>
  <c r="E202"/>
  <c r="W201"/>
  <c r="K201"/>
  <c r="E201"/>
  <c r="AY201" s="1"/>
  <c r="W200"/>
  <c r="K200"/>
  <c r="E200"/>
  <c r="W199"/>
  <c r="K199"/>
  <c r="E199"/>
  <c r="AY199" s="1"/>
  <c r="W198"/>
  <c r="K198"/>
  <c r="E198"/>
  <c r="AY198" s="1"/>
  <c r="W197"/>
  <c r="K197"/>
  <c r="E197"/>
  <c r="AY197" s="1"/>
  <c r="W196"/>
  <c r="K196"/>
  <c r="E196"/>
  <c r="W195"/>
  <c r="K195"/>
  <c r="E195"/>
  <c r="W194"/>
  <c r="K194"/>
  <c r="E194"/>
  <c r="W193"/>
  <c r="K193"/>
  <c r="E193"/>
  <c r="AY193" s="1"/>
  <c r="W192"/>
  <c r="K192"/>
  <c r="AY192" s="1"/>
  <c r="E192"/>
  <c r="W191"/>
  <c r="K191"/>
  <c r="E191"/>
  <c r="AY191" s="1"/>
  <c r="W190"/>
  <c r="E190"/>
  <c r="AY190" s="1"/>
  <c r="W189"/>
  <c r="K189"/>
  <c r="E189"/>
  <c r="W188"/>
  <c r="K188"/>
  <c r="E188"/>
  <c r="W187"/>
  <c r="K187"/>
  <c r="AY187" s="1"/>
  <c r="W186"/>
  <c r="K186"/>
  <c r="E186"/>
  <c r="W185"/>
  <c r="K185"/>
  <c r="E185"/>
  <c r="W184"/>
  <c r="K184"/>
  <c r="AY184" s="1"/>
  <c r="E184"/>
  <c r="W183"/>
  <c r="K183"/>
  <c r="E183"/>
  <c r="W182"/>
  <c r="K182"/>
  <c r="E182"/>
  <c r="W181"/>
  <c r="K181"/>
  <c r="E181"/>
  <c r="W180"/>
  <c r="K180"/>
  <c r="AY180" s="1"/>
  <c r="E180"/>
  <c r="W179"/>
  <c r="K179"/>
  <c r="E179"/>
  <c r="W178"/>
  <c r="K178"/>
  <c r="E178"/>
  <c r="W177"/>
  <c r="K177"/>
  <c r="AY177" s="1"/>
  <c r="W174"/>
  <c r="K174"/>
  <c r="E174"/>
  <c r="W173"/>
  <c r="K173"/>
  <c r="E173"/>
  <c r="W172"/>
  <c r="K172"/>
  <c r="E172"/>
  <c r="W171"/>
  <c r="K171"/>
  <c r="E171"/>
  <c r="AY171" s="1"/>
  <c r="W170"/>
  <c r="K170"/>
  <c r="E170"/>
  <c r="AY170" s="1"/>
  <c r="W169"/>
  <c r="K169"/>
  <c r="E169"/>
  <c r="W168"/>
  <c r="K168"/>
  <c r="E168"/>
  <c r="W167"/>
  <c r="K167"/>
  <c r="E167"/>
  <c r="W166"/>
  <c r="K166"/>
  <c r="E166"/>
  <c r="W165"/>
  <c r="K165"/>
  <c r="E165"/>
  <c r="W164"/>
  <c r="K164"/>
  <c r="E164"/>
  <c r="AY164" s="1"/>
  <c r="W163"/>
  <c r="K163"/>
  <c r="E163"/>
  <c r="W162"/>
  <c r="E162"/>
  <c r="AY162" s="1"/>
  <c r="W161"/>
  <c r="K161"/>
  <c r="E161"/>
  <c r="AY161" s="1"/>
  <c r="W160"/>
  <c r="K160"/>
  <c r="E160"/>
  <c r="W159"/>
  <c r="K159"/>
  <c r="E159"/>
  <c r="AY159" s="1"/>
  <c r="W158"/>
  <c r="K158"/>
  <c r="E158"/>
  <c r="W157"/>
  <c r="K157"/>
  <c r="E157"/>
  <c r="W156"/>
  <c r="K156"/>
  <c r="E156"/>
  <c r="W155"/>
  <c r="K155"/>
  <c r="E155"/>
  <c r="W154"/>
  <c r="K154"/>
  <c r="E154"/>
  <c r="W153"/>
  <c r="K153"/>
  <c r="E153"/>
  <c r="W152"/>
  <c r="K152"/>
  <c r="E152"/>
  <c r="W151"/>
  <c r="E151"/>
  <c r="AY151" s="1"/>
  <c r="W150"/>
  <c r="K150"/>
  <c r="E150"/>
  <c r="W149"/>
  <c r="K149"/>
  <c r="E149"/>
  <c r="W148"/>
  <c r="K148"/>
  <c r="E148"/>
  <c r="W147"/>
  <c r="K147"/>
  <c r="E147"/>
  <c r="W146"/>
  <c r="K146"/>
  <c r="E146"/>
  <c r="W145"/>
  <c r="K145"/>
  <c r="E145"/>
  <c r="AY145" s="1"/>
  <c r="W144"/>
  <c r="K144"/>
  <c r="E144"/>
  <c r="AY144" s="1"/>
  <c r="W143"/>
  <c r="K143"/>
  <c r="E143"/>
  <c r="W142"/>
  <c r="K142"/>
  <c r="E142"/>
  <c r="W141"/>
  <c r="K141"/>
  <c r="E141"/>
  <c r="W140"/>
  <c r="K140"/>
  <c r="E140"/>
  <c r="W139"/>
  <c r="K139"/>
  <c r="AY139" s="1"/>
  <c r="E139"/>
  <c r="W138"/>
  <c r="K138"/>
  <c r="E138"/>
  <c r="W137"/>
  <c r="K137"/>
  <c r="E137"/>
  <c r="AY137" s="1"/>
  <c r="W136"/>
  <c r="K136"/>
  <c r="E136"/>
  <c r="AY136" s="1"/>
  <c r="W135"/>
  <c r="K135"/>
  <c r="AY135" s="1"/>
  <c r="E135"/>
  <c r="W134"/>
  <c r="K134"/>
  <c r="E134"/>
  <c r="AY134" s="1"/>
  <c r="W133"/>
  <c r="K133"/>
  <c r="E133"/>
  <c r="W132"/>
  <c r="K132"/>
  <c r="E132"/>
  <c r="W131"/>
  <c r="K131"/>
  <c r="E131"/>
  <c r="W130"/>
  <c r="K130"/>
  <c r="E130"/>
  <c r="W129"/>
  <c r="K129"/>
  <c r="E129"/>
  <c r="W128"/>
  <c r="K128"/>
  <c r="E128"/>
  <c r="W127"/>
  <c r="K127"/>
  <c r="E127"/>
  <c r="W126"/>
  <c r="K126"/>
  <c r="E126"/>
  <c r="AY126" s="1"/>
  <c r="W125"/>
  <c r="K125"/>
  <c r="E125"/>
  <c r="W124"/>
  <c r="K124"/>
  <c r="E124"/>
  <c r="AY124" s="1"/>
  <c r="W123"/>
  <c r="K123"/>
  <c r="AY123" s="1"/>
  <c r="E123"/>
  <c r="W122"/>
  <c r="K122"/>
  <c r="E122"/>
  <c r="W121"/>
  <c r="K121"/>
  <c r="E121"/>
  <c r="W120"/>
  <c r="K120"/>
  <c r="E120"/>
  <c r="W119"/>
  <c r="K119"/>
  <c r="E119"/>
  <c r="W118"/>
  <c r="K118"/>
  <c r="E118"/>
  <c r="W117"/>
  <c r="K117"/>
  <c r="E117"/>
  <c r="W116"/>
  <c r="K116"/>
  <c r="E116"/>
  <c r="W115"/>
  <c r="K115"/>
  <c r="E115"/>
  <c r="W114"/>
  <c r="K114"/>
  <c r="E114"/>
  <c r="W112"/>
  <c r="K112"/>
  <c r="E112"/>
  <c r="W111"/>
  <c r="K111"/>
  <c r="E111"/>
  <c r="W110"/>
  <c r="K110"/>
  <c r="E110"/>
  <c r="W109"/>
  <c r="K109"/>
  <c r="E109"/>
  <c r="W108"/>
  <c r="K108"/>
  <c r="E108"/>
  <c r="AY108" s="1"/>
  <c r="W107"/>
  <c r="K107"/>
  <c r="E107"/>
  <c r="AY107" s="1"/>
  <c r="W106"/>
  <c r="K106"/>
  <c r="E106"/>
  <c r="W105"/>
  <c r="K105"/>
  <c r="E105"/>
  <c r="W104"/>
  <c r="K104"/>
  <c r="E104"/>
  <c r="W103"/>
  <c r="K103"/>
  <c r="E103"/>
  <c r="W102"/>
  <c r="K102"/>
  <c r="E102"/>
  <c r="W101"/>
  <c r="K101"/>
  <c r="E101"/>
  <c r="AY101" s="1"/>
  <c r="W100"/>
  <c r="K100"/>
  <c r="E100"/>
  <c r="W99"/>
  <c r="K99"/>
  <c r="E99"/>
  <c r="W98"/>
  <c r="K98"/>
  <c r="E98"/>
  <c r="W97"/>
  <c r="K97"/>
  <c r="E97"/>
  <c r="W96"/>
  <c r="K96"/>
  <c r="E96"/>
  <c r="W95"/>
  <c r="K95"/>
  <c r="E95"/>
  <c r="AY95" s="1"/>
  <c r="W94"/>
  <c r="K94"/>
  <c r="E94"/>
  <c r="W93"/>
  <c r="K93"/>
  <c r="E93"/>
  <c r="W92"/>
  <c r="K92"/>
  <c r="E92"/>
  <c r="E90"/>
  <c r="K89"/>
  <c r="E208" i="15"/>
  <c r="E209"/>
  <c r="BK66" i="14"/>
  <c r="BI66"/>
  <c r="AK66"/>
  <c r="AE66"/>
  <c r="BL68" i="6"/>
  <c r="BJ68"/>
  <c r="BF68"/>
  <c r="AF68"/>
  <c r="Q67" i="5"/>
  <c r="W67" i="4"/>
  <c r="Q67"/>
  <c r="Q67" i="1"/>
  <c r="Q67" i="3"/>
  <c r="M67"/>
  <c r="E67"/>
  <c r="M67" i="7"/>
  <c r="E67"/>
  <c r="K66" i="9"/>
  <c r="M66"/>
  <c r="K66" i="8"/>
  <c r="U67" i="10"/>
  <c r="W66" i="4"/>
  <c r="Q66" i="3"/>
  <c r="K65" i="9"/>
  <c r="U66" i="10"/>
  <c r="G66"/>
  <c r="BK64" i="14"/>
  <c r="BI64"/>
  <c r="AE64"/>
  <c r="BL66" i="6"/>
  <c r="AF66"/>
  <c r="AL64" i="5"/>
  <c r="I64"/>
  <c r="W65" i="4"/>
  <c r="Q65"/>
  <c r="M65"/>
  <c r="I64" i="2"/>
  <c r="Q64" i="1"/>
  <c r="M64"/>
  <c r="Q65" i="3"/>
  <c r="O65"/>
  <c r="M65"/>
  <c r="E65"/>
  <c r="M65" i="7"/>
  <c r="K64" i="8"/>
  <c r="K64" i="9"/>
  <c r="U65" i="10"/>
  <c r="G65"/>
  <c r="Q65" i="12"/>
  <c r="O64" i="10"/>
  <c r="E64" i="12"/>
  <c r="U64"/>
  <c r="Q64"/>
  <c r="BK61" i="15"/>
  <c r="BK61" i="13"/>
  <c r="BK63" i="14"/>
  <c r="BE63"/>
  <c r="BL65" i="6"/>
  <c r="BF65"/>
  <c r="K65"/>
  <c r="AP63" i="5"/>
  <c r="M63" i="4"/>
  <c r="AK63" i="2"/>
  <c r="M63" i="1"/>
  <c r="Q64" i="3"/>
  <c r="M64"/>
  <c r="E64"/>
  <c r="M64" i="7"/>
  <c r="S63" i="9"/>
  <c r="M63"/>
  <c r="K63"/>
  <c r="U64" i="10"/>
  <c r="G64"/>
  <c r="BK62" i="14"/>
  <c r="BI62"/>
  <c r="AE62"/>
  <c r="BL64" i="6"/>
  <c r="BH64"/>
  <c r="AF64"/>
  <c r="S64"/>
  <c r="S62" i="4"/>
  <c r="Q62"/>
  <c r="Q62" i="1"/>
  <c r="O63" i="3"/>
  <c r="M63"/>
  <c r="E63"/>
  <c r="E63" i="7"/>
  <c r="K62" i="9"/>
  <c r="M62"/>
  <c r="U63" i="10"/>
  <c r="G63"/>
  <c r="BK61" i="14"/>
  <c r="BG61"/>
  <c r="AE61"/>
  <c r="BL63" i="6"/>
  <c r="BJ63"/>
  <c r="AF63"/>
  <c r="Q61" i="4"/>
  <c r="Q61" i="1"/>
  <c r="Q62" i="3"/>
  <c r="M62"/>
  <c r="M62" i="7"/>
  <c r="O61" i="9"/>
  <c r="M61"/>
  <c r="K61"/>
  <c r="U62" i="10"/>
  <c r="G62"/>
  <c r="BL62" i="6"/>
  <c r="BK60" i="14"/>
  <c r="BI60"/>
  <c r="AE60"/>
  <c r="K60"/>
  <c r="BN62" i="6"/>
  <c r="AF62"/>
  <c r="Q60" i="4"/>
  <c r="Q60" i="1"/>
  <c r="Q61" i="3"/>
  <c r="K60" i="9"/>
  <c r="U60" i="10"/>
  <c r="G60"/>
  <c r="BK59" i="14"/>
  <c r="BI59"/>
  <c r="AE59"/>
  <c r="BL61" i="6"/>
  <c r="BJ61"/>
  <c r="BF61"/>
  <c r="AF61"/>
  <c r="AL59" i="5"/>
  <c r="W59" i="4"/>
  <c r="Q59"/>
  <c r="I59"/>
  <c r="S59" s="1"/>
  <c r="Q59" i="1"/>
  <c r="I59"/>
  <c r="Q60" i="3"/>
  <c r="M60"/>
  <c r="S59" i="9"/>
  <c r="O59"/>
  <c r="M59"/>
  <c r="K59"/>
  <c r="U59" i="10"/>
  <c r="G59"/>
  <c r="K59" i="12"/>
  <c r="BK56" i="13"/>
  <c r="AE56"/>
  <c r="BK58" i="14"/>
  <c r="BI58"/>
  <c r="BG58"/>
  <c r="AE58"/>
  <c r="AI58" s="1"/>
  <c r="BL60" i="6"/>
  <c r="AF60"/>
  <c r="Q58" i="4"/>
  <c r="Q58" i="1"/>
  <c r="Q59" i="3"/>
  <c r="M59"/>
  <c r="E59"/>
  <c r="M59" i="7"/>
  <c r="E59"/>
  <c r="K58" i="9"/>
  <c r="U58" i="10"/>
  <c r="S59" i="12"/>
  <c r="U57"/>
  <c r="BE57" i="13"/>
  <c r="AE57"/>
  <c r="BE57" i="14"/>
  <c r="AE57"/>
  <c r="K57"/>
  <c r="BF59" i="6"/>
  <c r="AF59"/>
  <c r="AL57" i="5"/>
  <c r="W57" i="4"/>
  <c r="Q57"/>
  <c r="Q57" i="1"/>
  <c r="M57" i="3"/>
  <c r="E57"/>
  <c r="O57" i="9"/>
  <c r="U57" i="10"/>
  <c r="O57"/>
  <c r="G57"/>
  <c r="BK55" i="13"/>
  <c r="BG55"/>
  <c r="BE55"/>
  <c r="AE55"/>
  <c r="BK56" i="14"/>
  <c r="BI56"/>
  <c r="AE56"/>
  <c r="E54"/>
  <c r="E55"/>
  <c r="E56"/>
  <c r="E57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8"/>
  <c r="BL58" i="6"/>
  <c r="BJ58"/>
  <c r="BF58"/>
  <c r="AF58"/>
  <c r="W56" i="4"/>
  <c r="Q56"/>
  <c r="Q56" i="1"/>
  <c r="Q56" i="3"/>
  <c r="M56"/>
  <c r="M56" i="7"/>
  <c r="M56" i="9"/>
  <c r="K56"/>
  <c r="AA56" s="1"/>
  <c r="U56" i="10"/>
  <c r="G56"/>
  <c r="W55" i="4"/>
  <c r="Q55"/>
  <c r="W55" i="1"/>
  <c r="Q55"/>
  <c r="Q55" i="3"/>
  <c r="M55"/>
  <c r="M55" i="7"/>
  <c r="K55" i="9"/>
  <c r="U55" i="10"/>
  <c r="G55"/>
  <c r="BH56" i="6"/>
  <c r="AF56"/>
  <c r="X54" i="4"/>
  <c r="AL54" i="5"/>
  <c r="Q54"/>
  <c r="AF54"/>
  <c r="I54"/>
  <c r="Q54" i="4"/>
  <c r="W54" i="1"/>
  <c r="Q54" i="2"/>
  <c r="I54"/>
  <c r="Q54" i="1"/>
  <c r="M54" i="3"/>
  <c r="E54"/>
  <c r="M54" i="7"/>
  <c r="Q54" i="9"/>
  <c r="AA54" s="1"/>
  <c r="K54" i="8"/>
  <c r="O54" i="12"/>
  <c r="BI53" i="14"/>
  <c r="AE53"/>
  <c r="AI53" s="1"/>
  <c r="BJ55" i="6"/>
  <c r="AF55"/>
  <c r="Q53" i="4"/>
  <c r="I53"/>
  <c r="M53" i="3"/>
  <c r="S53" i="9"/>
  <c r="O53"/>
  <c r="M53"/>
  <c r="K53"/>
  <c r="U53" i="10"/>
  <c r="G53"/>
  <c r="BK52" i="14"/>
  <c r="BE52"/>
  <c r="AE52"/>
  <c r="BL54" i="6"/>
  <c r="BF54"/>
  <c r="AF54"/>
  <c r="O52" i="5"/>
  <c r="I52"/>
  <c r="G52"/>
  <c r="W52" i="4"/>
  <c r="Q52"/>
  <c r="O52" i="2"/>
  <c r="G52"/>
  <c r="Q52" i="1"/>
  <c r="Q52" i="3"/>
  <c r="M52"/>
  <c r="E52"/>
  <c r="E52" i="8"/>
  <c r="K52"/>
  <c r="I52"/>
  <c r="M52" i="9"/>
  <c r="K52"/>
  <c r="U52" i="10"/>
  <c r="G52"/>
  <c r="BL53" i="6"/>
  <c r="BJ53"/>
  <c r="BH53"/>
  <c r="BF53"/>
  <c r="AF53"/>
  <c r="W51" i="4"/>
  <c r="AL51" i="5"/>
  <c r="Q51"/>
  <c r="M51"/>
  <c r="M51" i="4"/>
  <c r="Q51" i="2"/>
  <c r="S75" i="4" l="1"/>
  <c r="S84" i="3"/>
  <c r="AY102" i="14"/>
  <c r="AY147"/>
  <c r="AY173"/>
  <c r="AY94"/>
  <c r="AY129"/>
  <c r="AY182"/>
  <c r="AY186"/>
  <c r="AY143"/>
  <c r="AY169"/>
  <c r="AY189"/>
  <c r="AY239"/>
  <c r="AZ224" i="6"/>
  <c r="AZ236"/>
  <c r="AZ105"/>
  <c r="AR188" i="5"/>
  <c r="AR144"/>
  <c r="S83" i="3"/>
  <c r="AY235" i="14"/>
  <c r="AY250"/>
  <c r="AY249"/>
  <c r="AY248"/>
  <c r="AY244"/>
  <c r="AY243"/>
  <c r="AY242"/>
  <c r="AY241"/>
  <c r="AY240"/>
  <c r="AY238"/>
  <c r="AY237"/>
  <c r="AY236"/>
  <c r="AY234"/>
  <c r="AY233"/>
  <c r="AZ235" i="6"/>
  <c r="AY230" i="14"/>
  <c r="AY229"/>
  <c r="AY226"/>
  <c r="AY225"/>
  <c r="AY224"/>
  <c r="AY223"/>
  <c r="AY221"/>
  <c r="AY218"/>
  <c r="AY217"/>
  <c r="AY216"/>
  <c r="AY215"/>
  <c r="AY214"/>
  <c r="AY213"/>
  <c r="AR217" i="5"/>
  <c r="AY212" i="14"/>
  <c r="AR216" i="5"/>
  <c r="AY211" i="14"/>
  <c r="AR215" i="5"/>
  <c r="AY210" i="14"/>
  <c r="AR214" i="5"/>
  <c r="AY207" i="14"/>
  <c r="AY209"/>
  <c r="AR213" i="5"/>
  <c r="AR212"/>
  <c r="AY208" i="14"/>
  <c r="AR211" i="5"/>
  <c r="AY206" i="14"/>
  <c r="AR210" i="5"/>
  <c r="AY205" i="14"/>
  <c r="AR209" i="5"/>
  <c r="AY204" i="14"/>
  <c r="AR208" i="5"/>
  <c r="AR207"/>
  <c r="AY202" i="14"/>
  <c r="AR206" i="5"/>
  <c r="AR205"/>
  <c r="AY200" i="14"/>
  <c r="AR204" i="5"/>
  <c r="AR203"/>
  <c r="AR202"/>
  <c r="AR201"/>
  <c r="AY196" i="14"/>
  <c r="AR200" i="5"/>
  <c r="AY195" i="14"/>
  <c r="AR199" i="5"/>
  <c r="AY194" i="14"/>
  <c r="AR198" i="5"/>
  <c r="AR195"/>
  <c r="AR194"/>
  <c r="AR193"/>
  <c r="AR192"/>
  <c r="AY188" i="14"/>
  <c r="AR191" i="5"/>
  <c r="AR190"/>
  <c r="AY185" i="14"/>
  <c r="AR189" i="5"/>
  <c r="AY183" i="14"/>
  <c r="AR187" i="5"/>
  <c r="AR186"/>
  <c r="AY181" i="14"/>
  <c r="AR185" i="5"/>
  <c r="AR184"/>
  <c r="AY179" i="14"/>
  <c r="AR183" i="5"/>
  <c r="AY178" i="14"/>
  <c r="AR182" i="5"/>
  <c r="AR181"/>
  <c r="AR179"/>
  <c r="AY174" i="14"/>
  <c r="AR178" i="5"/>
  <c r="AR177"/>
  <c r="AY172" i="14"/>
  <c r="AR176" i="5"/>
  <c r="AR174"/>
  <c r="AR175"/>
  <c r="AR173"/>
  <c r="AY168" i="14"/>
  <c r="AR172" i="5"/>
  <c r="AY167" i="14"/>
  <c r="AZ170" i="6"/>
  <c r="AR171" i="5"/>
  <c r="AY166" i="14"/>
  <c r="AY165"/>
  <c r="AR169" i="5"/>
  <c r="AR168"/>
  <c r="AR170"/>
  <c r="AY163" i="14"/>
  <c r="AR167" i="5"/>
  <c r="AY158" i="14"/>
  <c r="AR165" i="5"/>
  <c r="AR166"/>
  <c r="AY160" i="14"/>
  <c r="AR164" i="5"/>
  <c r="AR163"/>
  <c r="AR162"/>
  <c r="AY157" i="14"/>
  <c r="AR161" i="5"/>
  <c r="AY156" i="14"/>
  <c r="AR160" i="5"/>
  <c r="AY155" i="14"/>
  <c r="AR159" i="5"/>
  <c r="AY154" i="14"/>
  <c r="AR158" i="5"/>
  <c r="AY153" i="14"/>
  <c r="AR157" i="5"/>
  <c r="AY152" i="14"/>
  <c r="AR156" i="5"/>
  <c r="AR155"/>
  <c r="AR154"/>
  <c r="AY150" i="14"/>
  <c r="AY149"/>
  <c r="AR153" i="5"/>
  <c r="AR152"/>
  <c r="AY148" i="14"/>
  <c r="AR151" i="5"/>
  <c r="AR150"/>
  <c r="AY146" i="14"/>
  <c r="AR149" i="5"/>
  <c r="AR148"/>
  <c r="AR147"/>
  <c r="AR146"/>
  <c r="AY142" i="14"/>
  <c r="AR145" i="5"/>
  <c r="AY141" i="14"/>
  <c r="AY140"/>
  <c r="AY138"/>
  <c r="AY133"/>
  <c r="AY132"/>
  <c r="AY131"/>
  <c r="AY130"/>
  <c r="AY128"/>
  <c r="AY127"/>
  <c r="AR128" i="5"/>
  <c r="AY125" i="14"/>
  <c r="AY120"/>
  <c r="AY122"/>
  <c r="AZ125" i="6"/>
  <c r="AY121" i="14"/>
  <c r="AY119"/>
  <c r="AY118"/>
  <c r="AY117"/>
  <c r="AY116"/>
  <c r="AY115"/>
  <c r="AY114"/>
  <c r="AY112"/>
  <c r="AY111"/>
  <c r="AY110"/>
  <c r="AZ113" i="6"/>
  <c r="AY109" i="14"/>
  <c r="AY106"/>
  <c r="AY105"/>
  <c r="AY104"/>
  <c r="AZ106" i="6"/>
  <c r="AY103" i="14"/>
  <c r="AY100"/>
  <c r="AY99"/>
  <c r="AY98"/>
  <c r="AY97"/>
  <c r="AY96"/>
  <c r="AY93"/>
  <c r="AY92"/>
  <c r="S79" i="3"/>
  <c r="S77"/>
  <c r="M51"/>
  <c r="E51"/>
  <c r="M51" i="7"/>
  <c r="E51"/>
  <c r="M51" i="8"/>
  <c r="O51" i="9"/>
  <c r="U51" i="10"/>
  <c r="O51"/>
  <c r="I51"/>
  <c r="G51"/>
  <c r="Q51" i="12"/>
  <c r="BK50" i="14"/>
  <c r="BE50"/>
  <c r="AE50"/>
  <c r="BL52" i="6"/>
  <c r="BH52"/>
  <c r="AF52"/>
  <c r="S52"/>
  <c r="AL50" i="5"/>
  <c r="G50"/>
  <c r="W50" i="4"/>
  <c r="G50" i="2"/>
  <c r="W50" i="1"/>
  <c r="Q50" i="3"/>
  <c r="M50"/>
  <c r="E50"/>
  <c r="E50" i="8"/>
  <c r="M50" i="9"/>
  <c r="K50"/>
  <c r="U50" i="10"/>
  <c r="G50"/>
  <c r="E50" i="12"/>
  <c r="W49" i="4"/>
  <c r="Q49"/>
  <c r="W49" i="1"/>
  <c r="Q49"/>
  <c r="O49" i="3"/>
  <c r="M49"/>
  <c r="M49" i="7"/>
  <c r="K49" i="9"/>
  <c r="U49" i="10"/>
  <c r="G49"/>
  <c r="BK48" i="14"/>
  <c r="BI48"/>
  <c r="AE48"/>
  <c r="BL50" i="6"/>
  <c r="BJ50"/>
  <c r="AF50"/>
  <c r="W48" i="4"/>
  <c r="Q48"/>
  <c r="Q48" i="1"/>
  <c r="Q48" i="3"/>
  <c r="M48"/>
  <c r="M48" i="7"/>
  <c r="K48" i="9"/>
  <c r="U48" i="10"/>
  <c r="G48"/>
  <c r="W47" i="4"/>
  <c r="Q47" i="3"/>
  <c r="M47"/>
  <c r="M47" i="7"/>
  <c r="U47" i="10"/>
  <c r="G47"/>
  <c r="BE46" i="13"/>
  <c r="AE46"/>
  <c r="BG46" i="14"/>
  <c r="BE46"/>
  <c r="AE46"/>
  <c r="S46"/>
  <c r="BJ48" i="6"/>
  <c r="BF48"/>
  <c r="AF48"/>
  <c r="AL46" i="5"/>
  <c r="AB46"/>
  <c r="Q46"/>
  <c r="W46" i="4"/>
  <c r="Q46"/>
  <c r="I46"/>
  <c r="Q46" i="1"/>
  <c r="Q46" i="3"/>
  <c r="M46"/>
  <c r="M46" i="7"/>
  <c r="O46" i="9"/>
  <c r="K46"/>
  <c r="U46" i="10"/>
  <c r="G46"/>
  <c r="BK45" i="14"/>
  <c r="AE45"/>
  <c r="AF47" i="6"/>
  <c r="W45" i="4"/>
  <c r="Q45"/>
  <c r="Q45" i="1"/>
  <c r="M45" i="3"/>
  <c r="Q45"/>
  <c r="M45" i="7"/>
  <c r="M45" i="9"/>
  <c r="K45"/>
  <c r="U45" i="10"/>
  <c r="G45"/>
  <c r="I45" i="12"/>
  <c r="U44"/>
  <c r="O44"/>
  <c r="K44"/>
  <c r="E44"/>
  <c r="BK44" i="14"/>
  <c r="BI44"/>
  <c r="AQ44"/>
  <c r="AE44"/>
  <c r="BJ46" i="6"/>
  <c r="BL46"/>
  <c r="AR46"/>
  <c r="AF46"/>
  <c r="W44" i="4"/>
  <c r="AL44" i="5"/>
  <c r="M44" i="1"/>
  <c r="M44" i="4"/>
  <c r="Q44"/>
  <c r="AG44" i="2"/>
  <c r="W44" i="1"/>
  <c r="Q44"/>
  <c r="E44" i="7"/>
  <c r="Q44" i="3"/>
  <c r="M44"/>
  <c r="E44"/>
  <c r="M44" i="7"/>
  <c r="U44" i="9"/>
  <c r="U44" i="10"/>
  <c r="BI43" i="14"/>
  <c r="AE43"/>
  <c r="AF45" i="6"/>
  <c r="W43" i="4"/>
  <c r="Q43"/>
  <c r="S43" i="1"/>
  <c r="Q43"/>
  <c r="Q43" i="3"/>
  <c r="M43"/>
  <c r="E43"/>
  <c r="M43" i="7"/>
  <c r="E43"/>
  <c r="S43" i="9"/>
  <c r="K43"/>
  <c r="U43" i="10"/>
  <c r="G43"/>
  <c r="BI42" i="14"/>
  <c r="AE42"/>
  <c r="E42"/>
  <c r="BJ44" i="6"/>
  <c r="BF44"/>
  <c r="AF44"/>
  <c r="K44"/>
  <c r="O42" i="3"/>
  <c r="S42" s="1"/>
  <c r="M42" i="9"/>
  <c r="K42"/>
  <c r="U42" i="10"/>
  <c r="G42"/>
  <c r="BL43" i="6"/>
  <c r="BJ43"/>
  <c r="BH43"/>
  <c r="AF43"/>
  <c r="W41" i="4"/>
  <c r="Q41"/>
  <c r="Q41" i="1"/>
  <c r="Q41" i="3"/>
  <c r="M41"/>
  <c r="E41"/>
  <c r="M41" i="9"/>
  <c r="K41"/>
  <c r="U41" i="10"/>
  <c r="G41"/>
  <c r="BK40" i="14"/>
  <c r="BE40"/>
  <c r="BI40"/>
  <c r="AE40"/>
  <c r="BL42" i="6"/>
  <c r="BJ42"/>
  <c r="BF42"/>
  <c r="AF42"/>
  <c r="G40" i="5"/>
  <c r="Q40" i="4"/>
  <c r="G40" i="2"/>
  <c r="Q40" i="1"/>
  <c r="M40" i="3"/>
  <c r="M40" i="9"/>
  <c r="O40"/>
  <c r="E40" i="8"/>
  <c r="K40" i="9"/>
  <c r="U40" i="10"/>
  <c r="G40"/>
  <c r="Q40" i="12"/>
  <c r="BK39" i="13"/>
  <c r="AE39"/>
  <c r="BK39" i="14"/>
  <c r="BI39"/>
  <c r="AE39"/>
  <c r="BL41" i="6"/>
  <c r="AF41"/>
  <c r="W39" i="4"/>
  <c r="Q39"/>
  <c r="W39" i="1"/>
  <c r="Q39"/>
  <c r="Q39" i="3"/>
  <c r="M39"/>
  <c r="M39" i="7"/>
  <c r="U39" i="9"/>
  <c r="U39" i="10"/>
  <c r="U38" i="4"/>
  <c r="W38"/>
  <c r="Q38"/>
  <c r="S38" s="1"/>
  <c r="Q38" i="1"/>
  <c r="Q38" i="3"/>
  <c r="M38"/>
  <c r="E38"/>
  <c r="M38" i="7"/>
  <c r="E38"/>
  <c r="M38" i="9"/>
  <c r="K38"/>
  <c r="U38" i="10"/>
  <c r="G38"/>
  <c r="BK37" i="14"/>
  <c r="BI37"/>
  <c r="AE37"/>
  <c r="BL38" i="6"/>
  <c r="BJ38"/>
  <c r="AF38"/>
  <c r="W37" i="4"/>
  <c r="Q37" i="3"/>
  <c r="M37"/>
  <c r="M37" i="7"/>
  <c r="U37" i="9"/>
  <c r="U37" i="10"/>
  <c r="G37"/>
  <c r="M37" i="12"/>
  <c r="I37"/>
  <c r="AL36" i="5"/>
  <c r="W36" i="4"/>
  <c r="Q36" i="3"/>
  <c r="M36"/>
  <c r="E36"/>
  <c r="M36" i="7"/>
  <c r="E36"/>
  <c r="U36" i="9"/>
  <c r="M36"/>
  <c r="K36"/>
  <c r="M28" i="7"/>
  <c r="M28" i="3"/>
  <c r="M23" i="7"/>
  <c r="M23" i="3"/>
  <c r="Q36" i="12"/>
  <c r="G35" i="5"/>
  <c r="W35" i="4"/>
  <c r="Q35"/>
  <c r="G35" i="2"/>
  <c r="Q35" i="1"/>
  <c r="Q35" i="3"/>
  <c r="M35"/>
  <c r="M35" i="7"/>
  <c r="E35" i="8"/>
  <c r="M35" i="9"/>
  <c r="K35"/>
  <c r="U35" i="10"/>
  <c r="G35"/>
  <c r="K35" i="12"/>
  <c r="BK34" i="14"/>
  <c r="AE34"/>
  <c r="Q34" i="4"/>
  <c r="Q34" i="1"/>
  <c r="Q34" i="3"/>
  <c r="M34"/>
  <c r="M34" i="9"/>
  <c r="K34"/>
  <c r="U34" i="10"/>
  <c r="G34"/>
  <c r="K34" i="12"/>
  <c r="G33" i="5"/>
  <c r="E33"/>
  <c r="W33" i="4"/>
  <c r="Q33"/>
  <c r="G33" i="2"/>
  <c r="E33"/>
  <c r="Q33" i="1"/>
  <c r="Q33" i="3"/>
  <c r="E33"/>
  <c r="E33" i="7"/>
  <c r="Q33" i="8"/>
  <c r="E33"/>
  <c r="M33" i="9"/>
  <c r="K33"/>
  <c r="U33" i="10"/>
  <c r="G33"/>
  <c r="BK33" i="13"/>
  <c r="BI33"/>
  <c r="BE33"/>
  <c r="AE33"/>
  <c r="BK32" i="14"/>
  <c r="BE32"/>
  <c r="AE32"/>
  <c r="BL34" i="6"/>
  <c r="BF34"/>
  <c r="AF34"/>
  <c r="G32" i="5" l="1"/>
  <c r="E32"/>
  <c r="W32" i="4"/>
  <c r="Q32"/>
  <c r="G32" i="2"/>
  <c r="E32"/>
  <c r="Q32" i="1"/>
  <c r="Q32" i="3"/>
  <c r="O32"/>
  <c r="M32"/>
  <c r="E32"/>
  <c r="M32" i="7"/>
  <c r="AE32" i="9"/>
  <c r="Q32" i="8"/>
  <c r="E32"/>
  <c r="O32" i="9"/>
  <c r="M32"/>
  <c r="K32"/>
  <c r="U32" i="10"/>
  <c r="G32"/>
  <c r="W31" i="4"/>
  <c r="Q31"/>
  <c r="W31" i="1"/>
  <c r="Q31"/>
  <c r="M31" i="3"/>
  <c r="Q31"/>
  <c r="M31" i="7"/>
  <c r="AE31" i="9"/>
  <c r="K31"/>
  <c r="U31" i="10"/>
  <c r="G31"/>
  <c r="K31" i="12"/>
  <c r="BK30" i="14"/>
  <c r="BI30"/>
  <c r="BE30"/>
  <c r="AE30"/>
  <c r="W30"/>
  <c r="W31"/>
  <c r="W32"/>
  <c r="W33"/>
  <c r="W34"/>
  <c r="W35"/>
  <c r="W36"/>
  <c r="W37"/>
  <c r="BL32" i="6"/>
  <c r="BF32"/>
  <c r="AF32"/>
  <c r="W30" i="4"/>
  <c r="Q30"/>
  <c r="W30" i="1"/>
  <c r="Q30"/>
  <c r="Q30" i="3"/>
  <c r="E30"/>
  <c r="E30" i="7"/>
  <c r="O30" i="9"/>
  <c r="K30"/>
  <c r="U30" i="10"/>
  <c r="G30"/>
  <c r="K30" i="12"/>
  <c r="E30"/>
  <c r="BK29" i="14"/>
  <c r="BI29"/>
  <c r="AE29"/>
  <c r="BL31" i="6"/>
  <c r="BJ31"/>
  <c r="AF31"/>
  <c r="W29" i="4"/>
  <c r="Q29"/>
  <c r="Q29" i="1"/>
  <c r="Q29" i="3"/>
  <c r="M29"/>
  <c r="M29" i="7"/>
  <c r="K29" i="9"/>
  <c r="U29" i="10"/>
  <c r="G29"/>
  <c r="E29" i="12"/>
  <c r="Q29"/>
  <c r="AE29" i="15"/>
  <c r="BK28" i="14"/>
  <c r="BI28"/>
  <c r="AE28"/>
  <c r="BL30" i="6"/>
  <c r="BJ30"/>
  <c r="AF30"/>
  <c r="O28" i="5"/>
  <c r="G28"/>
  <c r="W28" i="4"/>
  <c r="I28"/>
  <c r="G28" i="2"/>
  <c r="W28" i="1"/>
  <c r="E28" i="7"/>
  <c r="E28" i="3"/>
  <c r="I28" i="8"/>
  <c r="E28"/>
  <c r="U28" i="9"/>
  <c r="O28"/>
  <c r="U28" i="10"/>
  <c r="G28"/>
  <c r="BK27" i="14"/>
  <c r="BI27"/>
  <c r="AE27"/>
  <c r="G27"/>
  <c r="BL29" i="6"/>
  <c r="AF29"/>
  <c r="G29"/>
  <c r="E29"/>
  <c r="K29"/>
  <c r="E27" i="5" l="1"/>
  <c r="Q27" i="4"/>
  <c r="E27" i="2"/>
  <c r="Q27" i="1"/>
  <c r="M27" i="3"/>
  <c r="Q27"/>
  <c r="E27"/>
  <c r="E27" i="7"/>
  <c r="Q27" i="8"/>
  <c r="U27" i="10"/>
  <c r="G27"/>
  <c r="BK26" i="14"/>
  <c r="BI26"/>
  <c r="BE26"/>
  <c r="AK26"/>
  <c r="AE26"/>
  <c r="BL28" i="6"/>
  <c r="BJ28"/>
  <c r="BF28"/>
  <c r="AF28"/>
  <c r="W26" i="4"/>
  <c r="E26" i="5"/>
  <c r="Q26" i="4"/>
  <c r="E26" i="2"/>
  <c r="Q26" i="1"/>
  <c r="Q26" i="3"/>
  <c r="M26"/>
  <c r="M26" i="7"/>
  <c r="O26" i="9"/>
  <c r="U26" i="10"/>
  <c r="G26"/>
  <c r="Q26" i="12"/>
  <c r="BL27" i="6"/>
  <c r="BJ27"/>
  <c r="BH27"/>
  <c r="AF27"/>
  <c r="Q25" i="3"/>
  <c r="M25"/>
  <c r="M25" i="7"/>
  <c r="G25" i="10"/>
  <c r="BK24" i="14" l="1"/>
  <c r="BE24"/>
  <c r="BE23"/>
  <c r="AE24"/>
  <c r="W24" i="4"/>
  <c r="Q24"/>
  <c r="Q24" i="1"/>
  <c r="Q24" i="3"/>
  <c r="M24"/>
  <c r="M24" i="7"/>
  <c r="K24" i="9"/>
  <c r="U24" i="10"/>
  <c r="G24"/>
  <c r="AD24" i="9"/>
  <c r="Y24" i="12"/>
  <c r="E24"/>
  <c r="BK23" i="14"/>
  <c r="BI23"/>
  <c r="AE23"/>
  <c r="BL25" i="6"/>
  <c r="BJ25"/>
  <c r="BF25"/>
  <c r="AF25"/>
  <c r="G23" i="5"/>
  <c r="W23" i="4"/>
  <c r="Q23"/>
  <c r="AN26" i="2"/>
  <c r="AN25"/>
  <c r="G23"/>
  <c r="W23" i="1"/>
  <c r="Q23"/>
  <c r="M23" i="9"/>
  <c r="K23"/>
  <c r="E23" i="8"/>
  <c r="U23" i="9"/>
  <c r="U23" i="10"/>
  <c r="I23"/>
  <c r="G23"/>
  <c r="U22" i="12"/>
  <c r="Y23"/>
  <c r="Y22"/>
  <c r="AC23" i="10"/>
  <c r="Y26" i="12"/>
  <c r="AC22" i="10"/>
  <c r="W22" i="4"/>
  <c r="Q22" i="3"/>
  <c r="M22"/>
  <c r="K22" i="9"/>
  <c r="U22" i="10"/>
  <c r="G22"/>
  <c r="G21" i="5"/>
  <c r="I21" i="4"/>
  <c r="G21" i="2"/>
  <c r="I21" i="1"/>
  <c r="Q21" i="3"/>
  <c r="M21"/>
  <c r="E21"/>
  <c r="M21" i="7"/>
  <c r="E21"/>
  <c r="O21" i="9"/>
  <c r="K21"/>
  <c r="AD20"/>
  <c r="E21" i="8"/>
  <c r="U21" i="10"/>
  <c r="G21"/>
  <c r="U21" i="12"/>
  <c r="BK20" i="14"/>
  <c r="BI20"/>
  <c r="BE20"/>
  <c r="AE20"/>
  <c r="W20" i="4"/>
  <c r="Q20" i="3"/>
  <c r="M20"/>
  <c r="I20"/>
  <c r="I20" i="7"/>
  <c r="AD22" i="9"/>
  <c r="AD21"/>
  <c r="M20"/>
  <c r="K20"/>
  <c r="U20" i="10"/>
  <c r="G20"/>
  <c r="E20" i="12"/>
  <c r="O20"/>
  <c r="BK19" i="14"/>
  <c r="BE19"/>
  <c r="AE19"/>
  <c r="BL21" i="6"/>
  <c r="BJ21"/>
  <c r="BH21"/>
  <c r="BF21"/>
  <c r="AF21"/>
  <c r="AL19" i="5"/>
  <c r="W19" i="4"/>
  <c r="Q19"/>
  <c r="W19" i="1"/>
  <c r="Q19"/>
  <c r="Q19" i="3"/>
  <c r="M19"/>
  <c r="E19"/>
  <c r="M19" i="7"/>
  <c r="E19"/>
  <c r="K19" i="9"/>
  <c r="U19" i="10"/>
  <c r="G19"/>
  <c r="K19" i="12"/>
  <c r="BK18" i="14"/>
  <c r="BI18"/>
  <c r="BE18"/>
  <c r="AE18"/>
  <c r="G18"/>
  <c r="BL20" i="6"/>
  <c r="BJ20"/>
  <c r="BH20"/>
  <c r="BF20"/>
  <c r="AF20"/>
  <c r="G20"/>
  <c r="AB18" i="5"/>
  <c r="W18" i="4"/>
  <c r="Q18"/>
  <c r="W18" i="1"/>
  <c r="Q18"/>
  <c r="Q18" i="3"/>
  <c r="M18"/>
  <c r="E18"/>
  <c r="M18" i="7"/>
  <c r="U18" i="10"/>
  <c r="G18"/>
  <c r="Q18" i="12"/>
  <c r="BK17" i="14"/>
  <c r="BI17"/>
  <c r="BE17"/>
  <c r="AE17"/>
  <c r="BL19" i="6"/>
  <c r="BF19"/>
  <c r="AF19"/>
  <c r="W17" i="4"/>
  <c r="Q17"/>
  <c r="Q17" i="1"/>
  <c r="Q17" i="3"/>
  <c r="M17" i="9"/>
  <c r="K17"/>
  <c r="U17" i="10"/>
  <c r="G17"/>
  <c r="E16" i="12"/>
  <c r="BK16" i="14"/>
  <c r="BI16"/>
  <c r="BE16"/>
  <c r="AE16"/>
  <c r="AF18" i="6"/>
  <c r="Q16" i="4"/>
  <c r="G14" i="2"/>
  <c r="E14"/>
  <c r="Q16" i="1"/>
  <c r="Q16" i="3"/>
  <c r="M16"/>
  <c r="M16" i="7"/>
  <c r="Y16" i="12"/>
  <c r="M16" i="9"/>
  <c r="K16"/>
  <c r="U16" i="10"/>
  <c r="G16"/>
  <c r="U15" i="12"/>
  <c r="BI15" i="14"/>
  <c r="AE15"/>
  <c r="M15"/>
  <c r="G15"/>
  <c r="BJ17" i="6"/>
  <c r="AL17"/>
  <c r="AF17"/>
  <c r="M17"/>
  <c r="G17"/>
  <c r="AL15" i="5"/>
  <c r="G15"/>
  <c r="Q15" i="4"/>
  <c r="G15" i="2"/>
  <c r="Q15" i="1"/>
  <c r="Q15" i="3"/>
  <c r="M15"/>
  <c r="E15"/>
  <c r="E15" i="7"/>
  <c r="E15" i="8"/>
  <c r="O15" i="9"/>
  <c r="M15"/>
  <c r="U15" i="10"/>
  <c r="G15"/>
  <c r="BK14" i="14"/>
  <c r="BI14"/>
  <c r="AE14"/>
  <c r="G14" i="5"/>
  <c r="E14"/>
  <c r="W14" i="4"/>
  <c r="Q14"/>
  <c r="Q14" i="1"/>
  <c r="Q14" i="3"/>
  <c r="M14"/>
  <c r="E14"/>
  <c r="M14" i="7"/>
  <c r="E14"/>
  <c r="Q14" i="8"/>
  <c r="E14"/>
  <c r="M14" i="9"/>
  <c r="K14"/>
  <c r="U14" i="10"/>
  <c r="G14"/>
  <c r="BK14" i="15"/>
  <c r="AE14"/>
  <c r="BK13" i="14"/>
  <c r="BI13"/>
  <c r="BE13"/>
  <c r="AE13"/>
  <c r="BL15" i="6"/>
  <c r="BJ15"/>
  <c r="BF15"/>
  <c r="AF15"/>
  <c r="Q13" i="4"/>
  <c r="AD13" i="5"/>
  <c r="W13" i="4"/>
  <c r="Q13" i="1"/>
  <c r="Q13" i="3"/>
  <c r="U13" i="8"/>
  <c r="U13" i="9"/>
  <c r="M13"/>
  <c r="K13"/>
  <c r="U13" i="10"/>
  <c r="G13"/>
  <c r="BI13" i="13"/>
  <c r="BE13"/>
  <c r="AE13"/>
  <c r="BI12" i="14"/>
  <c r="BE12"/>
  <c r="AE12"/>
  <c r="BF14" i="6"/>
  <c r="AF14"/>
  <c r="W12" i="4"/>
  <c r="Q12"/>
  <c r="Q12" i="1"/>
  <c r="Q12" i="3"/>
  <c r="M12"/>
  <c r="M12" i="7"/>
  <c r="AE12" i="9"/>
  <c r="U12"/>
  <c r="M12"/>
  <c r="K12"/>
  <c r="U12" i="10"/>
  <c r="G12"/>
  <c r="Q11" i="12" l="1"/>
  <c r="AE11" i="14"/>
  <c r="AF13" i="6"/>
  <c r="S13"/>
  <c r="E13"/>
  <c r="Q11" i="1"/>
  <c r="Q11" i="4"/>
  <c r="Q11" i="3"/>
  <c r="M11"/>
  <c r="E11"/>
  <c r="M11" i="7"/>
  <c r="M11" i="9"/>
  <c r="K11"/>
  <c r="U11" i="10"/>
  <c r="G11"/>
  <c r="Q10" i="12"/>
  <c r="K10"/>
  <c r="E10"/>
  <c r="U10"/>
  <c r="BI10" i="14"/>
  <c r="BG10"/>
  <c r="AE10"/>
  <c r="BJ12" i="6"/>
  <c r="AF12"/>
  <c r="AJ93"/>
  <c r="AJ92"/>
  <c r="AJ91"/>
  <c r="AJ90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6"/>
  <c r="E25"/>
  <c r="E24"/>
  <c r="E23"/>
  <c r="E22"/>
  <c r="E21"/>
  <c r="E20"/>
  <c r="E19"/>
  <c r="E18"/>
  <c r="E17"/>
  <c r="E16"/>
  <c r="E15"/>
  <c r="E14"/>
  <c r="E14" i="14"/>
  <c r="E15"/>
  <c r="E16"/>
  <c r="E17"/>
  <c r="E18"/>
  <c r="E19"/>
  <c r="E20"/>
  <c r="E21"/>
  <c r="E22"/>
  <c r="E23"/>
  <c r="E24"/>
  <c r="E25"/>
  <c r="AD10" i="5"/>
  <c r="W10" i="4"/>
  <c r="M10" i="3"/>
  <c r="Q10"/>
  <c r="O10"/>
  <c r="I10"/>
  <c r="M10" i="7"/>
  <c r="I10" i="10"/>
  <c r="G10"/>
  <c r="M24"/>
  <c r="E26"/>
  <c r="E25"/>
  <c r="E24"/>
  <c r="E23"/>
  <c r="E22"/>
  <c r="E21"/>
  <c r="E20"/>
  <c r="E19"/>
  <c r="E18"/>
  <c r="E17"/>
  <c r="E16"/>
  <c r="E15"/>
  <c r="E14"/>
  <c r="E13"/>
  <c r="E12"/>
  <c r="K209" i="15"/>
  <c r="K208" i="13"/>
  <c r="K20" i="14"/>
  <c r="K19"/>
  <c r="K18"/>
  <c r="K17"/>
  <c r="K16"/>
  <c r="K15"/>
  <c r="K14"/>
  <c r="K11"/>
  <c r="K14" i="6"/>
  <c r="S10" i="1"/>
  <c r="S11"/>
  <c r="Y69" i="10"/>
  <c r="AA68" i="8" s="1"/>
  <c r="Y68" i="10"/>
  <c r="AA67" i="8" s="1"/>
  <c r="Y67" i="10"/>
  <c r="AA66" i="8" s="1"/>
  <c r="Y66" i="10"/>
  <c r="AA65" i="8" s="1"/>
  <c r="Y65" i="10"/>
  <c r="AA64" i="8" s="1"/>
  <c r="Y64" i="10"/>
  <c r="AA63" i="8" s="1"/>
  <c r="Y63" i="10"/>
  <c r="AA62" i="8" s="1"/>
  <c r="Y62" i="10"/>
  <c r="AA61" i="8" s="1"/>
  <c r="Y60" i="10"/>
  <c r="AA60" i="8" s="1"/>
  <c r="Y59" i="10"/>
  <c r="AA59" i="8" s="1"/>
  <c r="Y58" i="10"/>
  <c r="AA58" i="8" s="1"/>
  <c r="Y57" i="10"/>
  <c r="AA57" i="8" s="1"/>
  <c r="Y56" i="10"/>
  <c r="AA56" i="8" s="1"/>
  <c r="Y55" i="10"/>
  <c r="AA55" i="8" s="1"/>
  <c r="Y54" i="10"/>
  <c r="AA54" i="8" s="1"/>
  <c r="Y53" i="10"/>
  <c r="AA53" i="8" s="1"/>
  <c r="Y52" i="10"/>
  <c r="AA52" i="8" s="1"/>
  <c r="Y51" i="10"/>
  <c r="AA51" i="8" s="1"/>
  <c r="Y50" i="10"/>
  <c r="AA50" i="8" s="1"/>
  <c r="Y49" i="10"/>
  <c r="AA49" i="8" s="1"/>
  <c r="Y48" i="10"/>
  <c r="AA48" i="8" s="1"/>
  <c r="Y47" i="10"/>
  <c r="AA47" i="8" s="1"/>
  <c r="Y46" i="10"/>
  <c r="AA46" i="8" s="1"/>
  <c r="Y45" i="10"/>
  <c r="AA45" i="8" s="1"/>
  <c r="Y44" i="10"/>
  <c r="AA44" i="8" s="1"/>
  <c r="Y43" i="10"/>
  <c r="AA43" i="8" s="1"/>
  <c r="Y42" i="10"/>
  <c r="AA42" i="8" s="1"/>
  <c r="Y41" i="10"/>
  <c r="AA41" i="8" s="1"/>
  <c r="Y40" i="10"/>
  <c r="AA40" i="8" s="1"/>
  <c r="Y39" i="10"/>
  <c r="AA39" i="8" s="1"/>
  <c r="Y38" i="10"/>
  <c r="AA38" i="8" s="1"/>
  <c r="Y37" i="10"/>
  <c r="AA37" i="8" s="1"/>
  <c r="Y36" i="10"/>
  <c r="AA36" i="8" s="1"/>
  <c r="Y35" i="10"/>
  <c r="AA35" i="8" s="1"/>
  <c r="Y34" i="10"/>
  <c r="AA34" i="8" s="1"/>
  <c r="Y33" i="10"/>
  <c r="AA33" i="8" s="1"/>
  <c r="Y32" i="10"/>
  <c r="AA32" i="8" s="1"/>
  <c r="Y31" i="10"/>
  <c r="AA31" i="8" s="1"/>
  <c r="Y30" i="10"/>
  <c r="AA30" i="8" s="1"/>
  <c r="Y29" i="10"/>
  <c r="AA29" i="8" s="1"/>
  <c r="Y28" i="10"/>
  <c r="AA28" i="8" s="1"/>
  <c r="Y27" i="10"/>
  <c r="AA27" i="8" s="1"/>
  <c r="Y26" i="10"/>
  <c r="AA26" i="8" s="1"/>
  <c r="Y25" i="10"/>
  <c r="AA25" i="8" s="1"/>
  <c r="Y24" i="10"/>
  <c r="AA24" i="8" s="1"/>
  <c r="Y23" i="10"/>
  <c r="AA23" i="8" s="1"/>
  <c r="Y22" i="10"/>
  <c r="Y21"/>
  <c r="Y20"/>
  <c r="Y19"/>
  <c r="Y18"/>
  <c r="Y17"/>
  <c r="Y16"/>
  <c r="Y15"/>
  <c r="Y14"/>
  <c r="Y13"/>
  <c r="Y12"/>
  <c r="BM19" i="14"/>
  <c r="AC255" i="9"/>
  <c r="M12" i="10" l="1"/>
  <c r="S53" i="12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BM29" i="15"/>
  <c r="AI29"/>
  <c r="AS29" s="1"/>
  <c r="W29"/>
  <c r="K29"/>
  <c r="E29"/>
  <c r="BM46" i="13"/>
  <c r="AI46"/>
  <c r="AS46" s="1"/>
  <c r="W46"/>
  <c r="K46"/>
  <c r="E46"/>
  <c r="BM39"/>
  <c r="AI39"/>
  <c r="AS39" s="1"/>
  <c r="W39"/>
  <c r="K39"/>
  <c r="E39"/>
  <c r="BM53" i="14"/>
  <c r="AS53"/>
  <c r="W53"/>
  <c r="K53"/>
  <c r="E53"/>
  <c r="BM52"/>
  <c r="AI52"/>
  <c r="AS52" s="1"/>
  <c r="W52"/>
  <c r="K52"/>
  <c r="E52"/>
  <c r="BM51"/>
  <c r="AI51"/>
  <c r="AS51" s="1"/>
  <c r="K51"/>
  <c r="E51"/>
  <c r="BM50"/>
  <c r="AI50"/>
  <c r="AS50" s="1"/>
  <c r="W50"/>
  <c r="K50"/>
  <c r="E50"/>
  <c r="BM49"/>
  <c r="AI49"/>
  <c r="AS49" s="1"/>
  <c r="W49"/>
  <c r="K49"/>
  <c r="E49"/>
  <c r="BM48"/>
  <c r="AI48"/>
  <c r="AS48" s="1"/>
  <c r="W48"/>
  <c r="K48"/>
  <c r="E48"/>
  <c r="BM47"/>
  <c r="AI47"/>
  <c r="AS47" s="1"/>
  <c r="W47"/>
  <c r="K47"/>
  <c r="E47"/>
  <c r="BM46"/>
  <c r="AI46"/>
  <c r="AS46" s="1"/>
  <c r="W46"/>
  <c r="K46"/>
  <c r="E46"/>
  <c r="BM45"/>
  <c r="AI45"/>
  <c r="AS45" s="1"/>
  <c r="W45"/>
  <c r="K45"/>
  <c r="E45"/>
  <c r="BM44"/>
  <c r="AI44"/>
  <c r="AS44" s="1"/>
  <c r="W44"/>
  <c r="K44"/>
  <c r="E44"/>
  <c r="BM43"/>
  <c r="AI43"/>
  <c r="AS43" s="1"/>
  <c r="W43"/>
  <c r="K43"/>
  <c r="E43"/>
  <c r="BM42"/>
  <c r="AI42"/>
  <c r="AS42" s="1"/>
  <c r="W42"/>
  <c r="K42"/>
  <c r="BM41"/>
  <c r="AI41"/>
  <c r="AS41" s="1"/>
  <c r="W41"/>
  <c r="K41"/>
  <c r="E41"/>
  <c r="BM40"/>
  <c r="AI40"/>
  <c r="AS40" s="1"/>
  <c r="W40"/>
  <c r="K40"/>
  <c r="E40"/>
  <c r="BM39"/>
  <c r="AI39"/>
  <c r="AS39" s="1"/>
  <c r="W39"/>
  <c r="K39"/>
  <c r="E39"/>
  <c r="BM38"/>
  <c r="AI38"/>
  <c r="AS38" s="1"/>
  <c r="W38"/>
  <c r="K38"/>
  <c r="E38"/>
  <c r="BM37"/>
  <c r="AI37"/>
  <c r="AS37" s="1"/>
  <c r="K37"/>
  <c r="E37"/>
  <c r="BM36"/>
  <c r="AI36"/>
  <c r="AS36" s="1"/>
  <c r="K36"/>
  <c r="E36"/>
  <c r="BM35"/>
  <c r="AI35"/>
  <c r="AS35" s="1"/>
  <c r="K35"/>
  <c r="E35"/>
  <c r="BM34"/>
  <c r="AI34"/>
  <c r="AS34" s="1"/>
  <c r="K34"/>
  <c r="E34"/>
  <c r="BM33"/>
  <c r="AI33"/>
  <c r="AS33" s="1"/>
  <c r="K33"/>
  <c r="E33"/>
  <c r="BM32"/>
  <c r="AI32"/>
  <c r="AS32" s="1"/>
  <c r="K32"/>
  <c r="E32"/>
  <c r="BM31"/>
  <c r="AI31"/>
  <c r="AS31" s="1"/>
  <c r="K31"/>
  <c r="E31"/>
  <c r="BM30"/>
  <c r="AI30"/>
  <c r="AS30" s="1"/>
  <c r="K30"/>
  <c r="E30"/>
  <c r="BM29"/>
  <c r="AI29"/>
  <c r="AS29" s="1"/>
  <c r="W29"/>
  <c r="K29"/>
  <c r="E29"/>
  <c r="BM28"/>
  <c r="AI28"/>
  <c r="AS28" s="1"/>
  <c r="W28"/>
  <c r="K28"/>
  <c r="E28"/>
  <c r="BM27"/>
  <c r="AI27"/>
  <c r="AS27" s="1"/>
  <c r="W27"/>
  <c r="K27"/>
  <c r="E27"/>
  <c r="BM26"/>
  <c r="AI26"/>
  <c r="AS26" s="1"/>
  <c r="W26"/>
  <c r="BM25"/>
  <c r="AI25"/>
  <c r="AS25" s="1"/>
  <c r="W25"/>
  <c r="K25"/>
  <c r="BM24"/>
  <c r="AI24"/>
  <c r="AS24" s="1"/>
  <c r="W24"/>
  <c r="K24"/>
  <c r="BM23"/>
  <c r="AI23"/>
  <c r="AS23" s="1"/>
  <c r="W23"/>
  <c r="K23"/>
  <c r="AY23" s="1"/>
  <c r="BN55" i="6"/>
  <c r="AT55"/>
  <c r="W55"/>
  <c r="K55"/>
  <c r="AZ55" s="1"/>
  <c r="BN54"/>
  <c r="AT54"/>
  <c r="W54"/>
  <c r="K54"/>
  <c r="BN53"/>
  <c r="AT53"/>
  <c r="W53"/>
  <c r="K53"/>
  <c r="AZ53" s="1"/>
  <c r="BN52"/>
  <c r="AT52"/>
  <c r="W52"/>
  <c r="K52"/>
  <c r="BN51"/>
  <c r="AT51"/>
  <c r="W51"/>
  <c r="K51"/>
  <c r="BN50"/>
  <c r="AT50"/>
  <c r="W50"/>
  <c r="K50"/>
  <c r="AZ50" s="1"/>
  <c r="BN49"/>
  <c r="AT49"/>
  <c r="W49"/>
  <c r="K49"/>
  <c r="BN48"/>
  <c r="AT48"/>
  <c r="W48"/>
  <c r="K48"/>
  <c r="BN47"/>
  <c r="AT47"/>
  <c r="W47"/>
  <c r="K47"/>
  <c r="AZ47" s="1"/>
  <c r="BN46"/>
  <c r="AT46"/>
  <c r="W46"/>
  <c r="K46"/>
  <c r="AZ46" s="1"/>
  <c r="BN45"/>
  <c r="AT45"/>
  <c r="W45"/>
  <c r="K45"/>
  <c r="BN44"/>
  <c r="AT44"/>
  <c r="W44"/>
  <c r="AZ44"/>
  <c r="BN43"/>
  <c r="AT43"/>
  <c r="W43"/>
  <c r="K43"/>
  <c r="AZ43" s="1"/>
  <c r="BN42"/>
  <c r="AT42"/>
  <c r="W42"/>
  <c r="K42"/>
  <c r="BN41"/>
  <c r="AT41"/>
  <c r="W41"/>
  <c r="K41"/>
  <c r="BN40"/>
  <c r="AT40"/>
  <c r="W40"/>
  <c r="K40"/>
  <c r="BN39"/>
  <c r="AT39"/>
  <c r="W39"/>
  <c r="K39"/>
  <c r="BN38"/>
  <c r="AT38"/>
  <c r="W38"/>
  <c r="K38"/>
  <c r="BN37"/>
  <c r="AT37"/>
  <c r="W37"/>
  <c r="K37"/>
  <c r="AZ37" s="1"/>
  <c r="BN36"/>
  <c r="AT36"/>
  <c r="W36"/>
  <c r="K36"/>
  <c r="BN35"/>
  <c r="AT35"/>
  <c r="W35"/>
  <c r="K35"/>
  <c r="BN34"/>
  <c r="AT34"/>
  <c r="W34"/>
  <c r="K34"/>
  <c r="AZ34" s="1"/>
  <c r="BN33"/>
  <c r="AT33"/>
  <c r="W33"/>
  <c r="K33"/>
  <c r="BN32"/>
  <c r="AT32"/>
  <c r="W32"/>
  <c r="K32"/>
  <c r="AZ32" s="1"/>
  <c r="BN31"/>
  <c r="AT31"/>
  <c r="W31"/>
  <c r="K31"/>
  <c r="AZ31" s="1"/>
  <c r="BN30"/>
  <c r="AT30"/>
  <c r="W30"/>
  <c r="K30"/>
  <c r="BN29"/>
  <c r="AT29"/>
  <c r="W29"/>
  <c r="BN28"/>
  <c r="AT28"/>
  <c r="W28"/>
  <c r="BN27"/>
  <c r="AT27"/>
  <c r="W27"/>
  <c r="AH53" i="5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1"/>
  <c r="AH30"/>
  <c r="AH29"/>
  <c r="AH27"/>
  <c r="AH26"/>
  <c r="AH25"/>
  <c r="AH24"/>
  <c r="S53" i="4"/>
  <c r="S52"/>
  <c r="S51"/>
  <c r="S50"/>
  <c r="S49"/>
  <c r="S48"/>
  <c r="S47"/>
  <c r="S46"/>
  <c r="S45"/>
  <c r="S44"/>
  <c r="S43"/>
  <c r="S42"/>
  <c r="S41"/>
  <c r="S40"/>
  <c r="S39"/>
  <c r="S37"/>
  <c r="S36"/>
  <c r="S35"/>
  <c r="S34"/>
  <c r="S33"/>
  <c r="S32"/>
  <c r="S31"/>
  <c r="S30"/>
  <c r="S29"/>
  <c r="S28"/>
  <c r="S27"/>
  <c r="S26"/>
  <c r="S25"/>
  <c r="S24"/>
  <c r="AC53" i="2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2"/>
  <c r="AC31"/>
  <c r="AC30"/>
  <c r="AC29"/>
  <c r="AC28"/>
  <c r="AC27"/>
  <c r="AC25"/>
  <c r="AC24"/>
  <c r="S53" i="1"/>
  <c r="S52"/>
  <c r="S51"/>
  <c r="S50"/>
  <c r="S49"/>
  <c r="S48"/>
  <c r="S47"/>
  <c r="S46"/>
  <c r="S45"/>
  <c r="S44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53" i="3"/>
  <c r="S52"/>
  <c r="U52" s="1"/>
  <c r="S49"/>
  <c r="S47"/>
  <c r="S45"/>
  <c r="S43"/>
  <c r="S41"/>
  <c r="S40"/>
  <c r="S38"/>
  <c r="S36"/>
  <c r="S34"/>
  <c r="S33"/>
  <c r="S31"/>
  <c r="S30"/>
  <c r="S29"/>
  <c r="S27"/>
  <c r="S25"/>
  <c r="S53" i="7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W53" i="8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1"/>
  <c r="W30"/>
  <c r="W29"/>
  <c r="W27"/>
  <c r="W26"/>
  <c r="W25"/>
  <c r="W24"/>
  <c r="AA53" i="9"/>
  <c r="AC52"/>
  <c r="AC51"/>
  <c r="AA49"/>
  <c r="AC48"/>
  <c r="AC47"/>
  <c r="AA47"/>
  <c r="AC44"/>
  <c r="AA44"/>
  <c r="AC43"/>
  <c r="AC42"/>
  <c r="AC41"/>
  <c r="AA39"/>
  <c r="AC38"/>
  <c r="AC37"/>
  <c r="AA37"/>
  <c r="AA33"/>
  <c r="AA31"/>
  <c r="AC30"/>
  <c r="AC29"/>
  <c r="AA28"/>
  <c r="AC28"/>
  <c r="AC27"/>
  <c r="AA27"/>
  <c r="AC26"/>
  <c r="AC25"/>
  <c r="AC24"/>
  <c r="M53" i="10"/>
  <c r="E53"/>
  <c r="M52"/>
  <c r="E52"/>
  <c r="M51"/>
  <c r="E51"/>
  <c r="M50"/>
  <c r="E50"/>
  <c r="M49"/>
  <c r="E49"/>
  <c r="M48"/>
  <c r="E48"/>
  <c r="M47"/>
  <c r="E47"/>
  <c r="M46"/>
  <c r="E46"/>
  <c r="M45"/>
  <c r="E45"/>
  <c r="M44"/>
  <c r="E44"/>
  <c r="M43"/>
  <c r="E43"/>
  <c r="M42"/>
  <c r="E42"/>
  <c r="M41"/>
  <c r="E41"/>
  <c r="M40"/>
  <c r="E40"/>
  <c r="M39"/>
  <c r="E39"/>
  <c r="M38"/>
  <c r="E38"/>
  <c r="M37"/>
  <c r="E37"/>
  <c r="M36"/>
  <c r="E36"/>
  <c r="M35"/>
  <c r="E35"/>
  <c r="M34"/>
  <c r="E34"/>
  <c r="M33"/>
  <c r="E33"/>
  <c r="M32"/>
  <c r="E32"/>
  <c r="M31"/>
  <c r="E31"/>
  <c r="M30"/>
  <c r="E30"/>
  <c r="M29"/>
  <c r="E29"/>
  <c r="M28"/>
  <c r="E28"/>
  <c r="M27"/>
  <c r="E27"/>
  <c r="M26"/>
  <c r="M25"/>
  <c r="AY30" i="14" l="1"/>
  <c r="AY35"/>
  <c r="AY28"/>
  <c r="AY29" i="15"/>
  <c r="AY46" i="13"/>
  <c r="AY39"/>
  <c r="AY25" i="14"/>
  <c r="AY36"/>
  <c r="AY40"/>
  <c r="AY42"/>
  <c r="AY43"/>
  <c r="AY44"/>
  <c r="AY52"/>
  <c r="AZ27" i="6"/>
  <c r="AZ28"/>
  <c r="AZ35"/>
  <c r="AZ36"/>
  <c r="AZ38"/>
  <c r="AH32" i="5"/>
  <c r="AH33"/>
  <c r="AH51"/>
  <c r="AH28"/>
  <c r="AH52"/>
  <c r="AC26" i="2"/>
  <c r="AC33"/>
  <c r="S24" i="3"/>
  <c r="S26"/>
  <c r="S28"/>
  <c r="S32"/>
  <c r="S35"/>
  <c r="S37"/>
  <c r="S39"/>
  <c r="S44"/>
  <c r="S46"/>
  <c r="S48"/>
  <c r="S50"/>
  <c r="S51"/>
  <c r="W28" i="8"/>
  <c r="W32"/>
  <c r="W52"/>
  <c r="W33"/>
  <c r="AA34" i="9"/>
  <c r="AA46"/>
  <c r="AA25"/>
  <c r="AC32"/>
  <c r="AC32" i="8" s="1"/>
  <c r="AA35" i="9"/>
  <c r="AA36"/>
  <c r="AC40"/>
  <c r="AA50"/>
  <c r="AA45"/>
  <c r="AY41" i="14"/>
  <c r="AY31"/>
  <c r="AY32"/>
  <c r="AY24"/>
  <c r="AY26"/>
  <c r="AY27"/>
  <c r="AY29"/>
  <c r="AY33"/>
  <c r="AY34"/>
  <c r="AY37"/>
  <c r="AY38"/>
  <c r="AY39"/>
  <c r="AY45"/>
  <c r="AY46"/>
  <c r="AY47"/>
  <c r="AY48"/>
  <c r="AY49"/>
  <c r="AY50"/>
  <c r="AY51"/>
  <c r="AY53"/>
  <c r="AZ51" i="6"/>
  <c r="AZ49"/>
  <c r="AZ29"/>
  <c r="AZ30"/>
  <c r="AZ33"/>
  <c r="AZ39"/>
  <c r="AZ40"/>
  <c r="AZ41"/>
  <c r="AZ42"/>
  <c r="AZ45"/>
  <c r="AZ48"/>
  <c r="AZ52"/>
  <c r="AZ54"/>
  <c r="AA24" i="9"/>
  <c r="AA26"/>
  <c r="AA29"/>
  <c r="AA30"/>
  <c r="AC31"/>
  <c r="AA32"/>
  <c r="AC33"/>
  <c r="AC34"/>
  <c r="AC35"/>
  <c r="AC36"/>
  <c r="AA38"/>
  <c r="AC39"/>
  <c r="AA40"/>
  <c r="AA41"/>
  <c r="AA42"/>
  <c r="AA43"/>
  <c r="AC45"/>
  <c r="AC46"/>
  <c r="AA48"/>
  <c r="AC49"/>
  <c r="AC50"/>
  <c r="AA51"/>
  <c r="AA52"/>
  <c r="AC53"/>
  <c r="S66" i="12" l="1"/>
  <c r="S65"/>
  <c r="S64"/>
  <c r="S63"/>
  <c r="S62"/>
  <c r="S60"/>
  <c r="S58"/>
  <c r="S56"/>
  <c r="S55"/>
  <c r="BM63" i="15"/>
  <c r="AI63"/>
  <c r="AS63" s="1"/>
  <c r="W63"/>
  <c r="K63"/>
  <c r="E63"/>
  <c r="BM62"/>
  <c r="AI62"/>
  <c r="AS62" s="1"/>
  <c r="W62"/>
  <c r="K62"/>
  <c r="E62"/>
  <c r="BM61"/>
  <c r="AI61"/>
  <c r="AS61" s="1"/>
  <c r="W61"/>
  <c r="K61"/>
  <c r="E61"/>
  <c r="AY61" s="1"/>
  <c r="BM60"/>
  <c r="AI60"/>
  <c r="AS60" s="1"/>
  <c r="W60"/>
  <c r="K60"/>
  <c r="AY60" s="1"/>
  <c r="E60"/>
  <c r="BM61" i="13"/>
  <c r="AI61"/>
  <c r="AS61" s="1"/>
  <c r="W61"/>
  <c r="K61"/>
  <c r="E61"/>
  <c r="BM60"/>
  <c r="AS60"/>
  <c r="AI60"/>
  <c r="W60"/>
  <c r="K60"/>
  <c r="E60"/>
  <c r="AY60" s="1"/>
  <c r="BM59"/>
  <c r="AI59"/>
  <c r="AS59" s="1"/>
  <c r="W59"/>
  <c r="K59"/>
  <c r="AY59" s="1"/>
  <c r="E59"/>
  <c r="BM58"/>
  <c r="AI58"/>
  <c r="AS58" s="1"/>
  <c r="W58"/>
  <c r="K58"/>
  <c r="E58"/>
  <c r="BM57"/>
  <c r="AI57"/>
  <c r="AS57" s="1"/>
  <c r="W57"/>
  <c r="K57"/>
  <c r="E57"/>
  <c r="BM56"/>
  <c r="AI56"/>
  <c r="AS56" s="1"/>
  <c r="Y56"/>
  <c r="BA56" s="1"/>
  <c r="W56"/>
  <c r="K56"/>
  <c r="E56"/>
  <c r="BM55"/>
  <c r="AI55"/>
  <c r="AS55" s="1"/>
  <c r="W55"/>
  <c r="K55"/>
  <c r="E55"/>
  <c r="BM64" i="14"/>
  <c r="AI64"/>
  <c r="AS64" s="1"/>
  <c r="W64"/>
  <c r="K64"/>
  <c r="AY64" s="1"/>
  <c r="BM63"/>
  <c r="AI63"/>
  <c r="AS63" s="1"/>
  <c r="W63"/>
  <c r="K63"/>
  <c r="AY63" s="1"/>
  <c r="BM62"/>
  <c r="AI62"/>
  <c r="AS62" s="1"/>
  <c r="W62"/>
  <c r="K62"/>
  <c r="AY62" s="1"/>
  <c r="BM61"/>
  <c r="AI61"/>
  <c r="AS61" s="1"/>
  <c r="W61"/>
  <c r="K61"/>
  <c r="AY61" s="1"/>
  <c r="BM60"/>
  <c r="AI60"/>
  <c r="AS60" s="1"/>
  <c r="W60"/>
  <c r="AY60"/>
  <c r="BM59"/>
  <c r="AI59"/>
  <c r="AS59" s="1"/>
  <c r="W59"/>
  <c r="K59"/>
  <c r="AY59" s="1"/>
  <c r="BM58"/>
  <c r="AS58"/>
  <c r="Y58"/>
  <c r="BA58" s="1"/>
  <c r="W58"/>
  <c r="K58"/>
  <c r="AY58" s="1"/>
  <c r="BM57"/>
  <c r="AI57"/>
  <c r="AS57" s="1"/>
  <c r="W57"/>
  <c r="AY57"/>
  <c r="BM56"/>
  <c r="AI56"/>
  <c r="AS56" s="1"/>
  <c r="W56"/>
  <c r="K56"/>
  <c r="AY56" s="1"/>
  <c r="BN66" i="6"/>
  <c r="AT66"/>
  <c r="W66"/>
  <c r="K66"/>
  <c r="E66"/>
  <c r="BN65"/>
  <c r="AT65"/>
  <c r="W65"/>
  <c r="E65"/>
  <c r="AZ65" s="1"/>
  <c r="BN64"/>
  <c r="AT64"/>
  <c r="W64"/>
  <c r="K64"/>
  <c r="E64"/>
  <c r="BN63"/>
  <c r="AT63"/>
  <c r="W63"/>
  <c r="K63"/>
  <c r="E63"/>
  <c r="AT62"/>
  <c r="W62"/>
  <c r="K62"/>
  <c r="BN61"/>
  <c r="AT61"/>
  <c r="W61"/>
  <c r="K61"/>
  <c r="AZ61" s="1"/>
  <c r="BN60"/>
  <c r="AT60"/>
  <c r="Z60"/>
  <c r="BB60" s="1"/>
  <c r="W60"/>
  <c r="K60"/>
  <c r="AZ60" s="1"/>
  <c r="BN59"/>
  <c r="AT59"/>
  <c r="W59"/>
  <c r="K59"/>
  <c r="BN58"/>
  <c r="AT58"/>
  <c r="W58"/>
  <c r="K58"/>
  <c r="BN57"/>
  <c r="AT57"/>
  <c r="W57"/>
  <c r="K57"/>
  <c r="BN56"/>
  <c r="AT56"/>
  <c r="W56"/>
  <c r="K56"/>
  <c r="AH66" i="5"/>
  <c r="AH64"/>
  <c r="AH63"/>
  <c r="AH62"/>
  <c r="AH61"/>
  <c r="AH60"/>
  <c r="AH59"/>
  <c r="AH58"/>
  <c r="AH57"/>
  <c r="AH56"/>
  <c r="AH55"/>
  <c r="AH54"/>
  <c r="S66" i="4"/>
  <c r="S65"/>
  <c r="S63"/>
  <c r="S61"/>
  <c r="S60"/>
  <c r="S58"/>
  <c r="S57"/>
  <c r="S56"/>
  <c r="S55"/>
  <c r="S54"/>
  <c r="AC65" i="2"/>
  <c r="AC64"/>
  <c r="AC63"/>
  <c r="AC62"/>
  <c r="AC61"/>
  <c r="AC60"/>
  <c r="AC59"/>
  <c r="AC58"/>
  <c r="AC57"/>
  <c r="AC56"/>
  <c r="AC55"/>
  <c r="AC54"/>
  <c r="S65" i="1"/>
  <c r="S64"/>
  <c r="S63"/>
  <c r="S62"/>
  <c r="S61"/>
  <c r="S60"/>
  <c r="S59"/>
  <c r="S58"/>
  <c r="S57"/>
  <c r="S56"/>
  <c r="S55"/>
  <c r="S54"/>
  <c r="S66" i="3"/>
  <c r="S64"/>
  <c r="S62"/>
  <c r="S60"/>
  <c r="S57"/>
  <c r="S55"/>
  <c r="S54"/>
  <c r="S66" i="7"/>
  <c r="S65"/>
  <c r="S64"/>
  <c r="S63"/>
  <c r="S62"/>
  <c r="S61"/>
  <c r="S60"/>
  <c r="S59"/>
  <c r="S57"/>
  <c r="S56"/>
  <c r="S55"/>
  <c r="W65" i="8"/>
  <c r="W63"/>
  <c r="W62"/>
  <c r="W61"/>
  <c r="W60"/>
  <c r="W59"/>
  <c r="W58"/>
  <c r="W57"/>
  <c r="W56"/>
  <c r="W55"/>
  <c r="AC65" i="9"/>
  <c r="AC64"/>
  <c r="AC58"/>
  <c r="AC57"/>
  <c r="AC55"/>
  <c r="AA55"/>
  <c r="AC54"/>
  <c r="AB66" i="10"/>
  <c r="M66"/>
  <c r="E66"/>
  <c r="AB65"/>
  <c r="M65"/>
  <c r="E65"/>
  <c r="AB64"/>
  <c r="M64"/>
  <c r="E64"/>
  <c r="AB63"/>
  <c r="M63"/>
  <c r="E63"/>
  <c r="AB62"/>
  <c r="M62"/>
  <c r="E62"/>
  <c r="AB60"/>
  <c r="M60"/>
  <c r="E60"/>
  <c r="AB59"/>
  <c r="M59"/>
  <c r="E59"/>
  <c r="AB58"/>
  <c r="M58"/>
  <c r="E58"/>
  <c r="AB57"/>
  <c r="M57"/>
  <c r="E57"/>
  <c r="AB56"/>
  <c r="M56"/>
  <c r="E56"/>
  <c r="AB55"/>
  <c r="M55"/>
  <c r="E55"/>
  <c r="AB54"/>
  <c r="M54"/>
  <c r="E54"/>
  <c r="AZ66" i="6" l="1"/>
  <c r="AY61" i="13"/>
  <c r="AZ63" i="6"/>
  <c r="AY55" i="13"/>
  <c r="AY63" i="15"/>
  <c r="AY56" i="13"/>
  <c r="AY57"/>
  <c r="AY58"/>
  <c r="AZ59" i="6"/>
  <c r="AZ62"/>
  <c r="AZ64"/>
  <c r="S54" i="12"/>
  <c r="S57"/>
  <c r="AC59" i="9"/>
  <c r="AC60"/>
  <c r="AA61"/>
  <c r="AA62"/>
  <c r="AA63"/>
  <c r="AA65"/>
  <c r="S54" i="7"/>
  <c r="S56" i="3"/>
  <c r="S59"/>
  <c r="S61"/>
  <c r="S63"/>
  <c r="S65"/>
  <c r="W64" i="8"/>
  <c r="W54"/>
  <c r="AC56" i="9"/>
  <c r="AA57"/>
  <c r="AA59"/>
  <c r="AA60"/>
  <c r="AC61"/>
  <c r="AZ56" i="6"/>
  <c r="AZ57"/>
  <c r="AZ58"/>
  <c r="AY62" i="15"/>
  <c r="AA58" i="9"/>
  <c r="AC62"/>
  <c r="AC63"/>
  <c r="AA64"/>
  <c r="BM65" i="15" l="1"/>
  <c r="AI65"/>
  <c r="W73"/>
  <c r="AI77"/>
  <c r="BM106" i="14"/>
  <c r="S214" i="12"/>
  <c r="W214" s="1"/>
  <c r="S213"/>
  <c r="W213" s="1"/>
  <c r="S212"/>
  <c r="W212" s="1"/>
  <c r="S211"/>
  <c r="W211" s="1"/>
  <c r="S210"/>
  <c r="W210" s="1"/>
  <c r="S209"/>
  <c r="W209" s="1"/>
  <c r="S208"/>
  <c r="W208" s="1"/>
  <c r="S207"/>
  <c r="S205"/>
  <c r="W205" s="1"/>
  <c r="S204"/>
  <c r="W204" s="1"/>
  <c r="S203"/>
  <c r="W203" s="1"/>
  <c r="S202"/>
  <c r="W202" s="1"/>
  <c r="S201"/>
  <c r="W201" s="1"/>
  <c r="S199"/>
  <c r="W199" s="1"/>
  <c r="S198"/>
  <c r="W198" s="1"/>
  <c r="S197"/>
  <c r="W197" s="1"/>
  <c r="S196"/>
  <c r="W196" s="1"/>
  <c r="S195"/>
  <c r="W195" s="1"/>
  <c r="S194"/>
  <c r="W194" s="1"/>
  <c r="S193"/>
  <c r="W193" s="1"/>
  <c r="S192"/>
  <c r="W192" s="1"/>
  <c r="S191"/>
  <c r="W191" s="1"/>
  <c r="S190"/>
  <c r="W190" s="1"/>
  <c r="S189"/>
  <c r="W189" s="1"/>
  <c r="S188"/>
  <c r="W188" s="1"/>
  <c r="S187"/>
  <c r="W187" s="1"/>
  <c r="S186"/>
  <c r="W186" s="1"/>
  <c r="S185"/>
  <c r="W185" s="1"/>
  <c r="S184"/>
  <c r="W184" s="1"/>
  <c r="S183"/>
  <c r="W183" s="1"/>
  <c r="S182"/>
  <c r="W182" s="1"/>
  <c r="S180"/>
  <c r="W180" s="1"/>
  <c r="S179"/>
  <c r="W179" s="1"/>
  <c r="S178"/>
  <c r="W178" s="1"/>
  <c r="S177"/>
  <c r="W177" s="1"/>
  <c r="S176"/>
  <c r="W176" s="1"/>
  <c r="S175"/>
  <c r="W175" s="1"/>
  <c r="S174"/>
  <c r="W174" s="1"/>
  <c r="S173"/>
  <c r="W173" s="1"/>
  <c r="S172"/>
  <c r="W172" s="1"/>
  <c r="S170"/>
  <c r="W170" s="1"/>
  <c r="S169"/>
  <c r="W169" s="1"/>
  <c r="S168"/>
  <c r="W168" s="1"/>
  <c r="S166"/>
  <c r="W166" s="1"/>
  <c r="S165"/>
  <c r="W165" s="1"/>
  <c r="S164"/>
  <c r="W164" s="1"/>
  <c r="S163"/>
  <c r="W163" s="1"/>
  <c r="S162"/>
  <c r="W162" s="1"/>
  <c r="S161"/>
  <c r="W161" s="1"/>
  <c r="S160"/>
  <c r="W160" s="1"/>
  <c r="S159"/>
  <c r="W159" s="1"/>
  <c r="S158"/>
  <c r="W158" s="1"/>
  <c r="S157"/>
  <c r="W157" s="1"/>
  <c r="S156"/>
  <c r="W156" s="1"/>
  <c r="S155"/>
  <c r="W155" s="1"/>
  <c r="S154"/>
  <c r="W154" s="1"/>
  <c r="S153"/>
  <c r="W153" s="1"/>
  <c r="S152"/>
  <c r="W152" s="1"/>
  <c r="S151"/>
  <c r="W151" s="1"/>
  <c r="S150"/>
  <c r="W150" s="1"/>
  <c r="S149"/>
  <c r="W149" s="1"/>
  <c r="S148"/>
  <c r="W148" s="1"/>
  <c r="S147"/>
  <c r="W147" s="1"/>
  <c r="S146"/>
  <c r="W146" s="1"/>
  <c r="S145"/>
  <c r="W145" s="1"/>
  <c r="BM163" i="15"/>
  <c r="AI163"/>
  <c r="AS163" s="1"/>
  <c r="W163"/>
  <c r="K163"/>
  <c r="E163"/>
  <c r="BM162"/>
  <c r="AI162"/>
  <c r="AS162" s="1"/>
  <c r="W162"/>
  <c r="K162"/>
  <c r="E162"/>
  <c r="BM161"/>
  <c r="AI161"/>
  <c r="AS161" s="1"/>
  <c r="W161"/>
  <c r="K161"/>
  <c r="AY161" s="1"/>
  <c r="E161"/>
  <c r="BM160"/>
  <c r="AI160"/>
  <c r="AS160" s="1"/>
  <c r="W160"/>
  <c r="K160"/>
  <c r="E160"/>
  <c r="BM159"/>
  <c r="AI159"/>
  <c r="AS159" s="1"/>
  <c r="W159"/>
  <c r="K159"/>
  <c r="E159"/>
  <c r="BM158"/>
  <c r="AI158"/>
  <c r="AS158" s="1"/>
  <c r="W158"/>
  <c r="K158"/>
  <c r="E158"/>
  <c r="BM157"/>
  <c r="AI157"/>
  <c r="AS157" s="1"/>
  <c r="W157"/>
  <c r="K157"/>
  <c r="AY157" s="1"/>
  <c r="E157"/>
  <c r="BM156"/>
  <c r="AI156"/>
  <c r="AS156" s="1"/>
  <c r="W156"/>
  <c r="K156"/>
  <c r="E156"/>
  <c r="BM155"/>
  <c r="AI155"/>
  <c r="AS155" s="1"/>
  <c r="W155"/>
  <c r="K155"/>
  <c r="E155"/>
  <c r="BM154"/>
  <c r="AI154"/>
  <c r="AS154" s="1"/>
  <c r="W154"/>
  <c r="K154"/>
  <c r="E154"/>
  <c r="BM153"/>
  <c r="AI153"/>
  <c r="AS153" s="1"/>
  <c r="W153"/>
  <c r="K153"/>
  <c r="E153"/>
  <c r="BM152"/>
  <c r="AI152"/>
  <c r="AS152" s="1"/>
  <c r="W152"/>
  <c r="K152"/>
  <c r="E152"/>
  <c r="BM151"/>
  <c r="AI151"/>
  <c r="AS151" s="1"/>
  <c r="W151"/>
  <c r="K151"/>
  <c r="E151"/>
  <c r="BM150"/>
  <c r="AI150"/>
  <c r="AS150" s="1"/>
  <c r="W150"/>
  <c r="K150"/>
  <c r="E150"/>
  <c r="BM149"/>
  <c r="AI149"/>
  <c r="AS149" s="1"/>
  <c r="W149"/>
  <c r="K149"/>
  <c r="E149"/>
  <c r="BM208" i="13"/>
  <c r="AI208"/>
  <c r="AS208" s="1"/>
  <c r="W208"/>
  <c r="E208"/>
  <c r="AY208" s="1"/>
  <c r="BM207"/>
  <c r="AI207"/>
  <c r="AS207" s="1"/>
  <c r="W207"/>
  <c r="K207"/>
  <c r="AY207" s="1"/>
  <c r="E207"/>
  <c r="BM206"/>
  <c r="AI206"/>
  <c r="AS206" s="1"/>
  <c r="W206"/>
  <c r="K206"/>
  <c r="E206"/>
  <c r="AY206" s="1"/>
  <c r="BM205"/>
  <c r="AI205"/>
  <c r="AS205" s="1"/>
  <c r="W205"/>
  <c r="K205"/>
  <c r="E205"/>
  <c r="BM204"/>
  <c r="AS204"/>
  <c r="W204"/>
  <c r="K204"/>
  <c r="E204"/>
  <c r="AY204" s="1"/>
  <c r="BM203"/>
  <c r="AI203"/>
  <c r="AS203" s="1"/>
  <c r="W203"/>
  <c r="K203"/>
  <c r="E203"/>
  <c r="AY203" s="1"/>
  <c r="BM202"/>
  <c r="AI202"/>
  <c r="AS202" s="1"/>
  <c r="W202"/>
  <c r="K202"/>
  <c r="AY202" s="1"/>
  <c r="E202"/>
  <c r="BM201"/>
  <c r="AS201"/>
  <c r="AI201"/>
  <c r="W201"/>
  <c r="K201"/>
  <c r="E201"/>
  <c r="BM200"/>
  <c r="AI200"/>
  <c r="AS200" s="1"/>
  <c r="W200"/>
  <c r="K200"/>
  <c r="E200"/>
  <c r="BM199"/>
  <c r="AI199"/>
  <c r="AS199" s="1"/>
  <c r="W199"/>
  <c r="K199"/>
  <c r="E199"/>
  <c r="BM198"/>
  <c r="AI198"/>
  <c r="AS198" s="1"/>
  <c r="W198"/>
  <c r="K198"/>
  <c r="E198"/>
  <c r="AY198" s="1"/>
  <c r="BM197"/>
  <c r="AI197"/>
  <c r="AS197" s="1"/>
  <c r="W197"/>
  <c r="K197"/>
  <c r="AY197" s="1"/>
  <c r="E197"/>
  <c r="BM196"/>
  <c r="AI196"/>
  <c r="AS196" s="1"/>
  <c r="W196"/>
  <c r="K196"/>
  <c r="E196"/>
  <c r="BM195"/>
  <c r="AI195"/>
  <c r="AS195" s="1"/>
  <c r="W195"/>
  <c r="K195"/>
  <c r="E195"/>
  <c r="BM194"/>
  <c r="AI194"/>
  <c r="AS194" s="1"/>
  <c r="W194"/>
  <c r="K194"/>
  <c r="E194"/>
  <c r="BM193"/>
  <c r="AS193"/>
  <c r="W193"/>
  <c r="K193"/>
  <c r="E193"/>
  <c r="BM192"/>
  <c r="AI192"/>
  <c r="AS192" s="1"/>
  <c r="W192"/>
  <c r="K192"/>
  <c r="E192"/>
  <c r="BM191"/>
  <c r="AI191"/>
  <c r="AS191" s="1"/>
  <c r="W191"/>
  <c r="K191"/>
  <c r="E191"/>
  <c r="BM190"/>
  <c r="AI190"/>
  <c r="AS190" s="1"/>
  <c r="W190"/>
  <c r="K190"/>
  <c r="E190"/>
  <c r="AI189"/>
  <c r="AS189" s="1"/>
  <c r="W189"/>
  <c r="K189"/>
  <c r="E189"/>
  <c r="BM188"/>
  <c r="AI188"/>
  <c r="AS188" s="1"/>
  <c r="W188"/>
  <c r="K188"/>
  <c r="E188"/>
  <c r="BM187"/>
  <c r="AI187"/>
  <c r="AS187" s="1"/>
  <c r="W187"/>
  <c r="K187"/>
  <c r="E187"/>
  <c r="BM186"/>
  <c r="AI186"/>
  <c r="AS186" s="1"/>
  <c r="W186"/>
  <c r="K186"/>
  <c r="E186"/>
  <c r="AY186" s="1"/>
  <c r="BM185"/>
  <c r="AI185"/>
  <c r="AS185" s="1"/>
  <c r="W185"/>
  <c r="K185"/>
  <c r="AY185" s="1"/>
  <c r="E185"/>
  <c r="BM184"/>
  <c r="AI184"/>
  <c r="AS184" s="1"/>
  <c r="W184"/>
  <c r="K184"/>
  <c r="E184"/>
  <c r="BM183"/>
  <c r="AI183"/>
  <c r="AS183" s="1"/>
  <c r="W183"/>
  <c r="K183"/>
  <c r="E183"/>
  <c r="BM182"/>
  <c r="AI182"/>
  <c r="AS182" s="1"/>
  <c r="W182"/>
  <c r="K182"/>
  <c r="E182"/>
  <c r="BM181"/>
  <c r="AI181"/>
  <c r="AS181" s="1"/>
  <c r="W181"/>
  <c r="K181"/>
  <c r="E181"/>
  <c r="BM180"/>
  <c r="AI180"/>
  <c r="AS180" s="1"/>
  <c r="W180"/>
  <c r="K180"/>
  <c r="E180"/>
  <c r="BM179"/>
  <c r="AI179"/>
  <c r="AS179" s="1"/>
  <c r="W179"/>
  <c r="K179"/>
  <c r="E179"/>
  <c r="BM178"/>
  <c r="AI178"/>
  <c r="AS178" s="1"/>
  <c r="W178"/>
  <c r="K178"/>
  <c r="E178"/>
  <c r="BM177"/>
  <c r="AI177"/>
  <c r="AS177" s="1"/>
  <c r="W177"/>
  <c r="K177"/>
  <c r="AY177" s="1"/>
  <c r="E177"/>
  <c r="BM176"/>
  <c r="AI176"/>
  <c r="AS176" s="1"/>
  <c r="W176"/>
  <c r="K176"/>
  <c r="E176"/>
  <c r="BM175"/>
  <c r="AI175"/>
  <c r="AS175" s="1"/>
  <c r="W175"/>
  <c r="K175"/>
  <c r="E175"/>
  <c r="BM174"/>
  <c r="AI174"/>
  <c r="AS174" s="1"/>
  <c r="W174"/>
  <c r="K174"/>
  <c r="E174"/>
  <c r="BM173"/>
  <c r="AI173"/>
  <c r="AS173" s="1"/>
  <c r="W173"/>
  <c r="K173"/>
  <c r="E173"/>
  <c r="BM172"/>
  <c r="AI172"/>
  <c r="AS172" s="1"/>
  <c r="W172"/>
  <c r="K172"/>
  <c r="E172"/>
  <c r="BM171"/>
  <c r="AS171"/>
  <c r="AI171"/>
  <c r="W171"/>
  <c r="K171"/>
  <c r="E171"/>
  <c r="AY171" s="1"/>
  <c r="BM170"/>
  <c r="AI170"/>
  <c r="AS170" s="1"/>
  <c r="W170"/>
  <c r="K170"/>
  <c r="AY170" s="1"/>
  <c r="E170"/>
  <c r="BM169"/>
  <c r="AI169"/>
  <c r="AS169" s="1"/>
  <c r="W169"/>
  <c r="K169"/>
  <c r="E169"/>
  <c r="BM168"/>
  <c r="AI168"/>
  <c r="AS168" s="1"/>
  <c r="W168"/>
  <c r="K168"/>
  <c r="E168"/>
  <c r="BM167"/>
  <c r="AS167"/>
  <c r="AI167"/>
  <c r="W167"/>
  <c r="K167"/>
  <c r="E167"/>
  <c r="AY167" s="1"/>
  <c r="BM166"/>
  <c r="AI166"/>
  <c r="AS166" s="1"/>
  <c r="W166"/>
  <c r="K166"/>
  <c r="AY166" s="1"/>
  <c r="E166"/>
  <c r="BM165"/>
  <c r="AI165"/>
  <c r="AS165" s="1"/>
  <c r="W165"/>
  <c r="K165"/>
  <c r="E165"/>
  <c r="BM164"/>
  <c r="AS164"/>
  <c r="AI164"/>
  <c r="W164"/>
  <c r="K164"/>
  <c r="E164"/>
  <c r="AY164" s="1"/>
  <c r="BM163"/>
  <c r="AI163"/>
  <c r="AS163" s="1"/>
  <c r="W163"/>
  <c r="K163"/>
  <c r="E163"/>
  <c r="BM162"/>
  <c r="AI162"/>
  <c r="AS162" s="1"/>
  <c r="W162"/>
  <c r="K162"/>
  <c r="E162"/>
  <c r="BM161"/>
  <c r="AI161"/>
  <c r="AS161" s="1"/>
  <c r="W161"/>
  <c r="K161"/>
  <c r="E161"/>
  <c r="BM160"/>
  <c r="AI160"/>
  <c r="AS160" s="1"/>
  <c r="W160"/>
  <c r="K160"/>
  <c r="E160"/>
  <c r="BM159"/>
  <c r="AI159"/>
  <c r="AS159" s="1"/>
  <c r="W159"/>
  <c r="K159"/>
  <c r="E159"/>
  <c r="BM158"/>
  <c r="AI158"/>
  <c r="AS158" s="1"/>
  <c r="W158"/>
  <c r="K158"/>
  <c r="E158"/>
  <c r="AY158" s="1"/>
  <c r="BM157"/>
  <c r="AI157"/>
  <c r="AS157" s="1"/>
  <c r="W157"/>
  <c r="K157"/>
  <c r="E157"/>
  <c r="BM156"/>
  <c r="AI156"/>
  <c r="AS156" s="1"/>
  <c r="W156"/>
  <c r="K156"/>
  <c r="E156"/>
  <c r="BM155"/>
  <c r="AI155"/>
  <c r="AS155" s="1"/>
  <c r="W155"/>
  <c r="K155"/>
  <c r="E155"/>
  <c r="BM154"/>
  <c r="AI154"/>
  <c r="AS154" s="1"/>
  <c r="W154"/>
  <c r="K154"/>
  <c r="E154"/>
  <c r="BM153"/>
  <c r="AI153"/>
  <c r="AS153" s="1"/>
  <c r="W153"/>
  <c r="K153"/>
  <c r="E153"/>
  <c r="BM152"/>
  <c r="AI152"/>
  <c r="AS152" s="1"/>
  <c r="W152"/>
  <c r="K152"/>
  <c r="E152"/>
  <c r="BM151"/>
  <c r="AI151"/>
  <c r="AS151" s="1"/>
  <c r="W151"/>
  <c r="K151"/>
  <c r="E151"/>
  <c r="BM150"/>
  <c r="AI150"/>
  <c r="AS150" s="1"/>
  <c r="W150"/>
  <c r="K150"/>
  <c r="E150"/>
  <c r="BM149"/>
  <c r="AI149"/>
  <c r="AS149" s="1"/>
  <c r="W149"/>
  <c r="K149"/>
  <c r="E149"/>
  <c r="BM148"/>
  <c r="AI148"/>
  <c r="AS148" s="1"/>
  <c r="W148"/>
  <c r="K148"/>
  <c r="E148"/>
  <c r="BM147"/>
  <c r="AI147"/>
  <c r="AS147" s="1"/>
  <c r="W147"/>
  <c r="K147"/>
  <c r="E147"/>
  <c r="BM146"/>
  <c r="AI146"/>
  <c r="AS146" s="1"/>
  <c r="W146"/>
  <c r="K146"/>
  <c r="E146"/>
  <c r="BM145"/>
  <c r="AI145"/>
  <c r="AS145" s="1"/>
  <c r="W145"/>
  <c r="K145"/>
  <c r="E145"/>
  <c r="BM144"/>
  <c r="AI144"/>
  <c r="AS144" s="1"/>
  <c r="W144"/>
  <c r="K144"/>
  <c r="E144"/>
  <c r="E209"/>
  <c r="K209"/>
  <c r="AY209" s="1"/>
  <c r="W209"/>
  <c r="AI209"/>
  <c r="AS209" s="1"/>
  <c r="BM209"/>
  <c r="E210"/>
  <c r="K210"/>
  <c r="W210"/>
  <c r="AI210"/>
  <c r="AS210" s="1"/>
  <c r="BM210"/>
  <c r="E211"/>
  <c r="K211"/>
  <c r="AY211" s="1"/>
  <c r="W211"/>
  <c r="AI211"/>
  <c r="AS211" s="1"/>
  <c r="BM211"/>
  <c r="E212"/>
  <c r="K212"/>
  <c r="W212"/>
  <c r="AI212"/>
  <c r="AS212"/>
  <c r="BM212"/>
  <c r="E213"/>
  <c r="K213"/>
  <c r="AY213" s="1"/>
  <c r="W213"/>
  <c r="AI213"/>
  <c r="AS213" s="1"/>
  <c r="BM213"/>
  <c r="E214"/>
  <c r="K214"/>
  <c r="W214"/>
  <c r="AI214"/>
  <c r="AS214" s="1"/>
  <c r="BM214"/>
  <c r="E215"/>
  <c r="K215"/>
  <c r="AI215"/>
  <c r="AS215"/>
  <c r="BM215"/>
  <c r="E216"/>
  <c r="K216"/>
  <c r="W216"/>
  <c r="AI216"/>
  <c r="AS216" s="1"/>
  <c r="AY216"/>
  <c r="BM216"/>
  <c r="E217"/>
  <c r="AY217" s="1"/>
  <c r="K217"/>
  <c r="W217"/>
  <c r="AI217"/>
  <c r="AS217"/>
  <c r="BM217"/>
  <c r="E218"/>
  <c r="K218"/>
  <c r="W218"/>
  <c r="AI218"/>
  <c r="AS218" s="1"/>
  <c r="AY218"/>
  <c r="BM218"/>
  <c r="E219"/>
  <c r="AY219" s="1"/>
  <c r="K219"/>
  <c r="W219"/>
  <c r="AI219"/>
  <c r="AS219"/>
  <c r="BM219"/>
  <c r="E220"/>
  <c r="K220"/>
  <c r="W220"/>
  <c r="AI220"/>
  <c r="AS220" s="1"/>
  <c r="AY220"/>
  <c r="BM220"/>
  <c r="E221"/>
  <c r="AY221" s="1"/>
  <c r="K221"/>
  <c r="W221"/>
  <c r="AI221"/>
  <c r="AS221"/>
  <c r="BM221"/>
  <c r="E222"/>
  <c r="K222"/>
  <c r="W222"/>
  <c r="AI222"/>
  <c r="AS222" s="1"/>
  <c r="AY222"/>
  <c r="BM222"/>
  <c r="E223"/>
  <c r="AY223" s="1"/>
  <c r="K223"/>
  <c r="W223"/>
  <c r="AI223"/>
  <c r="AS223"/>
  <c r="BM223"/>
  <c r="E224"/>
  <c r="K224"/>
  <c r="AY224" s="1"/>
  <c r="W224"/>
  <c r="AI224"/>
  <c r="AS224" s="1"/>
  <c r="BM224"/>
  <c r="E225"/>
  <c r="K225"/>
  <c r="W225"/>
  <c r="AI225"/>
  <c r="AS225" s="1"/>
  <c r="BM225"/>
  <c r="E226"/>
  <c r="K226"/>
  <c r="W226"/>
  <c r="AI226"/>
  <c r="AS226" s="1"/>
  <c r="AY226"/>
  <c r="BM226"/>
  <c r="E227"/>
  <c r="AY227" s="1"/>
  <c r="K227"/>
  <c r="W227"/>
  <c r="AI227"/>
  <c r="AS227"/>
  <c r="BM227"/>
  <c r="E228"/>
  <c r="K228"/>
  <c r="W228"/>
  <c r="AI228"/>
  <c r="AS228" s="1"/>
  <c r="AY228"/>
  <c r="BM228"/>
  <c r="E229"/>
  <c r="K229"/>
  <c r="AI229"/>
  <c r="AS229" s="1"/>
  <c r="AY229"/>
  <c r="BM229"/>
  <c r="E230"/>
  <c r="K230"/>
  <c r="AY230" s="1"/>
  <c r="W230"/>
  <c r="AS230"/>
  <c r="E231"/>
  <c r="K231"/>
  <c r="W231"/>
  <c r="AI231"/>
  <c r="AS231" s="1"/>
  <c r="AY231"/>
  <c r="BM231"/>
  <c r="E232"/>
  <c r="AY232" s="1"/>
  <c r="K232"/>
  <c r="W232"/>
  <c r="AI232"/>
  <c r="AS232" s="1"/>
  <c r="BM232"/>
  <c r="E233"/>
  <c r="K233"/>
  <c r="W233"/>
  <c r="AI233"/>
  <c r="AS233" s="1"/>
  <c r="BM233"/>
  <c r="E234"/>
  <c r="AY234" s="1"/>
  <c r="K234"/>
  <c r="W234"/>
  <c r="AI234"/>
  <c r="AS234"/>
  <c r="BM234"/>
  <c r="E235"/>
  <c r="K235"/>
  <c r="AY235" s="1"/>
  <c r="W235"/>
  <c r="AS235"/>
  <c r="BM235"/>
  <c r="E236"/>
  <c r="K236"/>
  <c r="W236"/>
  <c r="AI236"/>
  <c r="AS236" s="1"/>
  <c r="AY236"/>
  <c r="BM236"/>
  <c r="E237"/>
  <c r="AY237" s="1"/>
  <c r="K237"/>
  <c r="W237"/>
  <c r="AI237"/>
  <c r="AS237"/>
  <c r="BM237"/>
  <c r="E238"/>
  <c r="K238"/>
  <c r="W238"/>
  <c r="AI238"/>
  <c r="AS238" s="1"/>
  <c r="AY238"/>
  <c r="BM238"/>
  <c r="E239"/>
  <c r="AY239" s="1"/>
  <c r="K239"/>
  <c r="W239"/>
  <c r="AI239"/>
  <c r="AS239"/>
  <c r="BM239"/>
  <c r="E240"/>
  <c r="K240"/>
  <c r="AY240" s="1"/>
  <c r="W240"/>
  <c r="AI240"/>
  <c r="BM240"/>
  <c r="BM210" i="14"/>
  <c r="BM209"/>
  <c r="BM208"/>
  <c r="BM207"/>
  <c r="BM206"/>
  <c r="BM205"/>
  <c r="BM204"/>
  <c r="BM203"/>
  <c r="BM202"/>
  <c r="BM201"/>
  <c r="BM200"/>
  <c r="BM199"/>
  <c r="BM198"/>
  <c r="BM197"/>
  <c r="BM196"/>
  <c r="BM195"/>
  <c r="BM194"/>
  <c r="BM193"/>
  <c r="BM192"/>
  <c r="BM191"/>
  <c r="BM190"/>
  <c r="BM189"/>
  <c r="BM188"/>
  <c r="BM187"/>
  <c r="BM186"/>
  <c r="BM185"/>
  <c r="BM184"/>
  <c r="BM183"/>
  <c r="BM182"/>
  <c r="BM181"/>
  <c r="BM180"/>
  <c r="BM179"/>
  <c r="BM178"/>
  <c r="BM177"/>
  <c r="BM176"/>
  <c r="AI176"/>
  <c r="AS176" s="1"/>
  <c r="W176"/>
  <c r="K176"/>
  <c r="AY176" s="1"/>
  <c r="BM174"/>
  <c r="BM173"/>
  <c r="BM172"/>
  <c r="BM171"/>
  <c r="BM170"/>
  <c r="BM169"/>
  <c r="BM168"/>
  <c r="BM167"/>
  <c r="BM166"/>
  <c r="BM165"/>
  <c r="BM164"/>
  <c r="BM163"/>
  <c r="BM162"/>
  <c r="BM161"/>
  <c r="BM160"/>
  <c r="BM159"/>
  <c r="BM158"/>
  <c r="BM157"/>
  <c r="BM156"/>
  <c r="BM155"/>
  <c r="BM154"/>
  <c r="BM153"/>
  <c r="BM152"/>
  <c r="BM151"/>
  <c r="BM150"/>
  <c r="BM149"/>
  <c r="BM148"/>
  <c r="BM147"/>
  <c r="BM146"/>
  <c r="BM145"/>
  <c r="BM144"/>
  <c r="BM143"/>
  <c r="BN213" i="6"/>
  <c r="BN212"/>
  <c r="BN211"/>
  <c r="BN210"/>
  <c r="BN209"/>
  <c r="BN208"/>
  <c r="BN207"/>
  <c r="BN206"/>
  <c r="BN205"/>
  <c r="BN204"/>
  <c r="BN203"/>
  <c r="BN202"/>
  <c r="BN201"/>
  <c r="BN200"/>
  <c r="BN199"/>
  <c r="BN198"/>
  <c r="BN197"/>
  <c r="BN196"/>
  <c r="BN195"/>
  <c r="BN194"/>
  <c r="BN193"/>
  <c r="BN192"/>
  <c r="BN191"/>
  <c r="BN190"/>
  <c r="AJ190"/>
  <c r="AT190" s="1"/>
  <c r="W190"/>
  <c r="K190"/>
  <c r="E190"/>
  <c r="BN189"/>
  <c r="AJ189"/>
  <c r="AT189" s="1"/>
  <c r="W189"/>
  <c r="K189"/>
  <c r="E189"/>
  <c r="BN188"/>
  <c r="AT188"/>
  <c r="W188"/>
  <c r="K188"/>
  <c r="BN187"/>
  <c r="AJ187"/>
  <c r="AT187" s="1"/>
  <c r="W187"/>
  <c r="K187"/>
  <c r="E187"/>
  <c r="BN186"/>
  <c r="AJ186"/>
  <c r="AT186" s="1"/>
  <c r="W186"/>
  <c r="K186"/>
  <c r="E186"/>
  <c r="BN185"/>
  <c r="AJ185"/>
  <c r="AT185" s="1"/>
  <c r="W185"/>
  <c r="K185"/>
  <c r="E185"/>
  <c r="BN184"/>
  <c r="BN183"/>
  <c r="BN182"/>
  <c r="BN181"/>
  <c r="BN180"/>
  <c r="BN177"/>
  <c r="BN176"/>
  <c r="BN175"/>
  <c r="BN174"/>
  <c r="BN173"/>
  <c r="BN172"/>
  <c r="BN171"/>
  <c r="BN169"/>
  <c r="BN168"/>
  <c r="BN167"/>
  <c r="BN166"/>
  <c r="BN165"/>
  <c r="BN164"/>
  <c r="BN162"/>
  <c r="BN161"/>
  <c r="BN160"/>
  <c r="BN158"/>
  <c r="BN157"/>
  <c r="BN156"/>
  <c r="BN153"/>
  <c r="BN152"/>
  <c r="BN151"/>
  <c r="BN150"/>
  <c r="BN149"/>
  <c r="BN148"/>
  <c r="BN147"/>
  <c r="BN146"/>
  <c r="BN145"/>
  <c r="AH196" i="5"/>
  <c r="S215" i="7"/>
  <c r="S214"/>
  <c r="AM213" i="2" s="1"/>
  <c r="S213" i="7"/>
  <c r="S212"/>
  <c r="S211"/>
  <c r="AM210" i="2" s="1"/>
  <c r="S210" i="7"/>
  <c r="AM209" i="2" s="1"/>
  <c r="S208" i="7"/>
  <c r="AM208" i="2" s="1"/>
  <c r="S207" i="7"/>
  <c r="AM207" i="2" s="1"/>
  <c r="S206" i="7"/>
  <c r="AM206" i="2" s="1"/>
  <c r="S204" i="7"/>
  <c r="S203"/>
  <c r="S202"/>
  <c r="S201"/>
  <c r="S200"/>
  <c r="AM200" i="2" s="1"/>
  <c r="S199" i="7"/>
  <c r="S198"/>
  <c r="S197"/>
  <c r="S196"/>
  <c r="S195"/>
  <c r="AM194" i="2" s="1"/>
  <c r="S194" i="7"/>
  <c r="AM193" i="2" s="1"/>
  <c r="S193" i="7"/>
  <c r="S192"/>
  <c r="S191"/>
  <c r="AM190" i="2" s="1"/>
  <c r="S190" i="7"/>
  <c r="S189"/>
  <c r="S188"/>
  <c r="S187"/>
  <c r="AM186" i="2" s="1"/>
  <c r="S186" i="7"/>
  <c r="S185"/>
  <c r="S184"/>
  <c r="S183"/>
  <c r="S182"/>
  <c r="S181"/>
  <c r="V181" s="1"/>
  <c r="S180"/>
  <c r="AM179" i="2" s="1"/>
  <c r="S179" i="7"/>
  <c r="S178"/>
  <c r="AM177" i="2" s="1"/>
  <c r="S177" i="7"/>
  <c r="S176"/>
  <c r="S175"/>
  <c r="S174"/>
  <c r="AM173" i="2" s="1"/>
  <c r="S173" i="7"/>
  <c r="S172"/>
  <c r="S171"/>
  <c r="AM170" i="2" s="1"/>
  <c r="S170" i="7"/>
  <c r="S169"/>
  <c r="S168"/>
  <c r="AM167" i="2" s="1"/>
  <c r="S167" i="7"/>
  <c r="S166"/>
  <c r="S165"/>
  <c r="S164"/>
  <c r="S163"/>
  <c r="S162"/>
  <c r="AM161" i="2" s="1"/>
  <c r="S161" i="7"/>
  <c r="AM160" i="2" s="1"/>
  <c r="S160" i="7"/>
  <c r="S159"/>
  <c r="S157"/>
  <c r="AM157" i="2" s="1"/>
  <c r="S156" i="7"/>
  <c r="AM156" i="2" s="1"/>
  <c r="S155" i="7"/>
  <c r="S154"/>
  <c r="S153"/>
  <c r="S152"/>
  <c r="S151"/>
  <c r="AM151" i="2" s="1"/>
  <c r="S150" i="7"/>
  <c r="S149"/>
  <c r="S148"/>
  <c r="S147"/>
  <c r="S146"/>
  <c r="S145"/>
  <c r="AA214" i="9"/>
  <c r="AC212"/>
  <c r="AA212"/>
  <c r="AA211"/>
  <c r="AA208"/>
  <c r="AC207"/>
  <c r="AA207"/>
  <c r="AC206"/>
  <c r="AC205"/>
  <c r="AC205" i="8" s="1"/>
  <c r="AA205" i="9"/>
  <c r="AA204"/>
  <c r="AC203"/>
  <c r="AC201"/>
  <c r="AA201"/>
  <c r="AA200"/>
  <c r="AC197"/>
  <c r="AA197"/>
  <c r="AC195"/>
  <c r="AA194"/>
  <c r="AA192"/>
  <c r="AC191"/>
  <c r="AC191" i="8" s="1"/>
  <c r="AA191" i="9"/>
  <c r="AC189"/>
  <c r="AC189" i="8" s="1"/>
  <c r="AC187" i="9"/>
  <c r="AC187" i="8" s="1"/>
  <c r="AA187" i="9"/>
  <c r="AA186"/>
  <c r="AC185"/>
  <c r="AC185" i="8" s="1"/>
  <c r="AA184" i="9"/>
  <c r="AC183"/>
  <c r="AC183" i="8" s="1"/>
  <c r="AA183" i="9"/>
  <c r="AC182"/>
  <c r="AC182" i="8" s="1"/>
  <c r="AC180" i="9"/>
  <c r="AC180" i="8" s="1"/>
  <c r="AC178" i="9"/>
  <c r="AC178" i="8" s="1"/>
  <c r="AA178" i="9"/>
  <c r="AC176"/>
  <c r="AC176" i="8" s="1"/>
  <c r="AA175" i="9"/>
  <c r="AC174"/>
  <c r="AC174" i="8" s="1"/>
  <c r="AA174" i="9"/>
  <c r="AC173"/>
  <c r="AC173" i="8" s="1"/>
  <c r="AA173" i="9"/>
  <c r="AC172"/>
  <c r="AC172" i="8" s="1"/>
  <c r="AA172" i="9"/>
  <c r="AC171"/>
  <c r="AC171" i="8" s="1"/>
  <c r="AC170" i="9"/>
  <c r="AC170" i="8" s="1"/>
  <c r="AA170" i="9"/>
  <c r="AA169"/>
  <c r="AC168"/>
  <c r="AC168" i="8" s="1"/>
  <c r="AA168" i="9"/>
  <c r="AC167"/>
  <c r="AC167" i="8" s="1"/>
  <c r="AA167" i="9"/>
  <c r="AC166"/>
  <c r="AC166" i="8" s="1"/>
  <c r="AC165" i="9"/>
  <c r="AC165" i="8" s="1"/>
  <c r="AA165" i="9"/>
  <c r="AA164"/>
  <c r="AC163"/>
  <c r="AC163" i="8" s="1"/>
  <c r="AC162" i="9"/>
  <c r="AC162" i="8" s="1"/>
  <c r="AA162" i="9"/>
  <c r="AA161"/>
  <c r="AC160"/>
  <c r="AC160" i="8" s="1"/>
  <c r="AA159" i="9"/>
  <c r="AA158"/>
  <c r="AA157"/>
  <c r="AA156"/>
  <c r="AA153"/>
  <c r="AC153"/>
  <c r="AC153" i="8" s="1"/>
  <c r="AC152" i="9"/>
  <c r="AC152" i="8" s="1"/>
  <c r="AA152" i="9"/>
  <c r="AC151"/>
  <c r="AC151" i="8" s="1"/>
  <c r="AA151" i="9"/>
  <c r="AC150"/>
  <c r="AC150" i="8" s="1"/>
  <c r="AA149" i="9"/>
  <c r="AA148"/>
  <c r="AC147"/>
  <c r="AC147" i="8" s="1"/>
  <c r="AC146" i="9"/>
  <c r="AC146" i="8" s="1"/>
  <c r="AA146" i="9"/>
  <c r="AA145"/>
  <c r="AB214" i="10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Y196"/>
  <c r="AB195"/>
  <c r="AB194"/>
  <c r="AB193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3"/>
  <c r="AB172"/>
  <c r="AB171"/>
  <c r="AB170"/>
  <c r="AB169"/>
  <c r="AB168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Z187" i="6" l="1"/>
  <c r="AZ189"/>
  <c r="AZ190"/>
  <c r="U188" i="7"/>
  <c r="AM187" i="2"/>
  <c r="AY150" i="13"/>
  <c r="AY151"/>
  <c r="U215" i="7"/>
  <c r="AM214" i="2"/>
  <c r="V213" i="7"/>
  <c r="AM212" i="2"/>
  <c r="U212" i="7"/>
  <c r="AM211" i="2"/>
  <c r="AY199" i="13"/>
  <c r="W207" i="12"/>
  <c r="U204" i="7"/>
  <c r="AM204" i="2"/>
  <c r="U203" i="7"/>
  <c r="AM203" i="2"/>
  <c r="U202" i="7"/>
  <c r="AM202" i="2"/>
  <c r="V201" i="7"/>
  <c r="AM201" i="2"/>
  <c r="AY178" i="13"/>
  <c r="AY173"/>
  <c r="AY174"/>
  <c r="AY181"/>
  <c r="AY182"/>
  <c r="AY189"/>
  <c r="AY191"/>
  <c r="AY194"/>
  <c r="U199" i="7"/>
  <c r="AM198" i="2"/>
  <c r="U198" i="7"/>
  <c r="AM197" i="2"/>
  <c r="U197" i="7"/>
  <c r="AM196" i="2"/>
  <c r="U196" i="7"/>
  <c r="AB196" i="10"/>
  <c r="AA195" i="8"/>
  <c r="U193" i="7"/>
  <c r="AM192" i="2"/>
  <c r="U192" i="7"/>
  <c r="AM191" i="2"/>
  <c r="V190" i="7"/>
  <c r="AM189" i="2"/>
  <c r="U189" i="7"/>
  <c r="AM188" i="2"/>
  <c r="U186" i="7"/>
  <c r="AM185" i="2"/>
  <c r="U185" i="7"/>
  <c r="AM184" i="2"/>
  <c r="U184" i="7"/>
  <c r="AM183" i="2"/>
  <c r="U183" i="7"/>
  <c r="AM182" i="2"/>
  <c r="U182" i="7"/>
  <c r="AM181" i="2"/>
  <c r="AY172" i="13"/>
  <c r="U181" i="7"/>
  <c r="AM180" i="2"/>
  <c r="U179" i="7"/>
  <c r="AM178" i="2"/>
  <c r="V177" i="7"/>
  <c r="AM176" i="2"/>
  <c r="U176" i="7"/>
  <c r="AM175" i="2"/>
  <c r="U175" i="7"/>
  <c r="AM174" i="2"/>
  <c r="AY165" i="13"/>
  <c r="U173" i="7"/>
  <c r="AM172" i="2"/>
  <c r="U172" i="7"/>
  <c r="AM171" i="2"/>
  <c r="U169" i="7"/>
  <c r="AM168" i="2"/>
  <c r="U170" i="7"/>
  <c r="AM169" i="2"/>
  <c r="AY159" i="13"/>
  <c r="V166" i="7"/>
  <c r="AM165" i="2"/>
  <c r="U167" i="7"/>
  <c r="AM166" i="2"/>
  <c r="U165" i="7"/>
  <c r="AM164" i="2"/>
  <c r="U164" i="7"/>
  <c r="AM163" i="2"/>
  <c r="U163" i="7"/>
  <c r="AM162" i="2"/>
  <c r="V160" i="7"/>
  <c r="AM159" i="2"/>
  <c r="V159" i="7"/>
  <c r="AM158" i="2"/>
  <c r="AY145" i="13"/>
  <c r="AY146"/>
  <c r="AY149"/>
  <c r="AY154"/>
  <c r="AY155"/>
  <c r="AY162"/>
  <c r="AY163"/>
  <c r="U155" i="7"/>
  <c r="AM155" i="2"/>
  <c r="U154" i="7"/>
  <c r="AM154" i="2"/>
  <c r="V153" i="7"/>
  <c r="AM153" i="2"/>
  <c r="U152" i="7"/>
  <c r="AM152" i="2"/>
  <c r="AY149" i="15"/>
  <c r="AY144" i="13"/>
  <c r="V150" i="7"/>
  <c r="AM150" i="2"/>
  <c r="U149" i="7"/>
  <c r="AM149" i="2"/>
  <c r="V148" i="7"/>
  <c r="AM148" i="2"/>
  <c r="U147" i="7"/>
  <c r="AM147" i="2"/>
  <c r="U146" i="7"/>
  <c r="AM146" i="2"/>
  <c r="V145" i="7"/>
  <c r="AM145" i="2"/>
  <c r="U177" i="7"/>
  <c r="AZ188" i="6"/>
  <c r="AZ186"/>
  <c r="AY153" i="15"/>
  <c r="AY163"/>
  <c r="AY152"/>
  <c r="AY214" i="13"/>
  <c r="AY212"/>
  <c r="AY210"/>
  <c r="AY147"/>
  <c r="AY152"/>
  <c r="AY156"/>
  <c r="AY160"/>
  <c r="AY169"/>
  <c r="AY176"/>
  <c r="AY180"/>
  <c r="AY184"/>
  <c r="AY188"/>
  <c r="AY193"/>
  <c r="AY196"/>
  <c r="AY201"/>
  <c r="AY225"/>
  <c r="AY215"/>
  <c r="AY148"/>
  <c r="AY153"/>
  <c r="AY157"/>
  <c r="AY161"/>
  <c r="AY168"/>
  <c r="AY175"/>
  <c r="AY179"/>
  <c r="AY183"/>
  <c r="AY187"/>
  <c r="AY192"/>
  <c r="AY195"/>
  <c r="AY205"/>
  <c r="AY233"/>
  <c r="AY200"/>
  <c r="S181" i="12"/>
  <c r="W181" s="1"/>
  <c r="S200"/>
  <c r="W200" s="1"/>
  <c r="AC195" i="2"/>
  <c r="AM195" s="1"/>
  <c r="U148" i="7"/>
  <c r="U190"/>
  <c r="U166"/>
  <c r="U159"/>
  <c r="W195" i="8"/>
  <c r="AA171" i="9"/>
  <c r="AA185"/>
  <c r="AA188"/>
  <c r="AA206"/>
  <c r="AA209"/>
  <c r="AC210"/>
  <c r="AA163"/>
  <c r="AC177"/>
  <c r="AC177" i="8" s="1"/>
  <c r="AA179" i="9"/>
  <c r="AA180"/>
  <c r="AC190"/>
  <c r="AC190" i="8" s="1"/>
  <c r="AA193" i="9"/>
  <c r="AE193" s="1"/>
  <c r="AA195"/>
  <c r="AA202"/>
  <c r="AA213"/>
  <c r="AY162" i="15"/>
  <c r="AY158"/>
  <c r="AY190" i="13"/>
  <c r="S171" i="12"/>
  <c r="W171" s="1"/>
  <c r="S206"/>
  <c r="W206" s="1"/>
  <c r="AY150" i="15"/>
  <c r="AY151"/>
  <c r="AY154"/>
  <c r="AY155"/>
  <c r="AY156"/>
  <c r="AY159"/>
  <c r="AY160"/>
  <c r="BN154" i="6"/>
  <c r="BN155"/>
  <c r="BN159"/>
  <c r="BN163"/>
  <c r="BN170"/>
  <c r="BN178"/>
  <c r="AZ185"/>
  <c r="S196" i="3"/>
  <c r="AR196" i="5" s="1"/>
  <c r="S205" i="7"/>
  <c r="U213"/>
  <c r="U145"/>
  <c r="U150"/>
  <c r="U153"/>
  <c r="U160"/>
  <c r="U201"/>
  <c r="AA147" i="9"/>
  <c r="AC148"/>
  <c r="AC148" i="8" s="1"/>
  <c r="AA150" i="9"/>
  <c r="AC154"/>
  <c r="AC154" i="8" s="1"/>
  <c r="AC155" i="9"/>
  <c r="AC155" i="8" s="1"/>
  <c r="AC157" i="9"/>
  <c r="AC157" i="8" s="1"/>
  <c r="AC158" i="9"/>
  <c r="AC158" i="8" s="1"/>
  <c r="AC159" i="9"/>
  <c r="AC159" i="8" s="1"/>
  <c r="AA160" i="9"/>
  <c r="AA166"/>
  <c r="AA176"/>
  <c r="AA181"/>
  <c r="AA182"/>
  <c r="AC188"/>
  <c r="AC188" i="8" s="1"/>
  <c r="AA189" i="9"/>
  <c r="AC193"/>
  <c r="AC193" i="8" s="1"/>
  <c r="AC198" i="9"/>
  <c r="AC199"/>
  <c r="AC202"/>
  <c r="AA203"/>
  <c r="AC209"/>
  <c r="AA210"/>
  <c r="AC213"/>
  <c r="V151" i="7"/>
  <c r="U151"/>
  <c r="V156"/>
  <c r="U156"/>
  <c r="V161"/>
  <c r="U161"/>
  <c r="V171"/>
  <c r="U171"/>
  <c r="V180"/>
  <c r="U180"/>
  <c r="V194"/>
  <c r="U194"/>
  <c r="V200"/>
  <c r="U200"/>
  <c r="V205"/>
  <c r="V207"/>
  <c r="U207"/>
  <c r="V210"/>
  <c r="U210"/>
  <c r="V157"/>
  <c r="U157"/>
  <c r="V162"/>
  <c r="U162"/>
  <c r="V168"/>
  <c r="U168"/>
  <c r="V174"/>
  <c r="U174"/>
  <c r="V178"/>
  <c r="U178"/>
  <c r="V187"/>
  <c r="U187"/>
  <c r="V191"/>
  <c r="U191"/>
  <c r="V195"/>
  <c r="U195"/>
  <c r="V206"/>
  <c r="U206"/>
  <c r="V208"/>
  <c r="U208"/>
  <c r="V211"/>
  <c r="U211"/>
  <c r="V214"/>
  <c r="U214"/>
  <c r="V147"/>
  <c r="V149"/>
  <c r="V152"/>
  <c r="V163"/>
  <c r="V165"/>
  <c r="V169"/>
  <c r="V170"/>
  <c r="V175"/>
  <c r="V182"/>
  <c r="V183"/>
  <c r="V184"/>
  <c r="V185"/>
  <c r="V186"/>
  <c r="V188"/>
  <c r="V192"/>
  <c r="V193"/>
  <c r="V197"/>
  <c r="V198"/>
  <c r="V199"/>
  <c r="V202"/>
  <c r="V203"/>
  <c r="V204"/>
  <c r="V212"/>
  <c r="V146"/>
  <c r="V154"/>
  <c r="V155"/>
  <c r="V164"/>
  <c r="V167"/>
  <c r="V172"/>
  <c r="V173"/>
  <c r="V176"/>
  <c r="V179"/>
  <c r="V189"/>
  <c r="V196"/>
  <c r="V215"/>
  <c r="AC145" i="9"/>
  <c r="AC145" i="8" s="1"/>
  <c r="AC149" i="9"/>
  <c r="AC149" i="8" s="1"/>
  <c r="AA154" i="9"/>
  <c r="AA155"/>
  <c r="AC156"/>
  <c r="AC156" i="8" s="1"/>
  <c r="AC161" i="9"/>
  <c r="AC161" i="8" s="1"/>
  <c r="AC164" i="9"/>
  <c r="AC164" i="8" s="1"/>
  <c r="AC169" i="9"/>
  <c r="AC169" i="8" s="1"/>
  <c r="AC175" i="9"/>
  <c r="AC175" i="8" s="1"/>
  <c r="AA177" i="9"/>
  <c r="AC179"/>
  <c r="AC179" i="8" s="1"/>
  <c r="AC181" i="9"/>
  <c r="AC181" i="8" s="1"/>
  <c r="AC184" i="9"/>
  <c r="AC184" i="8" s="1"/>
  <c r="AC186" i="9"/>
  <c r="AC186" i="8" s="1"/>
  <c r="AA190" i="9"/>
  <c r="AC192"/>
  <c r="AC192" i="8" s="1"/>
  <c r="AC194" i="9"/>
  <c r="AC194" i="8" s="1"/>
  <c r="AA198" i="9"/>
  <c r="AA199"/>
  <c r="AC200"/>
  <c r="AC204"/>
  <c r="AC208"/>
  <c r="AC211"/>
  <c r="AC214"/>
  <c r="U205" i="7" l="1"/>
  <c r="AM205" i="2"/>
  <c r="AI110" i="15"/>
  <c r="AI106"/>
  <c r="AI225" l="1"/>
  <c r="AS225" s="1"/>
  <c r="S19" i="3"/>
  <c r="AI244" i="15"/>
  <c r="AS244" s="1"/>
  <c r="W244"/>
  <c r="K244"/>
  <c r="E244"/>
  <c r="AS243"/>
  <c r="W243"/>
  <c r="K243"/>
  <c r="E243"/>
  <c r="AI242"/>
  <c r="AS242" s="1"/>
  <c r="W242"/>
  <c r="K242"/>
  <c r="E242"/>
  <c r="AI241"/>
  <c r="AS241" s="1"/>
  <c r="W241"/>
  <c r="K241"/>
  <c r="E241"/>
  <c r="AI240"/>
  <c r="AS240" s="1"/>
  <c r="W240"/>
  <c r="K240"/>
  <c r="E240"/>
  <c r="AI239"/>
  <c r="W239"/>
  <c r="K239"/>
  <c r="E239"/>
  <c r="AI238"/>
  <c r="AS238" s="1"/>
  <c r="W238"/>
  <c r="K238"/>
  <c r="E238"/>
  <c r="AI237"/>
  <c r="AS237" s="1"/>
  <c r="W237"/>
  <c r="K237"/>
  <c r="E237"/>
  <c r="AI236"/>
  <c r="AS236" s="1"/>
  <c r="W236"/>
  <c r="K236"/>
  <c r="E236"/>
  <c r="AI235"/>
  <c r="AS235" s="1"/>
  <c r="W235"/>
  <c r="K235"/>
  <c r="E235"/>
  <c r="AS234"/>
  <c r="W234"/>
  <c r="K234"/>
  <c r="E234"/>
  <c r="AI233"/>
  <c r="AS233" s="1"/>
  <c r="W233"/>
  <c r="K233"/>
  <c r="E233"/>
  <c r="AI232"/>
  <c r="AS232" s="1"/>
  <c r="W232"/>
  <c r="K232"/>
  <c r="E232"/>
  <c r="AI231"/>
  <c r="AS231" s="1"/>
  <c r="W231"/>
  <c r="K231"/>
  <c r="E231"/>
  <c r="AI230"/>
  <c r="AS230" s="1"/>
  <c r="W230"/>
  <c r="K230"/>
  <c r="E230"/>
  <c r="AS229"/>
  <c r="W229"/>
  <c r="K229"/>
  <c r="E229"/>
  <c r="AI228"/>
  <c r="AS228" s="1"/>
  <c r="K228"/>
  <c r="E228"/>
  <c r="AI227"/>
  <c r="AS227" s="1"/>
  <c r="W227"/>
  <c r="K227"/>
  <c r="E227"/>
  <c r="AI226"/>
  <c r="AS226" s="1"/>
  <c r="W226"/>
  <c r="K226"/>
  <c r="E226"/>
  <c r="BM225"/>
  <c r="W225"/>
  <c r="K225"/>
  <c r="E225"/>
  <c r="BM224"/>
  <c r="AI224"/>
  <c r="AS224" s="1"/>
  <c r="W224"/>
  <c r="K224"/>
  <c r="E224"/>
  <c r="AI223"/>
  <c r="AS223" s="1"/>
  <c r="W223"/>
  <c r="K223"/>
  <c r="E223"/>
  <c r="BM222"/>
  <c r="AI222"/>
  <c r="AS222" s="1"/>
  <c r="W222"/>
  <c r="K222"/>
  <c r="E222"/>
  <c r="BM221"/>
  <c r="AI221"/>
  <c r="AS221" s="1"/>
  <c r="W221"/>
  <c r="K221"/>
  <c r="E221"/>
  <c r="BM220"/>
  <c r="AI220"/>
  <c r="AS220" s="1"/>
  <c r="W220"/>
  <c r="K220"/>
  <c r="E220"/>
  <c r="BM219"/>
  <c r="AI219"/>
  <c r="AS219" s="1"/>
  <c r="W219"/>
  <c r="K219"/>
  <c r="E219"/>
  <c r="BM218"/>
  <c r="AI218"/>
  <c r="AS218" s="1"/>
  <c r="W218"/>
  <c r="K218"/>
  <c r="E218"/>
  <c r="BM217"/>
  <c r="AI217"/>
  <c r="AS217" s="1"/>
  <c r="W217"/>
  <c r="K217"/>
  <c r="E217"/>
  <c r="BM216"/>
  <c r="AI216"/>
  <c r="AS216" s="1"/>
  <c r="W216"/>
  <c r="K216"/>
  <c r="E216"/>
  <c r="BM215"/>
  <c r="AI215"/>
  <c r="AS215" s="1"/>
  <c r="W215"/>
  <c r="K215"/>
  <c r="E215"/>
  <c r="BM214"/>
  <c r="AI214"/>
  <c r="AS214" s="1"/>
  <c r="K214"/>
  <c r="E214"/>
  <c r="BM213"/>
  <c r="AI213"/>
  <c r="AS213" s="1"/>
  <c r="W213"/>
  <c r="K213"/>
  <c r="E213"/>
  <c r="BM212"/>
  <c r="AI212"/>
  <c r="AS212" s="1"/>
  <c r="W212"/>
  <c r="K212"/>
  <c r="E212"/>
  <c r="BM211"/>
  <c r="AI211"/>
  <c r="AS211" s="1"/>
  <c r="W211"/>
  <c r="K211"/>
  <c r="E211"/>
  <c r="BM210"/>
  <c r="AI210"/>
  <c r="AS210" s="1"/>
  <c r="W210"/>
  <c r="K210"/>
  <c r="E210"/>
  <c r="BM209"/>
  <c r="AI209"/>
  <c r="AS209" s="1"/>
  <c r="W209"/>
  <c r="AY209"/>
  <c r="BM208"/>
  <c r="AI208"/>
  <c r="AS208" s="1"/>
  <c r="W208"/>
  <c r="K208"/>
  <c r="AI207"/>
  <c r="AS207" s="1"/>
  <c r="W207"/>
  <c r="K207"/>
  <c r="E207"/>
  <c r="BM206"/>
  <c r="AI206"/>
  <c r="AS206" s="1"/>
  <c r="W206"/>
  <c r="K206"/>
  <c r="E206"/>
  <c r="BM205"/>
  <c r="AI205"/>
  <c r="AS205" s="1"/>
  <c r="W205"/>
  <c r="E205"/>
  <c r="BM204"/>
  <c r="AI204"/>
  <c r="AS204" s="1"/>
  <c r="W204"/>
  <c r="K204"/>
  <c r="E204"/>
  <c r="AY204" s="1"/>
  <c r="BM203"/>
  <c r="AS203"/>
  <c r="W203"/>
  <c r="K203"/>
  <c r="E203"/>
  <c r="BM202"/>
  <c r="AI202"/>
  <c r="AS202" s="1"/>
  <c r="W202"/>
  <c r="K202"/>
  <c r="E202"/>
  <c r="BM201"/>
  <c r="AI201"/>
  <c r="AS201" s="1"/>
  <c r="W201"/>
  <c r="K201"/>
  <c r="E201"/>
  <c r="BM200"/>
  <c r="AI200"/>
  <c r="AS200" s="1"/>
  <c r="W200"/>
  <c r="K200"/>
  <c r="BM199"/>
  <c r="AI199"/>
  <c r="AS199" s="1"/>
  <c r="W199"/>
  <c r="K199"/>
  <c r="E199"/>
  <c r="BM198"/>
  <c r="AI198"/>
  <c r="AS198" s="1"/>
  <c r="W198"/>
  <c r="K198"/>
  <c r="E198"/>
  <c r="BM197"/>
  <c r="AI197"/>
  <c r="AS197" s="1"/>
  <c r="W197"/>
  <c r="K197"/>
  <c r="E197"/>
  <c r="BM196"/>
  <c r="AI196"/>
  <c r="AS196" s="1"/>
  <c r="W196"/>
  <c r="K196"/>
  <c r="E196"/>
  <c r="BM195"/>
  <c r="AI195"/>
  <c r="AS195" s="1"/>
  <c r="W195"/>
  <c r="K195"/>
  <c r="E195"/>
  <c r="BM194"/>
  <c r="AI194"/>
  <c r="AS194" s="1"/>
  <c r="W194"/>
  <c r="K194"/>
  <c r="E194"/>
  <c r="BM193"/>
  <c r="AI193"/>
  <c r="AS193" s="1"/>
  <c r="W193"/>
  <c r="K193"/>
  <c r="E193"/>
  <c r="BM192"/>
  <c r="AS192"/>
  <c r="W192"/>
  <c r="K192"/>
  <c r="E192"/>
  <c r="BM191"/>
  <c r="AI191"/>
  <c r="AS191" s="1"/>
  <c r="W191"/>
  <c r="K191"/>
  <c r="E191"/>
  <c r="BM190"/>
  <c r="AI190"/>
  <c r="AS190" s="1"/>
  <c r="W190"/>
  <c r="K190"/>
  <c r="E190"/>
  <c r="BM189"/>
  <c r="AI189"/>
  <c r="AS189" s="1"/>
  <c r="W189"/>
  <c r="K189"/>
  <c r="E189"/>
  <c r="AI188"/>
  <c r="AS188" s="1"/>
  <c r="W188"/>
  <c r="K188"/>
  <c r="E188"/>
  <c r="BM187"/>
  <c r="AI187"/>
  <c r="AS187" s="1"/>
  <c r="W187"/>
  <c r="K187"/>
  <c r="E187"/>
  <c r="BM186"/>
  <c r="AI186"/>
  <c r="AS186" s="1"/>
  <c r="W186"/>
  <c r="K186"/>
  <c r="E186"/>
  <c r="BM185"/>
  <c r="AI185"/>
  <c r="AS185" s="1"/>
  <c r="W185"/>
  <c r="K185"/>
  <c r="E185"/>
  <c r="BM184"/>
  <c r="AI184"/>
  <c r="AS184" s="1"/>
  <c r="W184"/>
  <c r="K184"/>
  <c r="E184"/>
  <c r="BM183"/>
  <c r="AI183"/>
  <c r="AS183" s="1"/>
  <c r="W183"/>
  <c r="K183"/>
  <c r="E183"/>
  <c r="BM182"/>
  <c r="AI182"/>
  <c r="AS182" s="1"/>
  <c r="W182"/>
  <c r="K182"/>
  <c r="E182"/>
  <c r="BM181"/>
  <c r="AI181"/>
  <c r="AS181" s="1"/>
  <c r="W181"/>
  <c r="K181"/>
  <c r="E181"/>
  <c r="BM180"/>
  <c r="AI180"/>
  <c r="AS180" s="1"/>
  <c r="W180"/>
  <c r="K180"/>
  <c r="E180"/>
  <c r="BM179"/>
  <c r="AI179"/>
  <c r="AS179" s="1"/>
  <c r="W179"/>
  <c r="K179"/>
  <c r="E179"/>
  <c r="BM178"/>
  <c r="AI178"/>
  <c r="AS178" s="1"/>
  <c r="W178"/>
  <c r="K178"/>
  <c r="E178"/>
  <c r="BM177"/>
  <c r="AI177"/>
  <c r="AS177" s="1"/>
  <c r="W177"/>
  <c r="K177"/>
  <c r="E177"/>
  <c r="BM176"/>
  <c r="AI176"/>
  <c r="AS176" s="1"/>
  <c r="W176"/>
  <c r="K176"/>
  <c r="E176"/>
  <c r="BM175"/>
  <c r="AI175"/>
  <c r="AS175" s="1"/>
  <c r="W175"/>
  <c r="K175"/>
  <c r="E175"/>
  <c r="BM174"/>
  <c r="AI174"/>
  <c r="AS174" s="1"/>
  <c r="W174"/>
  <c r="K174"/>
  <c r="E174"/>
  <c r="BM173"/>
  <c r="AI173"/>
  <c r="AS173" s="1"/>
  <c r="W173"/>
  <c r="K173"/>
  <c r="E173"/>
  <c r="BM172"/>
  <c r="AI172"/>
  <c r="AS172" s="1"/>
  <c r="W172"/>
  <c r="K172"/>
  <c r="E172"/>
  <c r="BM171"/>
  <c r="AI171"/>
  <c r="AS171" s="1"/>
  <c r="W171"/>
  <c r="K171"/>
  <c r="E171"/>
  <c r="BM170"/>
  <c r="AI170"/>
  <c r="AS170" s="1"/>
  <c r="W170"/>
  <c r="K170"/>
  <c r="E170"/>
  <c r="BM169"/>
  <c r="AI169"/>
  <c r="AS169" s="1"/>
  <c r="W169"/>
  <c r="K169"/>
  <c r="E169"/>
  <c r="BM168"/>
  <c r="AI168"/>
  <c r="AS168" s="1"/>
  <c r="W168"/>
  <c r="K168"/>
  <c r="E168"/>
  <c r="BM167"/>
  <c r="AI167"/>
  <c r="AS167" s="1"/>
  <c r="W167"/>
  <c r="K167"/>
  <c r="E167"/>
  <c r="BM166"/>
  <c r="AI166"/>
  <c r="AS166" s="1"/>
  <c r="W166"/>
  <c r="K166"/>
  <c r="E166"/>
  <c r="BM165"/>
  <c r="AI165"/>
  <c r="AS165" s="1"/>
  <c r="W165"/>
  <c r="K165"/>
  <c r="E165"/>
  <c r="BM164"/>
  <c r="AI164"/>
  <c r="AS164" s="1"/>
  <c r="W164"/>
  <c r="K164"/>
  <c r="E164"/>
  <c r="BM148"/>
  <c r="AI148"/>
  <c r="AS148" s="1"/>
  <c r="W148"/>
  <c r="K148"/>
  <c r="E148"/>
  <c r="BM147"/>
  <c r="AI147"/>
  <c r="AS147" s="1"/>
  <c r="W147"/>
  <c r="K147"/>
  <c r="E147"/>
  <c r="BM146"/>
  <c r="AI146"/>
  <c r="AS146" s="1"/>
  <c r="W146"/>
  <c r="K146"/>
  <c r="E146"/>
  <c r="BM145"/>
  <c r="AI145"/>
  <c r="AS145" s="1"/>
  <c r="W145"/>
  <c r="K145"/>
  <c r="E145"/>
  <c r="BM144"/>
  <c r="AI144"/>
  <c r="AS144" s="1"/>
  <c r="W144"/>
  <c r="K144"/>
  <c r="E144"/>
  <c r="BM143"/>
  <c r="AI143"/>
  <c r="AS143" s="1"/>
  <c r="W143"/>
  <c r="K143"/>
  <c r="E143"/>
  <c r="BM142"/>
  <c r="AI142"/>
  <c r="AS142" s="1"/>
  <c r="W142"/>
  <c r="K142"/>
  <c r="E142"/>
  <c r="AI141"/>
  <c r="AS141" s="1"/>
  <c r="W141"/>
  <c r="K141"/>
  <c r="E141"/>
  <c r="BM140"/>
  <c r="AI140"/>
  <c r="AS140" s="1"/>
  <c r="W140"/>
  <c r="K140"/>
  <c r="E140"/>
  <c r="BM139"/>
  <c r="AI139"/>
  <c r="AS139" s="1"/>
  <c r="W139"/>
  <c r="K139"/>
  <c r="E139"/>
  <c r="BM138"/>
  <c r="AI138"/>
  <c r="AS138" s="1"/>
  <c r="W138"/>
  <c r="K138"/>
  <c r="E138"/>
  <c r="BM137"/>
  <c r="AI137"/>
  <c r="AS137" s="1"/>
  <c r="W137"/>
  <c r="K137"/>
  <c r="E137"/>
  <c r="BM136"/>
  <c r="AI136"/>
  <c r="AS136" s="1"/>
  <c r="W136"/>
  <c r="K136"/>
  <c r="E136"/>
  <c r="BM135"/>
  <c r="AI135"/>
  <c r="AS135" s="1"/>
  <c r="W135"/>
  <c r="K135"/>
  <c r="E135"/>
  <c r="BM134"/>
  <c r="AI134"/>
  <c r="AS134" s="1"/>
  <c r="W134"/>
  <c r="K134"/>
  <c r="E134"/>
  <c r="BM133"/>
  <c r="AI133"/>
  <c r="AS133" s="1"/>
  <c r="W133"/>
  <c r="K133"/>
  <c r="E133"/>
  <c r="BM132"/>
  <c r="AI132"/>
  <c r="AS132" s="1"/>
  <c r="W132"/>
  <c r="K132"/>
  <c r="E132"/>
  <c r="BM131"/>
  <c r="AI131"/>
  <c r="AS131" s="1"/>
  <c r="W131"/>
  <c r="K131"/>
  <c r="E131"/>
  <c r="BM130"/>
  <c r="AI130"/>
  <c r="AS130" s="1"/>
  <c r="W130"/>
  <c r="K130"/>
  <c r="BM129"/>
  <c r="AS129"/>
  <c r="W129"/>
  <c r="K129"/>
  <c r="E129"/>
  <c r="AY129" s="1"/>
  <c r="BM128"/>
  <c r="AI128"/>
  <c r="AS128" s="1"/>
  <c r="W128"/>
  <c r="K128"/>
  <c r="AY128" s="1"/>
  <c r="E128"/>
  <c r="BM127"/>
  <c r="AI127"/>
  <c r="AS127" s="1"/>
  <c r="W127"/>
  <c r="K127"/>
  <c r="E127"/>
  <c r="BM126"/>
  <c r="AI126"/>
  <c r="AS126" s="1"/>
  <c r="W126"/>
  <c r="K126"/>
  <c r="E126"/>
  <c r="BM125"/>
  <c r="AI125"/>
  <c r="AS125" s="1"/>
  <c r="W125"/>
  <c r="K125"/>
  <c r="E125"/>
  <c r="BM124"/>
  <c r="AI124"/>
  <c r="AS124" s="1"/>
  <c r="W124"/>
  <c r="K124"/>
  <c r="E124"/>
  <c r="BM123"/>
  <c r="AI123"/>
  <c r="AS123" s="1"/>
  <c r="W123"/>
  <c r="E123"/>
  <c r="BM122"/>
  <c r="AI122"/>
  <c r="AS122" s="1"/>
  <c r="W122"/>
  <c r="K122"/>
  <c r="E122"/>
  <c r="BM121"/>
  <c r="AI121"/>
  <c r="AS121" s="1"/>
  <c r="W121"/>
  <c r="K121"/>
  <c r="E121"/>
  <c r="BM120"/>
  <c r="AI120"/>
  <c r="AS120" s="1"/>
  <c r="W120"/>
  <c r="K120"/>
  <c r="E120"/>
  <c r="BM119"/>
  <c r="AI119"/>
  <c r="AS119" s="1"/>
  <c r="W119"/>
  <c r="K119"/>
  <c r="E119"/>
  <c r="BM118"/>
  <c r="AS118"/>
  <c r="W118"/>
  <c r="K118"/>
  <c r="E118"/>
  <c r="BM117"/>
  <c r="AS117"/>
  <c r="W117"/>
  <c r="K117"/>
  <c r="E117"/>
  <c r="BM116"/>
  <c r="AS116"/>
  <c r="W116"/>
  <c r="K116"/>
  <c r="E116"/>
  <c r="BM115"/>
  <c r="AS115"/>
  <c r="W115"/>
  <c r="K115"/>
  <c r="E115"/>
  <c r="BM114"/>
  <c r="AI114"/>
  <c r="AS114" s="1"/>
  <c r="W114"/>
  <c r="K114"/>
  <c r="E114"/>
  <c r="BM113"/>
  <c r="AI113"/>
  <c r="AS113" s="1"/>
  <c r="W113"/>
  <c r="K113"/>
  <c r="E113"/>
  <c r="BM112"/>
  <c r="AI112"/>
  <c r="AS112" s="1"/>
  <c r="W112"/>
  <c r="K112"/>
  <c r="E112"/>
  <c r="BM111"/>
  <c r="AI111"/>
  <c r="AS111" s="1"/>
  <c r="W111"/>
  <c r="K111"/>
  <c r="E111"/>
  <c r="BM110"/>
  <c r="AS110"/>
  <c r="W110"/>
  <c r="K110"/>
  <c r="E110"/>
  <c r="BM109"/>
  <c r="AI109"/>
  <c r="AS109" s="1"/>
  <c r="W109"/>
  <c r="K109"/>
  <c r="E109"/>
  <c r="BM108"/>
  <c r="AI108"/>
  <c r="W108"/>
  <c r="K108"/>
  <c r="E108"/>
  <c r="BM107"/>
  <c r="AI107"/>
  <c r="AS107" s="1"/>
  <c r="W107"/>
  <c r="K107"/>
  <c r="E107"/>
  <c r="BM106"/>
  <c r="AS106"/>
  <c r="W106"/>
  <c r="K106"/>
  <c r="E106"/>
  <c r="BM105"/>
  <c r="AI105"/>
  <c r="AS105" s="1"/>
  <c r="W105"/>
  <c r="K105"/>
  <c r="E105"/>
  <c r="AY105" s="1"/>
  <c r="BM104"/>
  <c r="AS104"/>
  <c r="W104"/>
  <c r="K104"/>
  <c r="E104"/>
  <c r="BM103"/>
  <c r="AI103"/>
  <c r="AS103" s="1"/>
  <c r="W103"/>
  <c r="K103"/>
  <c r="E103"/>
  <c r="BM102"/>
  <c r="AI102"/>
  <c r="AS102" s="1"/>
  <c r="W102"/>
  <c r="K102"/>
  <c r="E102"/>
  <c r="BM101"/>
  <c r="AI101"/>
  <c r="AS101" s="1"/>
  <c r="W101"/>
  <c r="K101"/>
  <c r="E101"/>
  <c r="BM100"/>
  <c r="AI100"/>
  <c r="AS100" s="1"/>
  <c r="W100"/>
  <c r="K100"/>
  <c r="E100"/>
  <c r="BM99"/>
  <c r="AI99"/>
  <c r="AS99" s="1"/>
  <c r="W99"/>
  <c r="K99"/>
  <c r="E99"/>
  <c r="BM98"/>
  <c r="AI98"/>
  <c r="AS98" s="1"/>
  <c r="W98"/>
  <c r="K98"/>
  <c r="AY98" s="1"/>
  <c r="E98"/>
  <c r="BM97"/>
  <c r="AI97"/>
  <c r="AS97" s="1"/>
  <c r="W97"/>
  <c r="K97"/>
  <c r="E97"/>
  <c r="BM96"/>
  <c r="AI96"/>
  <c r="AS96" s="1"/>
  <c r="W96"/>
  <c r="K96"/>
  <c r="E96"/>
  <c r="BM95"/>
  <c r="AI95"/>
  <c r="AS95" s="1"/>
  <c r="W95"/>
  <c r="K95"/>
  <c r="E95"/>
  <c r="BM94"/>
  <c r="AI94"/>
  <c r="AS94" s="1"/>
  <c r="W94"/>
  <c r="K94"/>
  <c r="E94"/>
  <c r="BM93"/>
  <c r="AI93"/>
  <c r="AS93" s="1"/>
  <c r="W93"/>
  <c r="K93"/>
  <c r="E93"/>
  <c r="BM92"/>
  <c r="AI92"/>
  <c r="AS92" s="1"/>
  <c r="W92"/>
  <c r="K92"/>
  <c r="E92"/>
  <c r="BM91"/>
  <c r="AI91"/>
  <c r="AS91" s="1"/>
  <c r="W91"/>
  <c r="K91"/>
  <c r="E91"/>
  <c r="BM90"/>
  <c r="AI90"/>
  <c r="AS90" s="1"/>
  <c r="W90"/>
  <c r="K90"/>
  <c r="E90"/>
  <c r="BM89"/>
  <c r="AI89"/>
  <c r="AS89" s="1"/>
  <c r="W89"/>
  <c r="K89"/>
  <c r="E89"/>
  <c r="BM88"/>
  <c r="AI88"/>
  <c r="AS88" s="1"/>
  <c r="W88"/>
  <c r="K88"/>
  <c r="E88"/>
  <c r="BM87"/>
  <c r="AI87"/>
  <c r="AS87" s="1"/>
  <c r="W87"/>
  <c r="K87"/>
  <c r="E87"/>
  <c r="BM86"/>
  <c r="AI86"/>
  <c r="AS86" s="1"/>
  <c r="W86"/>
  <c r="K86"/>
  <c r="E86"/>
  <c r="BM85"/>
  <c r="AS85"/>
  <c r="W85"/>
  <c r="K85"/>
  <c r="E85"/>
  <c r="BM84"/>
  <c r="AI84"/>
  <c r="AS84" s="1"/>
  <c r="W84"/>
  <c r="K84"/>
  <c r="E84"/>
  <c r="BM83"/>
  <c r="AI83"/>
  <c r="AS83" s="1"/>
  <c r="W83"/>
  <c r="K83"/>
  <c r="E83"/>
  <c r="BM82"/>
  <c r="AI82"/>
  <c r="AS82" s="1"/>
  <c r="W82"/>
  <c r="K82"/>
  <c r="E82"/>
  <c r="BM81"/>
  <c r="AI81"/>
  <c r="AS81" s="1"/>
  <c r="W81"/>
  <c r="K81"/>
  <c r="E81"/>
  <c r="BM80"/>
  <c r="AS80"/>
  <c r="AI80"/>
  <c r="W80"/>
  <c r="K80"/>
  <c r="E80"/>
  <c r="AY80" s="1"/>
  <c r="BM79"/>
  <c r="AI79"/>
  <c r="AS79" s="1"/>
  <c r="W79"/>
  <c r="K79"/>
  <c r="AY79" s="1"/>
  <c r="E79"/>
  <c r="BM78"/>
  <c r="AI78"/>
  <c r="AS78" s="1"/>
  <c r="W78"/>
  <c r="K78"/>
  <c r="E78"/>
  <c r="BM77"/>
  <c r="AS77"/>
  <c r="W77"/>
  <c r="K77"/>
  <c r="E77"/>
  <c r="BM76"/>
  <c r="AI76"/>
  <c r="AS76" s="1"/>
  <c r="W76"/>
  <c r="K76"/>
  <c r="E76"/>
  <c r="BM75"/>
  <c r="AI75"/>
  <c r="AS75" s="1"/>
  <c r="W75"/>
  <c r="K75"/>
  <c r="E75"/>
  <c r="BM74"/>
  <c r="AI74"/>
  <c r="AS74" s="1"/>
  <c r="W74"/>
  <c r="K74"/>
  <c r="E74"/>
  <c r="BM73"/>
  <c r="AI73"/>
  <c r="AS73" s="1"/>
  <c r="K73"/>
  <c r="E73"/>
  <c r="BM72"/>
  <c r="AI72"/>
  <c r="AS72" s="1"/>
  <c r="W72"/>
  <c r="K72"/>
  <c r="E72"/>
  <c r="BM71"/>
  <c r="AI71"/>
  <c r="AS71" s="1"/>
  <c r="W71"/>
  <c r="K71"/>
  <c r="E71"/>
  <c r="BM70"/>
  <c r="AI70"/>
  <c r="AS70" s="1"/>
  <c r="W70"/>
  <c r="K70"/>
  <c r="E70"/>
  <c r="BM69"/>
  <c r="AI69"/>
  <c r="AS69" s="1"/>
  <c r="W69"/>
  <c r="K69"/>
  <c r="E69"/>
  <c r="BM68"/>
  <c r="AI68"/>
  <c r="AS68" s="1"/>
  <c r="W68"/>
  <c r="K68"/>
  <c r="E68"/>
  <c r="BM67"/>
  <c r="AI67"/>
  <c r="AS67" s="1"/>
  <c r="W67"/>
  <c r="K67"/>
  <c r="E67"/>
  <c r="BM66"/>
  <c r="AI66"/>
  <c r="AS66" s="1"/>
  <c r="W66"/>
  <c r="K66"/>
  <c r="E66"/>
  <c r="AS65"/>
  <c r="W65"/>
  <c r="K65"/>
  <c r="E65"/>
  <c r="BM64"/>
  <c r="AI64"/>
  <c r="AS64" s="1"/>
  <c r="W64"/>
  <c r="K64"/>
  <c r="E64"/>
  <c r="BM59"/>
  <c r="AI59"/>
  <c r="AS59" s="1"/>
  <c r="W59"/>
  <c r="K59"/>
  <c r="E59"/>
  <c r="BM58"/>
  <c r="AI58"/>
  <c r="AS58" s="1"/>
  <c r="W58"/>
  <c r="K58"/>
  <c r="E58"/>
  <c r="BM57"/>
  <c r="AI57"/>
  <c r="AS57" s="1"/>
  <c r="W57"/>
  <c r="K57"/>
  <c r="E57"/>
  <c r="BM56"/>
  <c r="AI56"/>
  <c r="AS56" s="1"/>
  <c r="Y56"/>
  <c r="BA56" s="1"/>
  <c r="W56"/>
  <c r="K56"/>
  <c r="E56"/>
  <c r="BM55"/>
  <c r="AI55"/>
  <c r="AS55" s="1"/>
  <c r="W55"/>
  <c r="K55"/>
  <c r="E55"/>
  <c r="BM54"/>
  <c r="AI54"/>
  <c r="AS54" s="1"/>
  <c r="W54"/>
  <c r="K54"/>
  <c r="E54"/>
  <c r="BM53"/>
  <c r="AI53"/>
  <c r="AS53" s="1"/>
  <c r="W53"/>
  <c r="K53"/>
  <c r="E53"/>
  <c r="BM52"/>
  <c r="AS52"/>
  <c r="W52"/>
  <c r="K52"/>
  <c r="E52"/>
  <c r="BM51"/>
  <c r="AI51"/>
  <c r="AS51" s="1"/>
  <c r="W51"/>
  <c r="K51"/>
  <c r="E51"/>
  <c r="BM50"/>
  <c r="AI50"/>
  <c r="AS50" s="1"/>
  <c r="W50"/>
  <c r="K50"/>
  <c r="E50"/>
  <c r="BM49"/>
  <c r="AI49"/>
  <c r="AS49" s="1"/>
  <c r="W49"/>
  <c r="K49"/>
  <c r="E49"/>
  <c r="BM48"/>
  <c r="AI48"/>
  <c r="AS48" s="1"/>
  <c r="W48"/>
  <c r="K48"/>
  <c r="E48"/>
  <c r="BM47"/>
  <c r="AI47"/>
  <c r="AS47" s="1"/>
  <c r="W47"/>
  <c r="K47"/>
  <c r="E47"/>
  <c r="BM46"/>
  <c r="AI46"/>
  <c r="AS46" s="1"/>
  <c r="W46"/>
  <c r="K46"/>
  <c r="E46"/>
  <c r="BM45"/>
  <c r="AI45"/>
  <c r="AS45" s="1"/>
  <c r="W45"/>
  <c r="K45"/>
  <c r="E45"/>
  <c r="BM44"/>
  <c r="AS44"/>
  <c r="AI44"/>
  <c r="W44"/>
  <c r="K44"/>
  <c r="E44"/>
  <c r="AY44" s="1"/>
  <c r="BM43"/>
  <c r="AI43"/>
  <c r="AS43" s="1"/>
  <c r="W43"/>
  <c r="K43"/>
  <c r="AY43" s="1"/>
  <c r="E43"/>
  <c r="BM42"/>
  <c r="AI42"/>
  <c r="AS42" s="1"/>
  <c r="W42"/>
  <c r="K42"/>
  <c r="E42"/>
  <c r="BM41"/>
  <c r="AI41"/>
  <c r="AS41" s="1"/>
  <c r="W41"/>
  <c r="K41"/>
  <c r="E41"/>
  <c r="BM40"/>
  <c r="AI40"/>
  <c r="AS40" s="1"/>
  <c r="W40"/>
  <c r="K40"/>
  <c r="E40"/>
  <c r="BM39"/>
  <c r="AI39"/>
  <c r="AS39" s="1"/>
  <c r="W39"/>
  <c r="K39"/>
  <c r="E39"/>
  <c r="BM38"/>
  <c r="M38" s="1"/>
  <c r="K38" s="1"/>
  <c r="AI38"/>
  <c r="AS38" s="1"/>
  <c r="W38"/>
  <c r="E38"/>
  <c r="BM37"/>
  <c r="M37" s="1"/>
  <c r="K37" s="1"/>
  <c r="AI37"/>
  <c r="W37"/>
  <c r="E37"/>
  <c r="BM36"/>
  <c r="M36" s="1"/>
  <c r="K36" s="1"/>
  <c r="AI36"/>
  <c r="AS36" s="1"/>
  <c r="W36"/>
  <c r="E36"/>
  <c r="BM35"/>
  <c r="M35" s="1"/>
  <c r="K35" s="1"/>
  <c r="AI35"/>
  <c r="W35"/>
  <c r="E35"/>
  <c r="BM34"/>
  <c r="M34" s="1"/>
  <c r="K34" s="1"/>
  <c r="AS34"/>
  <c r="AI34"/>
  <c r="E34"/>
  <c r="AY34" s="1"/>
  <c r="BM33"/>
  <c r="AI33"/>
  <c r="AS33" s="1"/>
  <c r="W33"/>
  <c r="K33"/>
  <c r="AY33" s="1"/>
  <c r="E33"/>
  <c r="AS32"/>
  <c r="W32"/>
  <c r="M32"/>
  <c r="K32" s="1"/>
  <c r="AY32" s="1"/>
  <c r="E32"/>
  <c r="BM31"/>
  <c r="M31" s="1"/>
  <c r="K31" s="1"/>
  <c r="AI31"/>
  <c r="AS31" s="1"/>
  <c r="W31"/>
  <c r="E31"/>
  <c r="BM30"/>
  <c r="M30" s="1"/>
  <c r="K30" s="1"/>
  <c r="AI30"/>
  <c r="AS30" s="1"/>
  <c r="W30"/>
  <c r="E30"/>
  <c r="AI28"/>
  <c r="W28"/>
  <c r="M28"/>
  <c r="K28" s="1"/>
  <c r="AY28" s="1"/>
  <c r="E28"/>
  <c r="BM27"/>
  <c r="M27" s="1"/>
  <c r="K27" s="1"/>
  <c r="AI27"/>
  <c r="AS27" s="1"/>
  <c r="W27"/>
  <c r="E27"/>
  <c r="BM26"/>
  <c r="M26" s="1"/>
  <c r="K26" s="1"/>
  <c r="AI26"/>
  <c r="AS26" s="1"/>
  <c r="W26"/>
  <c r="E26"/>
  <c r="BM25"/>
  <c r="M25" s="1"/>
  <c r="K25" s="1"/>
  <c r="AI25"/>
  <c r="AS25" s="1"/>
  <c r="W25"/>
  <c r="E25"/>
  <c r="AY25" s="1"/>
  <c r="BM24"/>
  <c r="M24" s="1"/>
  <c r="K24" s="1"/>
  <c r="AI24"/>
  <c r="AS24" s="1"/>
  <c r="W24"/>
  <c r="E24"/>
  <c r="BM23"/>
  <c r="M23" s="1"/>
  <c r="K23" s="1"/>
  <c r="AI23"/>
  <c r="AS23" s="1"/>
  <c r="W23"/>
  <c r="E23"/>
  <c r="AY23" s="1"/>
  <c r="BM22"/>
  <c r="M22" s="1"/>
  <c r="K22" s="1"/>
  <c r="AI22"/>
  <c r="AS22" s="1"/>
  <c r="W22"/>
  <c r="E22"/>
  <c r="BM21"/>
  <c r="M21" s="1"/>
  <c r="K21" s="1"/>
  <c r="AS21"/>
  <c r="AI21"/>
  <c r="W21"/>
  <c r="E21"/>
  <c r="AY21" s="1"/>
  <c r="BM20"/>
  <c r="M20" s="1"/>
  <c r="K20" s="1"/>
  <c r="AI20"/>
  <c r="AS20" s="1"/>
  <c r="W20"/>
  <c r="E20"/>
  <c r="BM19"/>
  <c r="M19" s="1"/>
  <c r="K19" s="1"/>
  <c r="AI19"/>
  <c r="AS19" s="1"/>
  <c r="W19"/>
  <c r="E19"/>
  <c r="BM18"/>
  <c r="M18" s="1"/>
  <c r="K18" s="1"/>
  <c r="AI18"/>
  <c r="W18"/>
  <c r="E18"/>
  <c r="BM17"/>
  <c r="M17" s="1"/>
  <c r="K17" s="1"/>
  <c r="AI17"/>
  <c r="AS17" s="1"/>
  <c r="W17"/>
  <c r="E17"/>
  <c r="BM16"/>
  <c r="M16" s="1"/>
  <c r="K16" s="1"/>
  <c r="AS16"/>
  <c r="W16"/>
  <c r="E16"/>
  <c r="BM15"/>
  <c r="M15" s="1"/>
  <c r="K15" s="1"/>
  <c r="AS15"/>
  <c r="W15"/>
  <c r="E15"/>
  <c r="BM14"/>
  <c r="AI14"/>
  <c r="AS14" s="1"/>
  <c r="W14"/>
  <c r="K14"/>
  <c r="E14"/>
  <c r="BM13"/>
  <c r="AI13"/>
  <c r="AS13" s="1"/>
  <c r="W13"/>
  <c r="K13"/>
  <c r="E13"/>
  <c r="BM12"/>
  <c r="W12"/>
  <c r="M12"/>
  <c r="K12" s="1"/>
  <c r="E12"/>
  <c r="BM11"/>
  <c r="M11" s="1"/>
  <c r="K11" s="1"/>
  <c r="AI11"/>
  <c r="AS11" s="1"/>
  <c r="W11"/>
  <c r="E11"/>
  <c r="E13" i="14"/>
  <c r="E11"/>
  <c r="E12"/>
  <c r="M13" i="10"/>
  <c r="AY168" i="15" l="1"/>
  <c r="AY188"/>
  <c r="AY120"/>
  <c r="AY121"/>
  <c r="AY66"/>
  <c r="AY114"/>
  <c r="AY221"/>
  <c r="AY242"/>
  <c r="AY243"/>
  <c r="AY107"/>
  <c r="AY113"/>
  <c r="AY220"/>
  <c r="AY226"/>
  <c r="AY233"/>
  <c r="AY176"/>
  <c r="AY180"/>
  <c r="AY164"/>
  <c r="AY30"/>
  <c r="AY31"/>
  <c r="AY35"/>
  <c r="AY38"/>
  <c r="AY51"/>
  <c r="AY52"/>
  <c r="AY16"/>
  <c r="AY19"/>
  <c r="AY26"/>
  <c r="AY27"/>
  <c r="AY90"/>
  <c r="AY91"/>
  <c r="AY99"/>
  <c r="AY109"/>
  <c r="AY136"/>
  <c r="AY144"/>
  <c r="AY148"/>
  <c r="AY196"/>
  <c r="AY200"/>
  <c r="AY213"/>
  <c r="AY228"/>
  <c r="AY236"/>
  <c r="AY237"/>
  <c r="AY135"/>
  <c r="AY20"/>
  <c r="AY24"/>
  <c r="AY39"/>
  <c r="AY40"/>
  <c r="AY47"/>
  <c r="AY48"/>
  <c r="AY54"/>
  <c r="AY55"/>
  <c r="AY56"/>
  <c r="AY58"/>
  <c r="AY59"/>
  <c r="AY69"/>
  <c r="AY70"/>
  <c r="AY76"/>
  <c r="AY77"/>
  <c r="AY83"/>
  <c r="AY84"/>
  <c r="AY85"/>
  <c r="AY86"/>
  <c r="AY87"/>
  <c r="AY94"/>
  <c r="AY95"/>
  <c r="AY102"/>
  <c r="AY103"/>
  <c r="AY104"/>
  <c r="AY125"/>
  <c r="AY131"/>
  <c r="AY132"/>
  <c r="AY139"/>
  <c r="AY140"/>
  <c r="AY169"/>
  <c r="AY177"/>
  <c r="AY184"/>
  <c r="AY185"/>
  <c r="AY197"/>
  <c r="AY214"/>
  <c r="AY215"/>
  <c r="AY234"/>
  <c r="AY145"/>
  <c r="AY165"/>
  <c r="AY172"/>
  <c r="AY173"/>
  <c r="AY181"/>
  <c r="AY189"/>
  <c r="AY190"/>
  <c r="AY193"/>
  <c r="AY201"/>
  <c r="AY227"/>
  <c r="AY124"/>
  <c r="AY110"/>
  <c r="AY106"/>
  <c r="AY206"/>
  <c r="AY11"/>
  <c r="AY15"/>
  <c r="AY18"/>
  <c r="AY36"/>
  <c r="AY13"/>
  <c r="AY41"/>
  <c r="AY42"/>
  <c r="AY45"/>
  <c r="AY46"/>
  <c r="AY49"/>
  <c r="AY50"/>
  <c r="AY53"/>
  <c r="AY57"/>
  <c r="AY64"/>
  <c r="AY65"/>
  <c r="AY67"/>
  <c r="AY68"/>
  <c r="AY71"/>
  <c r="AY72"/>
  <c r="AY73"/>
  <c r="AY74"/>
  <c r="AY75"/>
  <c r="AY78"/>
  <c r="AY81"/>
  <c r="AY82"/>
  <c r="AY88"/>
  <c r="AY89"/>
  <c r="AY92"/>
  <c r="AY93"/>
  <c r="AY96"/>
  <c r="AY97"/>
  <c r="AY100"/>
  <c r="AY101"/>
  <c r="AY111"/>
  <c r="AY112"/>
  <c r="AY115"/>
  <c r="AY116"/>
  <c r="AY117"/>
  <c r="AY118"/>
  <c r="AY119"/>
  <c r="AY122"/>
  <c r="AY123"/>
  <c r="AY126"/>
  <c r="AY127"/>
  <c r="AY130"/>
  <c r="AY133"/>
  <c r="AY134"/>
  <c r="AY137"/>
  <c r="AY138"/>
  <c r="AY141"/>
  <c r="AY142"/>
  <c r="AY143"/>
  <c r="AY146"/>
  <c r="AY147"/>
  <c r="AY166"/>
  <c r="AY167"/>
  <c r="AY170"/>
  <c r="AY171"/>
  <c r="AY174"/>
  <c r="AY175"/>
  <c r="AY178"/>
  <c r="AY179"/>
  <c r="AY182"/>
  <c r="AY183"/>
  <c r="AY186"/>
  <c r="AY187"/>
  <c r="AY191"/>
  <c r="AY192"/>
  <c r="AY194"/>
  <c r="AY195"/>
  <c r="AY198"/>
  <c r="AY199"/>
  <c r="AY202"/>
  <c r="AY203"/>
  <c r="AY207"/>
  <c r="AY208"/>
  <c r="AY211"/>
  <c r="AY212"/>
  <c r="AY216"/>
  <c r="AY218"/>
  <c r="AY219"/>
  <c r="AY222"/>
  <c r="AY229"/>
  <c r="AY230"/>
  <c r="AY232"/>
  <c r="AY235"/>
  <c r="AY238"/>
  <c r="AY239"/>
  <c r="AY244"/>
  <c r="AY241"/>
  <c r="AY240"/>
  <c r="AY231"/>
  <c r="AY225"/>
  <c r="AY224"/>
  <c r="AY223"/>
  <c r="AY217"/>
  <c r="AY210"/>
  <c r="AY205"/>
  <c r="AY12"/>
  <c r="AY14"/>
  <c r="AY17"/>
  <c r="AY37"/>
  <c r="AY22"/>
  <c r="K143" i="1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S124" i="7" l="1"/>
  <c r="W11" i="8"/>
  <c r="Y10" i="10"/>
  <c r="AA10" i="8" s="1"/>
  <c r="AA97" i="9"/>
  <c r="S73" i="12"/>
  <c r="W73" s="1"/>
  <c r="S12"/>
  <c r="W12" s="1"/>
  <c r="S11"/>
  <c r="W11" s="1"/>
  <c r="S91"/>
  <c r="W91" s="1"/>
  <c r="S90"/>
  <c r="W90" s="1"/>
  <c r="S88"/>
  <c r="W88" s="1"/>
  <c r="S87"/>
  <c r="S84"/>
  <c r="W84" s="1"/>
  <c r="S83"/>
  <c r="W83" s="1"/>
  <c r="S82"/>
  <c r="W82" s="1"/>
  <c r="S80"/>
  <c r="W80" s="1"/>
  <c r="S79"/>
  <c r="W79" s="1"/>
  <c r="S78"/>
  <c r="W78" s="1"/>
  <c r="S77"/>
  <c r="W77" s="1"/>
  <c r="S76"/>
  <c r="W76" s="1"/>
  <c r="S75"/>
  <c r="W75" s="1"/>
  <c r="S74"/>
  <c r="W74" s="1"/>
  <c r="S71"/>
  <c r="W71" s="1"/>
  <c r="S70"/>
  <c r="W70" s="1"/>
  <c r="S69"/>
  <c r="W69" s="1"/>
  <c r="S67"/>
  <c r="W67" s="1"/>
  <c r="W63"/>
  <c r="W62"/>
  <c r="W60"/>
  <c r="W59"/>
  <c r="W58"/>
  <c r="W56"/>
  <c r="W55"/>
  <c r="W54"/>
  <c r="W53"/>
  <c r="W52"/>
  <c r="W51"/>
  <c r="W50"/>
  <c r="W49"/>
  <c r="W48"/>
  <c r="W47"/>
  <c r="W44"/>
  <c r="W41"/>
  <c r="W40"/>
  <c r="W39"/>
  <c r="W38"/>
  <c r="W35"/>
  <c r="W34"/>
  <c r="W33"/>
  <c r="W32"/>
  <c r="W31"/>
  <c r="W28"/>
  <c r="BM86" i="13"/>
  <c r="AI86"/>
  <c r="AS86" s="1"/>
  <c r="W86"/>
  <c r="K86"/>
  <c r="E86"/>
  <c r="BM67"/>
  <c r="AI67"/>
  <c r="AS67" s="1"/>
  <c r="W67"/>
  <c r="K67"/>
  <c r="E67"/>
  <c r="BM33"/>
  <c r="AI33"/>
  <c r="AS33" s="1"/>
  <c r="W33"/>
  <c r="K33"/>
  <c r="E33"/>
  <c r="AI90" i="14"/>
  <c r="AS90" s="1"/>
  <c r="W90"/>
  <c r="K90"/>
  <c r="BM88"/>
  <c r="AI88"/>
  <c r="AS88" s="1"/>
  <c r="W88"/>
  <c r="K88"/>
  <c r="AY88" s="1"/>
  <c r="BM86"/>
  <c r="AI86"/>
  <c r="AS86" s="1"/>
  <c r="W86"/>
  <c r="K86"/>
  <c r="BM82"/>
  <c r="AI82"/>
  <c r="AS82" s="1"/>
  <c r="W82"/>
  <c r="BM79"/>
  <c r="AI79"/>
  <c r="AS79" s="1"/>
  <c r="W79"/>
  <c r="K79"/>
  <c r="BM78"/>
  <c r="AI78"/>
  <c r="AS78" s="1"/>
  <c r="W78"/>
  <c r="K78"/>
  <c r="BM77"/>
  <c r="AI77"/>
  <c r="AS77" s="1"/>
  <c r="W77"/>
  <c r="K77"/>
  <c r="BM76"/>
  <c r="AI76"/>
  <c r="AS76" s="1"/>
  <c r="W76"/>
  <c r="K76"/>
  <c r="BM75"/>
  <c r="AI75"/>
  <c r="AS75" s="1"/>
  <c r="W75"/>
  <c r="K75"/>
  <c r="BM74"/>
  <c r="AI74"/>
  <c r="AS74" s="1"/>
  <c r="W74"/>
  <c r="K74"/>
  <c r="BM73"/>
  <c r="AI73"/>
  <c r="AS73" s="1"/>
  <c r="W73"/>
  <c r="K73"/>
  <c r="BM72"/>
  <c r="AI72"/>
  <c r="AS72" s="1"/>
  <c r="W72"/>
  <c r="BM70"/>
  <c r="AI70"/>
  <c r="AS70" s="1"/>
  <c r="W70"/>
  <c r="AI69"/>
  <c r="AS69" s="1"/>
  <c r="W69"/>
  <c r="K69"/>
  <c r="BM68"/>
  <c r="AI68"/>
  <c r="AS68" s="1"/>
  <c r="W68"/>
  <c r="K68"/>
  <c r="BM67"/>
  <c r="AI67"/>
  <c r="AS67" s="1"/>
  <c r="W67"/>
  <c r="K67"/>
  <c r="AY67" s="1"/>
  <c r="AI66"/>
  <c r="AS66" s="1"/>
  <c r="W66"/>
  <c r="K66"/>
  <c r="AY66" s="1"/>
  <c r="BN92" i="6"/>
  <c r="AT92"/>
  <c r="W92"/>
  <c r="K92"/>
  <c r="BN90"/>
  <c r="AT90"/>
  <c r="W90"/>
  <c r="K90"/>
  <c r="E90"/>
  <c r="BN88"/>
  <c r="AT88"/>
  <c r="W88"/>
  <c r="K88"/>
  <c r="E88"/>
  <c r="AT85"/>
  <c r="W85"/>
  <c r="K85"/>
  <c r="E85"/>
  <c r="BN81"/>
  <c r="AT81"/>
  <c r="W81"/>
  <c r="K81"/>
  <c r="E81"/>
  <c r="BN80"/>
  <c r="AT80"/>
  <c r="W80"/>
  <c r="K80"/>
  <c r="E80"/>
  <c r="BN79"/>
  <c r="AT79"/>
  <c r="W79"/>
  <c r="K79"/>
  <c r="E79"/>
  <c r="BN78"/>
  <c r="AT78"/>
  <c r="W78"/>
  <c r="K78"/>
  <c r="E78"/>
  <c r="BN77"/>
  <c r="AT77"/>
  <c r="W77"/>
  <c r="K77"/>
  <c r="E77"/>
  <c r="BN75"/>
  <c r="AT75"/>
  <c r="W75"/>
  <c r="K75"/>
  <c r="E75"/>
  <c r="BN74"/>
  <c r="AT74"/>
  <c r="W74"/>
  <c r="K74"/>
  <c r="E74"/>
  <c r="BN72"/>
  <c r="AT72"/>
  <c r="W72"/>
  <c r="K72"/>
  <c r="E72"/>
  <c r="BN71"/>
  <c r="AT71"/>
  <c r="W71"/>
  <c r="K71"/>
  <c r="E71"/>
  <c r="BN70"/>
  <c r="AT70"/>
  <c r="W70"/>
  <c r="K70"/>
  <c r="E70"/>
  <c r="BN69"/>
  <c r="AT69"/>
  <c r="W69"/>
  <c r="K69"/>
  <c r="E69"/>
  <c r="AT68"/>
  <c r="W68"/>
  <c r="K68"/>
  <c r="E68"/>
  <c r="AH71" i="5"/>
  <c r="AH70"/>
  <c r="AH69"/>
  <c r="AH68"/>
  <c r="AH67"/>
  <c r="S71" i="4"/>
  <c r="S70"/>
  <c r="S69"/>
  <c r="S68"/>
  <c r="S67"/>
  <c r="AC70" i="2"/>
  <c r="AC69"/>
  <c r="AC68"/>
  <c r="AC67"/>
  <c r="AC66"/>
  <c r="AC12"/>
  <c r="AC11"/>
  <c r="S71" i="1"/>
  <c r="S70"/>
  <c r="S69"/>
  <c r="S68"/>
  <c r="S67"/>
  <c r="AR91" i="5"/>
  <c r="AR83"/>
  <c r="AR76"/>
  <c r="AR60"/>
  <c r="AR58"/>
  <c r="AR57"/>
  <c r="AR56"/>
  <c r="U53" i="3"/>
  <c r="AR48" i="5"/>
  <c r="U33" i="3"/>
  <c r="S91" i="7"/>
  <c r="S90"/>
  <c r="S88"/>
  <c r="S87"/>
  <c r="S85"/>
  <c r="U85" s="1"/>
  <c r="S84"/>
  <c r="S83"/>
  <c r="U83" s="1"/>
  <c r="S82"/>
  <c r="S80"/>
  <c r="S79"/>
  <c r="AM79" i="2" s="1"/>
  <c r="S78" i="7"/>
  <c r="V78" s="1"/>
  <c r="S77"/>
  <c r="S76"/>
  <c r="S75"/>
  <c r="S74"/>
  <c r="S73"/>
  <c r="AM73" i="2" s="1"/>
  <c r="S71" i="7"/>
  <c r="AM70" i="2" s="1"/>
  <c r="S70" i="7"/>
  <c r="S69"/>
  <c r="V69" s="1"/>
  <c r="S68"/>
  <c r="S67"/>
  <c r="V67" s="1"/>
  <c r="AM62" i="2"/>
  <c r="AM61"/>
  <c r="V61" i="7"/>
  <c r="U60"/>
  <c r="AM58" i="2"/>
  <c r="AM56"/>
  <c r="AM53"/>
  <c r="U52" i="7"/>
  <c r="U49"/>
  <c r="AM47" i="2"/>
  <c r="U44" i="7"/>
  <c r="AM41" i="2"/>
  <c r="U40" i="7"/>
  <c r="V38"/>
  <c r="AM36" i="2"/>
  <c r="AM35"/>
  <c r="AM34"/>
  <c r="AM31"/>
  <c r="U29" i="7"/>
  <c r="W71" i="8"/>
  <c r="W69"/>
  <c r="W68"/>
  <c r="W67"/>
  <c r="W66"/>
  <c r="W17"/>
  <c r="W16"/>
  <c r="W15"/>
  <c r="W14"/>
  <c r="W13"/>
  <c r="W12"/>
  <c r="AA91" i="9"/>
  <c r="AC90"/>
  <c r="AA88"/>
  <c r="AA84"/>
  <c r="AA83"/>
  <c r="AA80"/>
  <c r="AA79"/>
  <c r="AC79"/>
  <c r="AC78"/>
  <c r="AA78"/>
  <c r="AA77"/>
  <c r="AA76"/>
  <c r="AA73"/>
  <c r="AA74"/>
  <c r="AC66"/>
  <c r="AB81" i="10"/>
  <c r="AA79" i="8"/>
  <c r="Y71" i="10"/>
  <c r="M71"/>
  <c r="Y70"/>
  <c r="M70"/>
  <c r="M69"/>
  <c r="E69"/>
  <c r="M68"/>
  <c r="M67"/>
  <c r="E67"/>
  <c r="AC110" i="9"/>
  <c r="AB106" i="10"/>
  <c r="U160" i="3"/>
  <c r="U154"/>
  <c r="AC233" i="9"/>
  <c r="AA233" i="8"/>
  <c r="AA233" i="9"/>
  <c r="AA227"/>
  <c r="AC227"/>
  <c r="AB218" i="10"/>
  <c r="S218" i="12"/>
  <c r="U218" i="3"/>
  <c r="U182"/>
  <c r="U181"/>
  <c r="AY20" i="14"/>
  <c r="S14" i="4"/>
  <c r="S12"/>
  <c r="S11" i="7"/>
  <c r="U11" s="1"/>
  <c r="Y11" i="10"/>
  <c r="AA11" i="8" s="1"/>
  <c r="AA255"/>
  <c r="AA254"/>
  <c r="AA253"/>
  <c r="AA252"/>
  <c r="AA251"/>
  <c r="AA250"/>
  <c r="AA249"/>
  <c r="AA248"/>
  <c r="AA247"/>
  <c r="AA246"/>
  <c r="AA245"/>
  <c r="AA244"/>
  <c r="AA243"/>
  <c r="AA242"/>
  <c r="AA241"/>
  <c r="AA238"/>
  <c r="AA237"/>
  <c r="AA236"/>
  <c r="AA240"/>
  <c r="AA234"/>
  <c r="AB234" i="10"/>
  <c r="S240" i="12"/>
  <c r="W240" s="1"/>
  <c r="BM235" i="14"/>
  <c r="BN238" i="6"/>
  <c r="U240" i="3"/>
  <c r="S240" i="7"/>
  <c r="U240" s="1"/>
  <c r="AC239" i="9"/>
  <c r="AA239" i="8"/>
  <c r="AA239" i="9"/>
  <c r="S229" i="12"/>
  <c r="W229" s="1"/>
  <c r="BN227" i="6"/>
  <c r="S229" i="7"/>
  <c r="AC228" i="9"/>
  <c r="AA228" i="8"/>
  <c r="AA228" i="9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8"/>
  <c r="AA237"/>
  <c r="AA236"/>
  <c r="AA235"/>
  <c r="AA234"/>
  <c r="AA232"/>
  <c r="AA231"/>
  <c r="AA230"/>
  <c r="AA229"/>
  <c r="S228" i="12"/>
  <c r="W228" s="1"/>
  <c r="BM223" i="14"/>
  <c r="BN226" i="6"/>
  <c r="S228" i="7"/>
  <c r="V228" s="1"/>
  <c r="AA227" i="8"/>
  <c r="S226" i="12"/>
  <c r="W226" s="1"/>
  <c r="BM221" i="14"/>
  <c r="BN224" i="6"/>
  <c r="S226" i="7"/>
  <c r="U226" i="3"/>
  <c r="AC225" i="9"/>
  <c r="AA225" i="8"/>
  <c r="AA225" i="9"/>
  <c r="S224" i="12"/>
  <c r="W224" s="1"/>
  <c r="BM219" i="14"/>
  <c r="S224" i="7"/>
  <c r="V224" s="1"/>
  <c r="AA223" i="8"/>
  <c r="AC223" i="9"/>
  <c r="AA223"/>
  <c r="BN218" i="6"/>
  <c r="U211" i="3"/>
  <c r="AA232" i="8"/>
  <c r="AA231"/>
  <c r="AA230"/>
  <c r="AA229"/>
  <c r="AA226"/>
  <c r="AA224"/>
  <c r="AA222"/>
  <c r="AA221"/>
  <c r="AA220"/>
  <c r="AA219"/>
  <c r="U237" i="3"/>
  <c r="AR230" i="5"/>
  <c r="AR222"/>
  <c r="U220" i="3"/>
  <c r="U205"/>
  <c r="U204"/>
  <c r="U180"/>
  <c r="S249" i="7"/>
  <c r="U249" s="1"/>
  <c r="S248"/>
  <c r="S247"/>
  <c r="V247" s="1"/>
  <c r="S246"/>
  <c r="V246" s="1"/>
  <c r="S245"/>
  <c r="V245" s="1"/>
  <c r="S244"/>
  <c r="S243"/>
  <c r="U243" s="1"/>
  <c r="S242"/>
  <c r="S241"/>
  <c r="V241" s="1"/>
  <c r="S239"/>
  <c r="S238"/>
  <c r="U238" s="1"/>
  <c r="S237"/>
  <c r="U237" s="1"/>
  <c r="S236"/>
  <c r="U236" s="1"/>
  <c r="S235"/>
  <c r="S234"/>
  <c r="S233"/>
  <c r="S232"/>
  <c r="S231"/>
  <c r="S230"/>
  <c r="S227"/>
  <c r="V227" s="1"/>
  <c r="S225"/>
  <c r="AM224" i="2" s="1"/>
  <c r="S223" i="7"/>
  <c r="S222"/>
  <c r="U222" s="1"/>
  <c r="S221"/>
  <c r="S220"/>
  <c r="S219"/>
  <c r="S218"/>
  <c r="S217"/>
  <c r="AM216" i="2" s="1"/>
  <c r="S216" i="7"/>
  <c r="AM215" i="2" s="1"/>
  <c r="AA144" i="8"/>
  <c r="AA143"/>
  <c r="AA142"/>
  <c r="AA141"/>
  <c r="AA140"/>
  <c r="AA139"/>
  <c r="AA138"/>
  <c r="AA137"/>
  <c r="AA132" i="9"/>
  <c r="AA121"/>
  <c r="S115" i="7"/>
  <c r="U115" s="1"/>
  <c r="AA105" i="8"/>
  <c r="AC105" i="9"/>
  <c r="AA72" i="8"/>
  <c r="AC72" i="9"/>
  <c r="AA136" i="8"/>
  <c r="AA135"/>
  <c r="AA134"/>
  <c r="AA132"/>
  <c r="AA131"/>
  <c r="Y131" i="10"/>
  <c r="AA130" i="8" s="1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B110" i="10"/>
  <c r="AA108" i="8"/>
  <c r="AA107"/>
  <c r="AA106"/>
  <c r="AA104"/>
  <c r="AA103"/>
  <c r="AA102"/>
  <c r="AA101"/>
  <c r="AA100"/>
  <c r="AA99"/>
  <c r="AA98"/>
  <c r="AA97"/>
  <c r="AA96"/>
  <c r="AA95"/>
  <c r="AA93"/>
  <c r="AA92"/>
  <c r="AA89"/>
  <c r="AA86"/>
  <c r="AA81"/>
  <c r="W45" i="12"/>
  <c r="BM45" i="13"/>
  <c r="E45"/>
  <c r="K45"/>
  <c r="AI45"/>
  <c r="AS45" s="1"/>
  <c r="W45"/>
  <c r="U45" i="7"/>
  <c r="AB26" i="10"/>
  <c r="AB24"/>
  <c r="AB20"/>
  <c r="AB18"/>
  <c r="AA17" i="8"/>
  <c r="AA16"/>
  <c r="AA15"/>
  <c r="AA14"/>
  <c r="AA13"/>
  <c r="AA12"/>
  <c r="BN254" i="6"/>
  <c r="BN253"/>
  <c r="BN252"/>
  <c r="BN251"/>
  <c r="BN250"/>
  <c r="BN249"/>
  <c r="BN248"/>
  <c r="BN247"/>
  <c r="BN246"/>
  <c r="BN245"/>
  <c r="BN244"/>
  <c r="BN243"/>
  <c r="BN242"/>
  <c r="BN241"/>
  <c r="BN240"/>
  <c r="BN239"/>
  <c r="BN237"/>
  <c r="BN236"/>
  <c r="BN235"/>
  <c r="BN234"/>
  <c r="BN233"/>
  <c r="BN232"/>
  <c r="BN229"/>
  <c r="BN228"/>
  <c r="BN225"/>
  <c r="BN223"/>
  <c r="BN222"/>
  <c r="BN221"/>
  <c r="BN220"/>
  <c r="BN219"/>
  <c r="BN217"/>
  <c r="BN216"/>
  <c r="BN215"/>
  <c r="BN214"/>
  <c r="BN144"/>
  <c r="BN143"/>
  <c r="BN142"/>
  <c r="BN141"/>
  <c r="BN140"/>
  <c r="BN139"/>
  <c r="BN138"/>
  <c r="BN137"/>
  <c r="BN136"/>
  <c r="BN135"/>
  <c r="BN134"/>
  <c r="BN133"/>
  <c r="BN132"/>
  <c r="BN131"/>
  <c r="BN130"/>
  <c r="BN129"/>
  <c r="BN128"/>
  <c r="BN127"/>
  <c r="BN126"/>
  <c r="BN125"/>
  <c r="BN123"/>
  <c r="BN122"/>
  <c r="BN121"/>
  <c r="BN120"/>
  <c r="BN119"/>
  <c r="BN118"/>
  <c r="BN117"/>
  <c r="BN116"/>
  <c r="BN115"/>
  <c r="BN114"/>
  <c r="BN113"/>
  <c r="BN111"/>
  <c r="BN110"/>
  <c r="BN109"/>
  <c r="BN108"/>
  <c r="BN107"/>
  <c r="BN106"/>
  <c r="BN105"/>
  <c r="BN104"/>
  <c r="BN103"/>
  <c r="BN102"/>
  <c r="BN101"/>
  <c r="BN100"/>
  <c r="BN99"/>
  <c r="BN98"/>
  <c r="E97"/>
  <c r="BN97"/>
  <c r="K97"/>
  <c r="E96"/>
  <c r="BN96"/>
  <c r="K96"/>
  <c r="E95"/>
  <c r="BN95"/>
  <c r="E94"/>
  <c r="BN94"/>
  <c r="K94"/>
  <c r="E93"/>
  <c r="BN93"/>
  <c r="K93"/>
  <c r="E91"/>
  <c r="BN91"/>
  <c r="K91"/>
  <c r="E87"/>
  <c r="BN87"/>
  <c r="K87"/>
  <c r="AZ87" s="1"/>
  <c r="E86"/>
  <c r="BN86"/>
  <c r="K86"/>
  <c r="E84"/>
  <c r="BN84"/>
  <c r="K84"/>
  <c r="E83"/>
  <c r="BN83"/>
  <c r="K83"/>
  <c r="E82"/>
  <c r="BN82"/>
  <c r="K82"/>
  <c r="E76"/>
  <c r="BN76"/>
  <c r="K76"/>
  <c r="E73"/>
  <c r="BN73"/>
  <c r="K73"/>
  <c r="E67"/>
  <c r="BN67"/>
  <c r="K67"/>
  <c r="BN26"/>
  <c r="K26"/>
  <c r="K25"/>
  <c r="BN24"/>
  <c r="K24"/>
  <c r="BN23"/>
  <c r="K23"/>
  <c r="K22"/>
  <c r="K21"/>
  <c r="BN20"/>
  <c r="K20"/>
  <c r="K19"/>
  <c r="K18"/>
  <c r="K17"/>
  <c r="BN16"/>
  <c r="K16"/>
  <c r="AZ16" s="1"/>
  <c r="K15"/>
  <c r="BN14"/>
  <c r="BN13"/>
  <c r="K13"/>
  <c r="E12"/>
  <c r="K12"/>
  <c r="AJ12"/>
  <c r="AT12" s="1"/>
  <c r="AJ13"/>
  <c r="AT13" s="1"/>
  <c r="AT14"/>
  <c r="AZ14"/>
  <c r="AT15"/>
  <c r="AT16"/>
  <c r="AT17"/>
  <c r="AT18"/>
  <c r="AT19"/>
  <c r="AT20"/>
  <c r="AT21"/>
  <c r="AT22"/>
  <c r="AT23"/>
  <c r="AT24"/>
  <c r="AZ24"/>
  <c r="AT25"/>
  <c r="AT26"/>
  <c r="AZ26"/>
  <c r="AT67"/>
  <c r="AZ67"/>
  <c r="AT73"/>
  <c r="AT76"/>
  <c r="AZ76"/>
  <c r="AT82"/>
  <c r="AZ82"/>
  <c r="AT83"/>
  <c r="AZ83"/>
  <c r="AT84"/>
  <c r="AZ84"/>
  <c r="AT86"/>
  <c r="AZ86"/>
  <c r="AT87"/>
  <c r="AT91"/>
  <c r="AZ91"/>
  <c r="AT93"/>
  <c r="AZ93"/>
  <c r="AT94"/>
  <c r="AJ95"/>
  <c r="AT95" s="1"/>
  <c r="AJ96"/>
  <c r="AT96" s="1"/>
  <c r="AZ96"/>
  <c r="AJ97"/>
  <c r="AT97" s="1"/>
  <c r="AZ97"/>
  <c r="BM53" i="13"/>
  <c r="U185" i="3"/>
  <c r="U184"/>
  <c r="U183"/>
  <c r="U179"/>
  <c r="U178"/>
  <c r="U177"/>
  <c r="U176"/>
  <c r="U175"/>
  <c r="U174"/>
  <c r="U173"/>
  <c r="U172"/>
  <c r="U171"/>
  <c r="U170"/>
  <c r="U169"/>
  <c r="U168"/>
  <c r="U167"/>
  <c r="AA221" i="9"/>
  <c r="U165" i="3"/>
  <c r="AA127" i="9"/>
  <c r="S127" i="7"/>
  <c r="U127" s="1"/>
  <c r="AC126" i="9"/>
  <c r="S127" i="12"/>
  <c r="W127" s="1"/>
  <c r="AR127" i="5"/>
  <c r="AA126" i="9"/>
  <c r="AB127" i="10"/>
  <c r="S117" i="7"/>
  <c r="S118"/>
  <c r="AM117" i="2" s="1"/>
  <c r="U118" i="3"/>
  <c r="AR116" i="5"/>
  <c r="S114" i="12"/>
  <c r="W114" s="1"/>
  <c r="U115" i="3"/>
  <c r="AM114" i="2"/>
  <c r="AC114" i="9"/>
  <c r="AA114"/>
  <c r="AB114" i="10"/>
  <c r="S10" i="12"/>
  <c r="W10" s="1"/>
  <c r="S13"/>
  <c r="W13" s="1"/>
  <c r="S14"/>
  <c r="W14" s="1"/>
  <c r="S15"/>
  <c r="W15" s="1"/>
  <c r="S16"/>
  <c r="W16" s="1"/>
  <c r="S17"/>
  <c r="W17" s="1"/>
  <c r="S18"/>
  <c r="W18" s="1"/>
  <c r="S19"/>
  <c r="W19" s="1"/>
  <c r="S20"/>
  <c r="W20" s="1"/>
  <c r="S21"/>
  <c r="W21" s="1"/>
  <c r="S22"/>
  <c r="W22" s="1"/>
  <c r="S23"/>
  <c r="W23" s="1"/>
  <c r="W24"/>
  <c r="W25"/>
  <c r="W26"/>
  <c r="W27"/>
  <c r="W30"/>
  <c r="W42"/>
  <c r="W43"/>
  <c r="W46"/>
  <c r="W64"/>
  <c r="W66"/>
  <c r="S72"/>
  <c r="W72" s="1"/>
  <c r="S81"/>
  <c r="W81" s="1"/>
  <c r="S86"/>
  <c r="W86" s="1"/>
  <c r="S89"/>
  <c r="W89" s="1"/>
  <c r="S92"/>
  <c r="W92" s="1"/>
  <c r="S93"/>
  <c r="W93" s="1"/>
  <c r="S94"/>
  <c r="W94" s="1"/>
  <c r="S95"/>
  <c r="W95" s="1"/>
  <c r="S96"/>
  <c r="W96" s="1"/>
  <c r="S97"/>
  <c r="W97" s="1"/>
  <c r="S98"/>
  <c r="W98" s="1"/>
  <c r="S99"/>
  <c r="W99" s="1"/>
  <c r="S100"/>
  <c r="W100" s="1"/>
  <c r="S101"/>
  <c r="W101" s="1"/>
  <c r="S102"/>
  <c r="W102" s="1"/>
  <c r="S103"/>
  <c r="W103" s="1"/>
  <c r="S104"/>
  <c r="W104" s="1"/>
  <c r="S105"/>
  <c r="W105" s="1"/>
  <c r="S106"/>
  <c r="W106" s="1"/>
  <c r="S107"/>
  <c r="W107" s="1"/>
  <c r="S108"/>
  <c r="W108" s="1"/>
  <c r="S109"/>
  <c r="W109" s="1"/>
  <c r="S110"/>
  <c r="W110" s="1"/>
  <c r="S111"/>
  <c r="W111" s="1"/>
  <c r="S112"/>
  <c r="W112" s="1"/>
  <c r="S113"/>
  <c r="W113" s="1"/>
  <c r="S116"/>
  <c r="W116" s="1"/>
  <c r="S117"/>
  <c r="W117" s="1"/>
  <c r="S118"/>
  <c r="W118" s="1"/>
  <c r="S119"/>
  <c r="W119" s="1"/>
  <c r="S120"/>
  <c r="W120" s="1"/>
  <c r="S121"/>
  <c r="W121" s="1"/>
  <c r="S122"/>
  <c r="W122" s="1"/>
  <c r="S123"/>
  <c r="W123" s="1"/>
  <c r="S124"/>
  <c r="W124" s="1"/>
  <c r="S125"/>
  <c r="W125" s="1"/>
  <c r="S126"/>
  <c r="W126" s="1"/>
  <c r="S128"/>
  <c r="W128" s="1"/>
  <c r="S129"/>
  <c r="W129" s="1"/>
  <c r="S130"/>
  <c r="W130" s="1"/>
  <c r="S131"/>
  <c r="W131" s="1"/>
  <c r="S132"/>
  <c r="W132" s="1"/>
  <c r="S133"/>
  <c r="W133" s="1"/>
  <c r="S134"/>
  <c r="W134" s="1"/>
  <c r="S135"/>
  <c r="W135" s="1"/>
  <c r="S136"/>
  <c r="W136" s="1"/>
  <c r="S137"/>
  <c r="W137" s="1"/>
  <c r="S138"/>
  <c r="W138" s="1"/>
  <c r="S139"/>
  <c r="W139" s="1"/>
  <c r="S140"/>
  <c r="W140" s="1"/>
  <c r="S141"/>
  <c r="W141" s="1"/>
  <c r="S142"/>
  <c r="W142" s="1"/>
  <c r="S143"/>
  <c r="W143" s="1"/>
  <c r="S144"/>
  <c r="W144" s="1"/>
  <c r="S215"/>
  <c r="W215" s="1"/>
  <c r="S216"/>
  <c r="W216" s="1"/>
  <c r="S217"/>
  <c r="W217" s="1"/>
  <c r="S219"/>
  <c r="W219" s="1"/>
  <c r="S220"/>
  <c r="W220" s="1"/>
  <c r="S222"/>
  <c r="W222" s="1"/>
  <c r="S223"/>
  <c r="W223" s="1"/>
  <c r="S225"/>
  <c r="W225" s="1"/>
  <c r="S227"/>
  <c r="W227" s="1"/>
  <c r="S231"/>
  <c r="W231" s="1"/>
  <c r="S232"/>
  <c r="W232" s="1"/>
  <c r="S233"/>
  <c r="W233" s="1"/>
  <c r="S234"/>
  <c r="W234" s="1"/>
  <c r="S235"/>
  <c r="W235" s="1"/>
  <c r="S236"/>
  <c r="W236" s="1"/>
  <c r="S237"/>
  <c r="W237" s="1"/>
  <c r="S238"/>
  <c r="W238" s="1"/>
  <c r="S239"/>
  <c r="W239" s="1"/>
  <c r="S241"/>
  <c r="W241" s="1"/>
  <c r="S242"/>
  <c r="W242" s="1"/>
  <c r="S243"/>
  <c r="W243" s="1"/>
  <c r="S244"/>
  <c r="W244" s="1"/>
  <c r="S245"/>
  <c r="W245" s="1"/>
  <c r="S246"/>
  <c r="W246" s="1"/>
  <c r="S247"/>
  <c r="W247" s="1"/>
  <c r="S248"/>
  <c r="W248" s="1"/>
  <c r="S249"/>
  <c r="W249" s="1"/>
  <c r="S250"/>
  <c r="W250" s="1"/>
  <c r="S251"/>
  <c r="W251" s="1"/>
  <c r="S252"/>
  <c r="W252" s="1"/>
  <c r="S253"/>
  <c r="W253" s="1"/>
  <c r="S254"/>
  <c r="W254" s="1"/>
  <c r="S255"/>
  <c r="W255" s="1"/>
  <c r="S256"/>
  <c r="W256" s="1"/>
  <c r="E66" i="13"/>
  <c r="BM66"/>
  <c r="K66"/>
  <c r="W66"/>
  <c r="AI66"/>
  <c r="AS66" s="1"/>
  <c r="E113"/>
  <c r="BM113"/>
  <c r="W113"/>
  <c r="AI113"/>
  <c r="AS113" s="1"/>
  <c r="E14"/>
  <c r="BM14"/>
  <c r="M14" s="1"/>
  <c r="K14" s="1"/>
  <c r="W14"/>
  <c r="AI14"/>
  <c r="AS14" s="1"/>
  <c r="E15"/>
  <c r="BM15"/>
  <c r="M15" s="1"/>
  <c r="K15" s="1"/>
  <c r="W15"/>
  <c r="AS15"/>
  <c r="E88"/>
  <c r="BM88"/>
  <c r="K88"/>
  <c r="W88"/>
  <c r="AI88"/>
  <c r="AS88" s="1"/>
  <c r="E16"/>
  <c r="BM16"/>
  <c r="M16" s="1"/>
  <c r="K16" s="1"/>
  <c r="W16"/>
  <c r="AS16"/>
  <c r="E13"/>
  <c r="BM13"/>
  <c r="K13" s="1"/>
  <c r="W13"/>
  <c r="AI13"/>
  <c r="AS13" s="1"/>
  <c r="E125"/>
  <c r="BM125"/>
  <c r="W125"/>
  <c r="AI125"/>
  <c r="AS125"/>
  <c r="E77"/>
  <c r="BM77"/>
  <c r="K77"/>
  <c r="W77"/>
  <c r="AS77"/>
  <c r="E94"/>
  <c r="BM94"/>
  <c r="K94"/>
  <c r="AY94" s="1"/>
  <c r="W94"/>
  <c r="AI94"/>
  <c r="AS94" s="1"/>
  <c r="E136"/>
  <c r="BM136"/>
  <c r="AY136"/>
  <c r="W136"/>
  <c r="AI136"/>
  <c r="AS136" s="1"/>
  <c r="E138"/>
  <c r="BM138"/>
  <c r="AY138"/>
  <c r="W138"/>
  <c r="AI138"/>
  <c r="AS138" s="1"/>
  <c r="E137"/>
  <c r="BM137"/>
  <c r="W137"/>
  <c r="AI137"/>
  <c r="AS137" s="1"/>
  <c r="E241"/>
  <c r="AY241" s="1"/>
  <c r="BM241"/>
  <c r="K241"/>
  <c r="W241"/>
  <c r="AI241"/>
  <c r="AS241" s="1"/>
  <c r="E69"/>
  <c r="BM69"/>
  <c r="K69"/>
  <c r="W69"/>
  <c r="AI69"/>
  <c r="AS69" s="1"/>
  <c r="E70"/>
  <c r="BM70"/>
  <c r="K70"/>
  <c r="W70"/>
  <c r="AI70"/>
  <c r="AS70" s="1"/>
  <c r="E40"/>
  <c r="BM40"/>
  <c r="K40"/>
  <c r="W40"/>
  <c r="AI40"/>
  <c r="AS40" s="1"/>
  <c r="AY40"/>
  <c r="E21"/>
  <c r="BM21"/>
  <c r="M21" s="1"/>
  <c r="K21" s="1"/>
  <c r="W21"/>
  <c r="AI21"/>
  <c r="AS21" s="1"/>
  <c r="E22"/>
  <c r="BM22"/>
  <c r="M22" s="1"/>
  <c r="K22" s="1"/>
  <c r="W22"/>
  <c r="AI22"/>
  <c r="AS22" s="1"/>
  <c r="E24"/>
  <c r="BM24"/>
  <c r="M24" s="1"/>
  <c r="K24" s="1"/>
  <c r="W24"/>
  <c r="AI24"/>
  <c r="AS24" s="1"/>
  <c r="E25"/>
  <c r="BM25"/>
  <c r="M25" s="1"/>
  <c r="K25" s="1"/>
  <c r="W25"/>
  <c r="AI25"/>
  <c r="AS25" s="1"/>
  <c r="E30"/>
  <c r="BM30"/>
  <c r="M30" s="1"/>
  <c r="K30" s="1"/>
  <c r="W30"/>
  <c r="AI30"/>
  <c r="AS30" s="1"/>
  <c r="E34"/>
  <c r="BM34"/>
  <c r="M34" s="1"/>
  <c r="K34" s="1"/>
  <c r="AY34" s="1"/>
  <c r="AI34"/>
  <c r="AS34" s="1"/>
  <c r="E35"/>
  <c r="BM35"/>
  <c r="M35" s="1"/>
  <c r="K35" s="1"/>
  <c r="W35"/>
  <c r="AI35"/>
  <c r="E36"/>
  <c r="BM36"/>
  <c r="M36" s="1"/>
  <c r="K36" s="1"/>
  <c r="W36"/>
  <c r="AI36"/>
  <c r="AS36" s="1"/>
  <c r="E37"/>
  <c r="BM37"/>
  <c r="M37" s="1"/>
  <c r="K37" s="1"/>
  <c r="W37"/>
  <c r="AI37"/>
  <c r="E54"/>
  <c r="BM54"/>
  <c r="K54"/>
  <c r="W54"/>
  <c r="AI54"/>
  <c r="AS54" s="1"/>
  <c r="AY54"/>
  <c r="E75"/>
  <c r="BM75"/>
  <c r="K75"/>
  <c r="W75"/>
  <c r="AI75"/>
  <c r="AS75" s="1"/>
  <c r="AY75"/>
  <c r="E79"/>
  <c r="BM79"/>
  <c r="K79"/>
  <c r="W79"/>
  <c r="AI79"/>
  <c r="AS79" s="1"/>
  <c r="AY79"/>
  <c r="E87"/>
  <c r="BM87"/>
  <c r="K87"/>
  <c r="W87"/>
  <c r="AI87"/>
  <c r="AS87" s="1"/>
  <c r="AY87"/>
  <c r="E97"/>
  <c r="BM97"/>
  <c r="K97"/>
  <c r="AY97" s="1"/>
  <c r="W97"/>
  <c r="AI97"/>
  <c r="AS97" s="1"/>
  <c r="E104"/>
  <c r="BM104"/>
  <c r="K104"/>
  <c r="W104"/>
  <c r="AS104"/>
  <c r="E110"/>
  <c r="BM110"/>
  <c r="K110"/>
  <c r="W110"/>
  <c r="AI110"/>
  <c r="AS110" s="1"/>
  <c r="E119"/>
  <c r="BM119"/>
  <c r="W119"/>
  <c r="AI119"/>
  <c r="AS119" s="1"/>
  <c r="E122"/>
  <c r="BM122"/>
  <c r="W122"/>
  <c r="AI122"/>
  <c r="AS122" s="1"/>
  <c r="E130"/>
  <c r="BM130"/>
  <c r="W130"/>
  <c r="AS130"/>
  <c r="E135"/>
  <c r="BM135"/>
  <c r="W135"/>
  <c r="AI135"/>
  <c r="AS135" s="1"/>
  <c r="E92"/>
  <c r="BM92"/>
  <c r="K92"/>
  <c r="W92"/>
  <c r="AI92"/>
  <c r="AS92" s="1"/>
  <c r="E64"/>
  <c r="BM64"/>
  <c r="K64"/>
  <c r="W64"/>
  <c r="AI64"/>
  <c r="AS64" s="1"/>
  <c r="E65"/>
  <c r="BM65"/>
  <c r="K65"/>
  <c r="W65"/>
  <c r="AS65"/>
  <c r="E103"/>
  <c r="BM103"/>
  <c r="K103"/>
  <c r="W103"/>
  <c r="AI103"/>
  <c r="AS103" s="1"/>
  <c r="E111"/>
  <c r="BM111"/>
  <c r="K111"/>
  <c r="W111"/>
  <c r="AI111"/>
  <c r="AS111" s="1"/>
  <c r="E31"/>
  <c r="BM31"/>
  <c r="M31" s="1"/>
  <c r="K31" s="1"/>
  <c r="W31"/>
  <c r="AI31"/>
  <c r="AS31" s="1"/>
  <c r="E53"/>
  <c r="K53"/>
  <c r="W53"/>
  <c r="AI53"/>
  <c r="AS53"/>
  <c r="E68"/>
  <c r="BM68"/>
  <c r="K68"/>
  <c r="AY68" s="1"/>
  <c r="W68"/>
  <c r="AI68"/>
  <c r="AS68" s="1"/>
  <c r="E85"/>
  <c r="BM85"/>
  <c r="K85"/>
  <c r="W85"/>
  <c r="AS85"/>
  <c r="E90"/>
  <c r="BM90"/>
  <c r="K90"/>
  <c r="W90"/>
  <c r="AI90"/>
  <c r="AS90" s="1"/>
  <c r="E93"/>
  <c r="BM93"/>
  <c r="K93"/>
  <c r="AY93" s="1"/>
  <c r="W93"/>
  <c r="AI93"/>
  <c r="AS93" s="1"/>
  <c r="E98"/>
  <c r="BM98"/>
  <c r="K98"/>
  <c r="W98"/>
  <c r="AI98"/>
  <c r="AS98" s="1"/>
  <c r="E243"/>
  <c r="BM243"/>
  <c r="K243"/>
  <c r="W243"/>
  <c r="AI243"/>
  <c r="AS243" s="1"/>
  <c r="AY243"/>
  <c r="E48"/>
  <c r="BM48"/>
  <c r="K48"/>
  <c r="AY48" s="1"/>
  <c r="W48"/>
  <c r="AI48"/>
  <c r="AS48" s="1"/>
  <c r="E23"/>
  <c r="BM23"/>
  <c r="M23" s="1"/>
  <c r="K23" s="1"/>
  <c r="W23"/>
  <c r="AI23"/>
  <c r="AS23" s="1"/>
  <c r="E26"/>
  <c r="BM26"/>
  <c r="M26" s="1"/>
  <c r="K26" s="1"/>
  <c r="W26"/>
  <c r="AI26"/>
  <c r="AS26" s="1"/>
  <c r="E76"/>
  <c r="BM76"/>
  <c r="K76"/>
  <c r="AY76" s="1"/>
  <c r="W76"/>
  <c r="AI76"/>
  <c r="AS76" s="1"/>
  <c r="E245"/>
  <c r="AY245" s="1"/>
  <c r="BM245"/>
  <c r="K245"/>
  <c r="W245"/>
  <c r="AI245"/>
  <c r="AS245" s="1"/>
  <c r="E108"/>
  <c r="BM108"/>
  <c r="K108"/>
  <c r="AY108" s="1"/>
  <c r="W108"/>
  <c r="AI108"/>
  <c r="AS108" s="1"/>
  <c r="E41"/>
  <c r="BM41"/>
  <c r="K41"/>
  <c r="AY41" s="1"/>
  <c r="W41"/>
  <c r="AI41"/>
  <c r="AS41" s="1"/>
  <c r="E32"/>
  <c r="M32"/>
  <c r="K32" s="1"/>
  <c r="W32"/>
  <c r="AS32"/>
  <c r="E49"/>
  <c r="BM49"/>
  <c r="K49"/>
  <c r="AY49" s="1"/>
  <c r="W49"/>
  <c r="AI49"/>
  <c r="AS49" s="1"/>
  <c r="E51"/>
  <c r="BM51"/>
  <c r="K51"/>
  <c r="AY51" s="1"/>
  <c r="W51"/>
  <c r="AI51"/>
  <c r="AS51" s="1"/>
  <c r="E63"/>
  <c r="BM63"/>
  <c r="K63"/>
  <c r="W63"/>
  <c r="AI63"/>
  <c r="AS63" s="1"/>
  <c r="E81"/>
  <c r="BM81"/>
  <c r="K81"/>
  <c r="W81"/>
  <c r="AI81"/>
  <c r="AS81" s="1"/>
  <c r="E95"/>
  <c r="BM95"/>
  <c r="K95"/>
  <c r="W95"/>
  <c r="AI95"/>
  <c r="AS95" s="1"/>
  <c r="E118"/>
  <c r="BM118"/>
  <c r="W118"/>
  <c r="AS118"/>
  <c r="E139"/>
  <c r="BM139"/>
  <c r="W139"/>
  <c r="AI139"/>
  <c r="AS139" s="1"/>
  <c r="E141"/>
  <c r="BM141"/>
  <c r="W141"/>
  <c r="AI141"/>
  <c r="AS141" s="1"/>
  <c r="E244"/>
  <c r="BM244"/>
  <c r="K244"/>
  <c r="W244"/>
  <c r="AS244"/>
  <c r="E80"/>
  <c r="BM80"/>
  <c r="K80"/>
  <c r="AY80" s="1"/>
  <c r="W80"/>
  <c r="AI80"/>
  <c r="AS80" s="1"/>
  <c r="E99"/>
  <c r="BM99"/>
  <c r="K99"/>
  <c r="W99"/>
  <c r="AI99"/>
  <c r="AS99" s="1"/>
  <c r="E114"/>
  <c r="BM114"/>
  <c r="W114"/>
  <c r="AI114"/>
  <c r="AS114" s="1"/>
  <c r="E28"/>
  <c r="M28"/>
  <c r="K28" s="1"/>
  <c r="W28"/>
  <c r="AI28"/>
  <c r="E106"/>
  <c r="BM106"/>
  <c r="K106"/>
  <c r="W106"/>
  <c r="AI106"/>
  <c r="AS106" s="1"/>
  <c r="E142"/>
  <c r="W142"/>
  <c r="AI142"/>
  <c r="AS142" s="1"/>
  <c r="E71"/>
  <c r="BM71"/>
  <c r="K71"/>
  <c r="W71"/>
  <c r="AI71"/>
  <c r="AS71" s="1"/>
  <c r="E132"/>
  <c r="BM132"/>
  <c r="W132"/>
  <c r="AI132"/>
  <c r="AS132" s="1"/>
  <c r="E133"/>
  <c r="BM133"/>
  <c r="W133"/>
  <c r="AI133"/>
  <c r="AS133" s="1"/>
  <c r="E105"/>
  <c r="BM105"/>
  <c r="K105"/>
  <c r="W105"/>
  <c r="AI105"/>
  <c r="AS105" s="1"/>
  <c r="E96"/>
  <c r="BM96"/>
  <c r="K96"/>
  <c r="W96"/>
  <c r="AI96"/>
  <c r="AS96" s="1"/>
  <c r="E27"/>
  <c r="BM27"/>
  <c r="M27" s="1"/>
  <c r="K27" s="1"/>
  <c r="W27"/>
  <c r="AI27"/>
  <c r="AS27" s="1"/>
  <c r="E18"/>
  <c r="BM18"/>
  <c r="M18" s="1"/>
  <c r="K18" s="1"/>
  <c r="W18"/>
  <c r="AI18"/>
  <c r="E19"/>
  <c r="BM19"/>
  <c r="M19" s="1"/>
  <c r="K19" s="1"/>
  <c r="W19"/>
  <c r="AI19"/>
  <c r="AS19" s="1"/>
  <c r="E73"/>
  <c r="BM73"/>
  <c r="K73"/>
  <c r="AI73"/>
  <c r="AS73" s="1"/>
  <c r="E116"/>
  <c r="BM116"/>
  <c r="W116"/>
  <c r="AI116"/>
  <c r="AS116" s="1"/>
  <c r="E129"/>
  <c r="BM129"/>
  <c r="W129"/>
  <c r="AI129"/>
  <c r="AS129" s="1"/>
  <c r="E115"/>
  <c r="BM115"/>
  <c r="W115"/>
  <c r="AI115"/>
  <c r="AS115" s="1"/>
  <c r="E43"/>
  <c r="BM43"/>
  <c r="K43"/>
  <c r="W43"/>
  <c r="AI43"/>
  <c r="AS43" s="1"/>
  <c r="E246"/>
  <c r="BM246"/>
  <c r="K246"/>
  <c r="W246"/>
  <c r="AI246"/>
  <c r="AS246" s="1"/>
  <c r="AY246"/>
  <c r="E124"/>
  <c r="BM124"/>
  <c r="W124"/>
  <c r="AI124"/>
  <c r="AS124"/>
  <c r="E38"/>
  <c r="BM38"/>
  <c r="M38"/>
  <c r="K38" s="1"/>
  <c r="AY38" s="1"/>
  <c r="W38"/>
  <c r="AI38"/>
  <c r="AS38" s="1"/>
  <c r="E131"/>
  <c r="BM131"/>
  <c r="W131"/>
  <c r="AI131"/>
  <c r="AS131" s="1"/>
  <c r="E100"/>
  <c r="BM100"/>
  <c r="K100"/>
  <c r="W100"/>
  <c r="AI100"/>
  <c r="AS100" s="1"/>
  <c r="E102"/>
  <c r="BM102"/>
  <c r="K102"/>
  <c r="W102"/>
  <c r="AI102"/>
  <c r="AS102" s="1"/>
  <c r="E47"/>
  <c r="BM47"/>
  <c r="K47"/>
  <c r="W47"/>
  <c r="AI47"/>
  <c r="AS47" s="1"/>
  <c r="E52"/>
  <c r="BM52"/>
  <c r="K52"/>
  <c r="W52"/>
  <c r="AS52"/>
  <c r="E62"/>
  <c r="BM62"/>
  <c r="K62"/>
  <c r="W62"/>
  <c r="AI62"/>
  <c r="AS62" s="1"/>
  <c r="E74"/>
  <c r="BM74"/>
  <c r="K74"/>
  <c r="W74"/>
  <c r="AI74"/>
  <c r="AS74" s="1"/>
  <c r="E101"/>
  <c r="BM101"/>
  <c r="K101"/>
  <c r="W101"/>
  <c r="AI101"/>
  <c r="AS101" s="1"/>
  <c r="E109"/>
  <c r="BM109"/>
  <c r="K109"/>
  <c r="W109"/>
  <c r="AI109"/>
  <c r="E134"/>
  <c r="BM134"/>
  <c r="W134"/>
  <c r="AI134"/>
  <c r="AS134" s="1"/>
  <c r="E140"/>
  <c r="BM140"/>
  <c r="W140"/>
  <c r="AI140"/>
  <c r="AS140" s="1"/>
  <c r="E247"/>
  <c r="BM247"/>
  <c r="K247"/>
  <c r="W247"/>
  <c r="AI247"/>
  <c r="AS247" s="1"/>
  <c r="E17"/>
  <c r="BM17"/>
  <c r="M17" s="1"/>
  <c r="K17" s="1"/>
  <c r="W17"/>
  <c r="AI17"/>
  <c r="AS17" s="1"/>
  <c r="E107"/>
  <c r="BM107"/>
  <c r="K107"/>
  <c r="W107"/>
  <c r="AS107"/>
  <c r="E72"/>
  <c r="BM72"/>
  <c r="K72"/>
  <c r="W72"/>
  <c r="AI72"/>
  <c r="AS72" s="1"/>
  <c r="E121"/>
  <c r="BM121"/>
  <c r="W121"/>
  <c r="AI121"/>
  <c r="AS121" s="1"/>
  <c r="E112"/>
  <c r="BM112"/>
  <c r="AY112"/>
  <c r="W112"/>
  <c r="AI112"/>
  <c r="AS112" s="1"/>
  <c r="E50"/>
  <c r="BM50"/>
  <c r="K50"/>
  <c r="W50"/>
  <c r="AI50"/>
  <c r="AS50" s="1"/>
  <c r="E84"/>
  <c r="BM84"/>
  <c r="K84"/>
  <c r="W84"/>
  <c r="AI84"/>
  <c r="AS84" s="1"/>
  <c r="E82"/>
  <c r="BM82"/>
  <c r="K82"/>
  <c r="W82"/>
  <c r="AI82"/>
  <c r="AS82" s="1"/>
  <c r="E12"/>
  <c r="BM12"/>
  <c r="M12" s="1"/>
  <c r="K12" s="1"/>
  <c r="W12"/>
  <c r="E42"/>
  <c r="BM42"/>
  <c r="K42"/>
  <c r="AY42" s="1"/>
  <c r="W42"/>
  <c r="AI42"/>
  <c r="AS42" s="1"/>
  <c r="E44"/>
  <c r="BM44"/>
  <c r="K44"/>
  <c r="W44"/>
  <c r="AI44"/>
  <c r="AS44" s="1"/>
  <c r="E117"/>
  <c r="BM117"/>
  <c r="W117"/>
  <c r="AI117"/>
  <c r="AS117" s="1"/>
  <c r="E128"/>
  <c r="BM128"/>
  <c r="W128"/>
  <c r="AI128"/>
  <c r="AS128" s="1"/>
  <c r="E11"/>
  <c r="BM11"/>
  <c r="M11" s="1"/>
  <c r="K11" s="1"/>
  <c r="W11"/>
  <c r="AI11"/>
  <c r="AS11" s="1"/>
  <c r="E20"/>
  <c r="BM20"/>
  <c r="M20" s="1"/>
  <c r="K20" s="1"/>
  <c r="W20"/>
  <c r="AI20"/>
  <c r="AS20" s="1"/>
  <c r="E78"/>
  <c r="BM78"/>
  <c r="K78"/>
  <c r="W78"/>
  <c r="AI78"/>
  <c r="AS78" s="1"/>
  <c r="E91"/>
  <c r="BM91"/>
  <c r="K91"/>
  <c r="W91"/>
  <c r="AI91"/>
  <c r="AS91" s="1"/>
  <c r="E120"/>
  <c r="BM120"/>
  <c r="W120"/>
  <c r="AI120"/>
  <c r="AS120" s="1"/>
  <c r="E143"/>
  <c r="BM143"/>
  <c r="AY143"/>
  <c r="W143"/>
  <c r="AI143"/>
  <c r="AS143" s="1"/>
  <c r="E89"/>
  <c r="BM89"/>
  <c r="K89"/>
  <c r="W89"/>
  <c r="AI89"/>
  <c r="AS89" s="1"/>
  <c r="E126"/>
  <c r="BM126"/>
  <c r="W126"/>
  <c r="AI126"/>
  <c r="AS126" s="1"/>
  <c r="E83"/>
  <c r="BM83"/>
  <c r="K83"/>
  <c r="W83"/>
  <c r="AI83"/>
  <c r="AS83" s="1"/>
  <c r="E127"/>
  <c r="BM127"/>
  <c r="W127"/>
  <c r="AI127"/>
  <c r="AS127" s="1"/>
  <c r="E29"/>
  <c r="BM29"/>
  <c r="M29" s="1"/>
  <c r="K29" s="1"/>
  <c r="W29"/>
  <c r="AI29"/>
  <c r="AS29" s="1"/>
  <c r="E123"/>
  <c r="BM123"/>
  <c r="W123"/>
  <c r="AI123"/>
  <c r="AS123" s="1"/>
  <c r="E242"/>
  <c r="AY242" s="1"/>
  <c r="BM242"/>
  <c r="K242"/>
  <c r="W242"/>
  <c r="AI242"/>
  <c r="AS242" s="1"/>
  <c r="E10" i="14"/>
  <c r="K10"/>
  <c r="W10"/>
  <c r="AI10"/>
  <c r="AS10" s="1"/>
  <c r="BM10"/>
  <c r="BM11"/>
  <c r="W11"/>
  <c r="AI11"/>
  <c r="AS11" s="1"/>
  <c r="BM12"/>
  <c r="K12"/>
  <c r="AY12" s="1"/>
  <c r="W12"/>
  <c r="AI12"/>
  <c r="AS12" s="1"/>
  <c r="K13"/>
  <c r="W13"/>
  <c r="AI13"/>
  <c r="AS13" s="1"/>
  <c r="BM13"/>
  <c r="W14"/>
  <c r="AI14"/>
  <c r="AS14" s="1"/>
  <c r="BM14"/>
  <c r="W15"/>
  <c r="AI15"/>
  <c r="AS15" s="1"/>
  <c r="BM15"/>
  <c r="W16"/>
  <c r="AI16"/>
  <c r="AS16" s="1"/>
  <c r="BM16"/>
  <c r="W17"/>
  <c r="AI17"/>
  <c r="AS17" s="1"/>
  <c r="BM17"/>
  <c r="BM18"/>
  <c r="AY18"/>
  <c r="W18"/>
  <c r="AI18"/>
  <c r="AS18" s="1"/>
  <c r="W19"/>
  <c r="AI19"/>
  <c r="AS19" s="1"/>
  <c r="W20"/>
  <c r="AI20"/>
  <c r="AS20" s="1"/>
  <c r="BM20"/>
  <c r="BM21"/>
  <c r="K21"/>
  <c r="AY21" s="1"/>
  <c r="W21"/>
  <c r="AI21"/>
  <c r="AS21" s="1"/>
  <c r="BM22"/>
  <c r="K22"/>
  <c r="W22"/>
  <c r="AI22"/>
  <c r="AS22" s="1"/>
  <c r="K54"/>
  <c r="W54"/>
  <c r="AI54"/>
  <c r="AS54" s="1"/>
  <c r="BM54"/>
  <c r="K55"/>
  <c r="AI55"/>
  <c r="AS55" s="1"/>
  <c r="BM55"/>
  <c r="K65"/>
  <c r="AY65" s="1"/>
  <c r="W65"/>
  <c r="AI65"/>
  <c r="AS65" s="1"/>
  <c r="BM65"/>
  <c r="K71"/>
  <c r="AY71" s="1"/>
  <c r="W71"/>
  <c r="AI71"/>
  <c r="AS71" s="1"/>
  <c r="BM71"/>
  <c r="AY80"/>
  <c r="W80"/>
  <c r="AI80"/>
  <c r="AS80" s="1"/>
  <c r="BM80"/>
  <c r="BM81"/>
  <c r="K81"/>
  <c r="W81"/>
  <c r="AI81"/>
  <c r="AS81" s="1"/>
  <c r="K83"/>
  <c r="W83"/>
  <c r="AI83"/>
  <c r="AS83" s="1"/>
  <c r="BM83"/>
  <c r="K84"/>
  <c r="W84"/>
  <c r="AI84"/>
  <c r="AS84" s="1"/>
  <c r="BM84"/>
  <c r="K85"/>
  <c r="W85"/>
  <c r="AI85"/>
  <c r="AS85" s="1"/>
  <c r="BM85"/>
  <c r="AY89"/>
  <c r="W89"/>
  <c r="AI89"/>
  <c r="AS89" s="1"/>
  <c r="BM89"/>
  <c r="K91"/>
  <c r="W91"/>
  <c r="AI91"/>
  <c r="AS91" s="1"/>
  <c r="BM91"/>
  <c r="BM92"/>
  <c r="BM93"/>
  <c r="BM94"/>
  <c r="BM95"/>
  <c r="BM96"/>
  <c r="BM97"/>
  <c r="BM98"/>
  <c r="BM99"/>
  <c r="BM100"/>
  <c r="BM101"/>
  <c r="BM102"/>
  <c r="BM103"/>
  <c r="BM104"/>
  <c r="BM105"/>
  <c r="BM107"/>
  <c r="BM108"/>
  <c r="BM109"/>
  <c r="BM110"/>
  <c r="BM111"/>
  <c r="BM112"/>
  <c r="BM114"/>
  <c r="BM115"/>
  <c r="BM116"/>
  <c r="BM117"/>
  <c r="BM118"/>
  <c r="BM119"/>
  <c r="BM120"/>
  <c r="BM121"/>
  <c r="BM122"/>
  <c r="BM123"/>
  <c r="BM124"/>
  <c r="BM125"/>
  <c r="BM126"/>
  <c r="BM127"/>
  <c r="BM128"/>
  <c r="BM129"/>
  <c r="BM130"/>
  <c r="BM131"/>
  <c r="BM132"/>
  <c r="BM133"/>
  <c r="BM134"/>
  <c r="BM135"/>
  <c r="BM136"/>
  <c r="BM137"/>
  <c r="BM138"/>
  <c r="BM139"/>
  <c r="BM140"/>
  <c r="BM141"/>
  <c r="BM142"/>
  <c r="BM211"/>
  <c r="BM212"/>
  <c r="BM213"/>
  <c r="BM214"/>
  <c r="BM215"/>
  <c r="BM216"/>
  <c r="BM217"/>
  <c r="BM218"/>
  <c r="BM220"/>
  <c r="BM222"/>
  <c r="BM224"/>
  <c r="BM225"/>
  <c r="BM226"/>
  <c r="BM229"/>
  <c r="BM230"/>
  <c r="BM231"/>
  <c r="BM232"/>
  <c r="BM233"/>
  <c r="BM234"/>
  <c r="BM236"/>
  <c r="BM237"/>
  <c r="BM238"/>
  <c r="BM239"/>
  <c r="BM240"/>
  <c r="BM241"/>
  <c r="BM242"/>
  <c r="BM243"/>
  <c r="BM244"/>
  <c r="BM245"/>
  <c r="BM246"/>
  <c r="BM247"/>
  <c r="BM248"/>
  <c r="BM249"/>
  <c r="BM250"/>
  <c r="W12" i="6"/>
  <c r="BN12"/>
  <c r="W13"/>
  <c r="W14"/>
  <c r="W15"/>
  <c r="BN15"/>
  <c r="W16"/>
  <c r="W17"/>
  <c r="BN17"/>
  <c r="W18"/>
  <c r="BN18"/>
  <c r="W19"/>
  <c r="BN19"/>
  <c r="W20"/>
  <c r="W21"/>
  <c r="BN21"/>
  <c r="W22"/>
  <c r="BN22"/>
  <c r="W23"/>
  <c r="W24"/>
  <c r="W25"/>
  <c r="BN25"/>
  <c r="W26"/>
  <c r="W67"/>
  <c r="W73"/>
  <c r="W76"/>
  <c r="W82"/>
  <c r="W83"/>
  <c r="W84"/>
  <c r="W86"/>
  <c r="W87"/>
  <c r="W91"/>
  <c r="W93"/>
  <c r="W94"/>
  <c r="W95"/>
  <c r="W96"/>
  <c r="W97"/>
  <c r="BN112"/>
  <c r="BN124"/>
  <c r="AH10" i="5"/>
  <c r="S10" i="3"/>
  <c r="AH11" i="5"/>
  <c r="S11" i="3"/>
  <c r="AH12" i="5"/>
  <c r="S12" i="3"/>
  <c r="AH13" i="5"/>
  <c r="S13" i="3"/>
  <c r="AH14" i="5"/>
  <c r="S14" i="3"/>
  <c r="AH15" i="5"/>
  <c r="S15" i="3"/>
  <c r="AH16" i="5"/>
  <c r="S16" i="3"/>
  <c r="AH17" i="5"/>
  <c r="S17" i="3"/>
  <c r="U17" s="1"/>
  <c r="AH18" i="5"/>
  <c r="S18" i="3"/>
  <c r="AH19" i="5"/>
  <c r="AR19" s="1"/>
  <c r="AH20"/>
  <c r="S20" i="3"/>
  <c r="AH21" i="5"/>
  <c r="S21" i="3"/>
  <c r="AH22" i="5"/>
  <c r="S22" i="3"/>
  <c r="AH23" i="5"/>
  <c r="S23" i="3"/>
  <c r="AR25" i="5"/>
  <c r="U97" i="3"/>
  <c r="U100"/>
  <c r="U104"/>
  <c r="U106"/>
  <c r="U109"/>
  <c r="AR109" i="5"/>
  <c r="U111" i="3"/>
  <c r="U113"/>
  <c r="AR117" i="5"/>
  <c r="AR119"/>
  <c r="U121" i="3"/>
  <c r="AR121" i="5"/>
  <c r="U123" i="3"/>
  <c r="AH131" i="5"/>
  <c r="S131" i="3"/>
  <c r="AR132" i="5"/>
  <c r="U135" i="3"/>
  <c r="AR137" i="5"/>
  <c r="U141" i="3"/>
  <c r="U143"/>
  <c r="U161"/>
  <c r="AC10" i="2"/>
  <c r="S10" i="7"/>
  <c r="S12"/>
  <c r="AM12" i="2" s="1"/>
  <c r="AC13"/>
  <c r="S13" i="7"/>
  <c r="AC14" i="2"/>
  <c r="S14" i="7"/>
  <c r="AC15" i="2"/>
  <c r="S15" i="7"/>
  <c r="V15" s="1"/>
  <c r="AC16" i="2"/>
  <c r="S16" i="7"/>
  <c r="AC17" i="2"/>
  <c r="S17" i="7"/>
  <c r="AC18" i="2"/>
  <c r="S18" i="7"/>
  <c r="AC19" i="2"/>
  <c r="S19" i="7"/>
  <c r="AC20" i="2"/>
  <c r="S20" i="7"/>
  <c r="U20" s="1"/>
  <c r="AC21" i="2"/>
  <c r="S21" i="7"/>
  <c r="AC22" i="2"/>
  <c r="S22" i="7"/>
  <c r="AC23" i="2"/>
  <c r="S23" i="7"/>
  <c r="V23" s="1"/>
  <c r="U64"/>
  <c r="S72"/>
  <c r="S81"/>
  <c r="S86"/>
  <c r="S89"/>
  <c r="U89" s="1"/>
  <c r="S92"/>
  <c r="V92" s="1"/>
  <c r="S93"/>
  <c r="AM93" i="2" s="1"/>
  <c r="S94" i="7"/>
  <c r="V94" s="1"/>
  <c r="S95"/>
  <c r="V95" s="1"/>
  <c r="S96"/>
  <c r="S97"/>
  <c r="S98"/>
  <c r="S99"/>
  <c r="S100"/>
  <c r="S101"/>
  <c r="S102"/>
  <c r="S103"/>
  <c r="S104"/>
  <c r="V104" s="1"/>
  <c r="S105"/>
  <c r="S106"/>
  <c r="U106" s="1"/>
  <c r="S108"/>
  <c r="U108" s="1"/>
  <c r="S109"/>
  <c r="U109" s="1"/>
  <c r="S110"/>
  <c r="V110" s="1"/>
  <c r="S111"/>
  <c r="S112"/>
  <c r="V112" s="1"/>
  <c r="S113"/>
  <c r="U113" s="1"/>
  <c r="S114"/>
  <c r="U114" s="1"/>
  <c r="S116"/>
  <c r="U116" s="1"/>
  <c r="AM116" i="2"/>
  <c r="S119" i="7"/>
  <c r="S120"/>
  <c r="S121"/>
  <c r="AM120" i="2" s="1"/>
  <c r="S122" i="7"/>
  <c r="AM121" i="2" s="1"/>
  <c r="S123" i="7"/>
  <c r="U123" s="1"/>
  <c r="S125"/>
  <c r="S126"/>
  <c r="S128"/>
  <c r="U128" s="1"/>
  <c r="S129"/>
  <c r="V129" s="1"/>
  <c r="S130"/>
  <c r="V130" s="1"/>
  <c r="S131"/>
  <c r="V131" s="1"/>
  <c r="S132"/>
  <c r="V132" s="1"/>
  <c r="S133"/>
  <c r="V133" s="1"/>
  <c r="S134"/>
  <c r="U134" s="1"/>
  <c r="S135"/>
  <c r="V135" s="1"/>
  <c r="S136"/>
  <c r="V136" s="1"/>
  <c r="S137"/>
  <c r="U137" s="1"/>
  <c r="S138"/>
  <c r="U138" s="1"/>
  <c r="S139"/>
  <c r="U139" s="1"/>
  <c r="S140"/>
  <c r="V140" s="1"/>
  <c r="S141"/>
  <c r="S142"/>
  <c r="AM142" i="2" s="1"/>
  <c r="S143" i="7"/>
  <c r="V143" s="1"/>
  <c r="S144"/>
  <c r="U144" s="1"/>
  <c r="S250"/>
  <c r="S251"/>
  <c r="S252"/>
  <c r="S253"/>
  <c r="S254"/>
  <c r="U254" s="1"/>
  <c r="S255"/>
  <c r="AM254" i="2" s="1"/>
  <c r="S256" i="7"/>
  <c r="S10" i="4"/>
  <c r="S11"/>
  <c r="S13"/>
  <c r="S15"/>
  <c r="S16"/>
  <c r="S17"/>
  <c r="S18"/>
  <c r="S19"/>
  <c r="S20"/>
  <c r="S21"/>
  <c r="S22"/>
  <c r="S23"/>
  <c r="S131"/>
  <c r="S12" i="1"/>
  <c r="S13"/>
  <c r="S14"/>
  <c r="S15"/>
  <c r="S16"/>
  <c r="S17"/>
  <c r="S18"/>
  <c r="S19"/>
  <c r="S20"/>
  <c r="S21"/>
  <c r="S22"/>
  <c r="S23"/>
  <c r="S131"/>
  <c r="U11" i="3"/>
  <c r="U12"/>
  <c r="U13"/>
  <c r="U14"/>
  <c r="U15"/>
  <c r="U16"/>
  <c r="U18"/>
  <c r="U19"/>
  <c r="U20"/>
  <c r="U21"/>
  <c r="U22"/>
  <c r="U23"/>
  <c r="U24"/>
  <c r="U25"/>
  <c r="U26"/>
  <c r="U27"/>
  <c r="U30"/>
  <c r="U42"/>
  <c r="U43"/>
  <c r="U46"/>
  <c r="U64"/>
  <c r="U66"/>
  <c r="U72"/>
  <c r="U81"/>
  <c r="U86"/>
  <c r="U89"/>
  <c r="U93"/>
  <c r="U94"/>
  <c r="U95"/>
  <c r="U96"/>
  <c r="U98"/>
  <c r="U101"/>
  <c r="U102"/>
  <c r="U103"/>
  <c r="U105"/>
  <c r="U108"/>
  <c r="U110"/>
  <c r="U112"/>
  <c r="U114"/>
  <c r="U117"/>
  <c r="U119"/>
  <c r="U120"/>
  <c r="U122"/>
  <c r="U126"/>
  <c r="U129"/>
  <c r="U131"/>
  <c r="U132"/>
  <c r="U134"/>
  <c r="U136"/>
  <c r="U137"/>
  <c r="U140"/>
  <c r="U142"/>
  <c r="U144"/>
  <c r="U146"/>
  <c r="U148"/>
  <c r="U149"/>
  <c r="U150"/>
  <c r="U152"/>
  <c r="U153"/>
  <c r="U155"/>
  <c r="U156"/>
  <c r="U157"/>
  <c r="U159"/>
  <c r="U162"/>
  <c r="U164"/>
  <c r="U166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6"/>
  <c r="U207"/>
  <c r="U208"/>
  <c r="U210"/>
  <c r="U212"/>
  <c r="U213"/>
  <c r="U214"/>
  <c r="U215"/>
  <c r="U216"/>
  <c r="U217"/>
  <c r="U219"/>
  <c r="U221"/>
  <c r="U222"/>
  <c r="U224"/>
  <c r="U225"/>
  <c r="U227"/>
  <c r="U230"/>
  <c r="U231"/>
  <c r="U232"/>
  <c r="U234"/>
  <c r="U235"/>
  <c r="U238"/>
  <c r="U239"/>
  <c r="U241"/>
  <c r="U242"/>
  <c r="U243"/>
  <c r="U244"/>
  <c r="U245"/>
  <c r="U246"/>
  <c r="U247"/>
  <c r="U248"/>
  <c r="U249"/>
  <c r="U250"/>
  <c r="U251"/>
  <c r="U252"/>
  <c r="U253"/>
  <c r="U255"/>
  <c r="U10" i="7"/>
  <c r="V10"/>
  <c r="V11"/>
  <c r="U12"/>
  <c r="V12"/>
  <c r="U13"/>
  <c r="V13"/>
  <c r="U14"/>
  <c r="V14"/>
  <c r="U15"/>
  <c r="U16"/>
  <c r="V16"/>
  <c r="U17"/>
  <c r="V17"/>
  <c r="U18"/>
  <c r="V18"/>
  <c r="U19"/>
  <c r="V19"/>
  <c r="V20"/>
  <c r="U21"/>
  <c r="V21"/>
  <c r="U22"/>
  <c r="V22"/>
  <c r="U23"/>
  <c r="U24"/>
  <c r="V24"/>
  <c r="U25"/>
  <c r="U26"/>
  <c r="V26"/>
  <c r="U27"/>
  <c r="V27"/>
  <c r="U30"/>
  <c r="V30"/>
  <c r="U42"/>
  <c r="V42"/>
  <c r="U43"/>
  <c r="V43"/>
  <c r="U46"/>
  <c r="V46"/>
  <c r="V64"/>
  <c r="U66"/>
  <c r="V66"/>
  <c r="U72"/>
  <c r="V72"/>
  <c r="U81"/>
  <c r="V81"/>
  <c r="U86"/>
  <c r="V86"/>
  <c r="U92"/>
  <c r="V93"/>
  <c r="U94"/>
  <c r="U95"/>
  <c r="U96"/>
  <c r="V96"/>
  <c r="U97"/>
  <c r="V97"/>
  <c r="U98"/>
  <c r="V98"/>
  <c r="V99"/>
  <c r="U100"/>
  <c r="V100"/>
  <c r="U101"/>
  <c r="U102"/>
  <c r="V102"/>
  <c r="U103"/>
  <c r="V103"/>
  <c r="U104"/>
  <c r="U105"/>
  <c r="V105"/>
  <c r="V106"/>
  <c r="V108"/>
  <c r="U110"/>
  <c r="U111"/>
  <c r="U112"/>
  <c r="V113"/>
  <c r="V114"/>
  <c r="V116"/>
  <c r="U117"/>
  <c r="V117"/>
  <c r="V118"/>
  <c r="V119"/>
  <c r="U120"/>
  <c r="V120"/>
  <c r="V121"/>
  <c r="U122"/>
  <c r="V122"/>
  <c r="V123"/>
  <c r="U125"/>
  <c r="V125"/>
  <c r="V126"/>
  <c r="U129"/>
  <c r="U130"/>
  <c r="U131"/>
  <c r="U132"/>
  <c r="V134"/>
  <c r="U136"/>
  <c r="V137"/>
  <c r="V138"/>
  <c r="V139"/>
  <c r="U141"/>
  <c r="V141"/>
  <c r="U142"/>
  <c r="U143"/>
  <c r="V144"/>
  <c r="U216"/>
  <c r="V216"/>
  <c r="U217"/>
  <c r="V217"/>
  <c r="U218"/>
  <c r="V218"/>
  <c r="U219"/>
  <c r="V219"/>
  <c r="U220"/>
  <c r="V220"/>
  <c r="U221"/>
  <c r="V221"/>
  <c r="V222"/>
  <c r="U223"/>
  <c r="V223"/>
  <c r="U224"/>
  <c r="U225"/>
  <c r="V225"/>
  <c r="U226"/>
  <c r="U227"/>
  <c r="U228"/>
  <c r="U229"/>
  <c r="U230"/>
  <c r="V230"/>
  <c r="U231"/>
  <c r="V231"/>
  <c r="U232"/>
  <c r="V232"/>
  <c r="U233"/>
  <c r="V233"/>
  <c r="U234"/>
  <c r="V234"/>
  <c r="U235"/>
  <c r="V235"/>
  <c r="V236"/>
  <c r="V237"/>
  <c r="V238"/>
  <c r="U239"/>
  <c r="V239"/>
  <c r="U242"/>
  <c r="V242"/>
  <c r="V243"/>
  <c r="U244"/>
  <c r="V244"/>
  <c r="U245"/>
  <c r="U246"/>
  <c r="U247"/>
  <c r="U248"/>
  <c r="V248"/>
  <c r="V249"/>
  <c r="U250"/>
  <c r="V250"/>
  <c r="U251"/>
  <c r="V251"/>
  <c r="U252"/>
  <c r="V252"/>
  <c r="U253"/>
  <c r="V254"/>
  <c r="V255"/>
  <c r="U256"/>
  <c r="V256"/>
  <c r="W10" i="8"/>
  <c r="AC10" i="9"/>
  <c r="AC11"/>
  <c r="AC12"/>
  <c r="AC13"/>
  <c r="AC14"/>
  <c r="AC15"/>
  <c r="AC16"/>
  <c r="AC17"/>
  <c r="W18" i="8"/>
  <c r="AA18"/>
  <c r="AC18" i="9"/>
  <c r="W19" i="8"/>
  <c r="AA19"/>
  <c r="AC19" i="9"/>
  <c r="W20" i="8"/>
  <c r="AA20"/>
  <c r="AC20" i="9"/>
  <c r="W21" i="8"/>
  <c r="AA21"/>
  <c r="AC21" i="9"/>
  <c r="W22" i="8"/>
  <c r="AC22" i="9"/>
  <c r="W23" i="8"/>
  <c r="AC23" i="9"/>
  <c r="AC81"/>
  <c r="AC86"/>
  <c r="AC89"/>
  <c r="AC89" i="8" s="1"/>
  <c r="AC92" i="9"/>
  <c r="AC93"/>
  <c r="AC94"/>
  <c r="AC95"/>
  <c r="AC96"/>
  <c r="AC97"/>
  <c r="AC98"/>
  <c r="AC99"/>
  <c r="AC100"/>
  <c r="AC101"/>
  <c r="AC102"/>
  <c r="AC103"/>
  <c r="AC104"/>
  <c r="AC106"/>
  <c r="AC107"/>
  <c r="AC108"/>
  <c r="AC109"/>
  <c r="AC111"/>
  <c r="AC112"/>
  <c r="AC113"/>
  <c r="AC115"/>
  <c r="AC116"/>
  <c r="AC117"/>
  <c r="AC118"/>
  <c r="AC119"/>
  <c r="AC120"/>
  <c r="AC121"/>
  <c r="AC122"/>
  <c r="AC123"/>
  <c r="AC124"/>
  <c r="AC125"/>
  <c r="AC127"/>
  <c r="AC128"/>
  <c r="AC129"/>
  <c r="W130" i="8"/>
  <c r="AC130" i="9"/>
  <c r="AC131"/>
  <c r="AC132"/>
  <c r="AC134"/>
  <c r="AC135"/>
  <c r="AC136"/>
  <c r="AC137"/>
  <c r="AC138"/>
  <c r="AC139"/>
  <c r="AC140"/>
  <c r="AC141"/>
  <c r="AC142"/>
  <c r="AC143"/>
  <c r="AC144"/>
  <c r="AC215"/>
  <c r="AC216"/>
  <c r="AC217"/>
  <c r="AC218"/>
  <c r="AC219"/>
  <c r="AC220"/>
  <c r="AC221"/>
  <c r="AC222"/>
  <c r="AC224"/>
  <c r="AC226"/>
  <c r="AC229"/>
  <c r="AC230"/>
  <c r="AC231"/>
  <c r="AC232"/>
  <c r="AC234"/>
  <c r="AC235"/>
  <c r="AC236"/>
  <c r="AC237"/>
  <c r="AC238"/>
  <c r="AC240"/>
  <c r="AC241"/>
  <c r="AC242"/>
  <c r="AC243"/>
  <c r="AC244"/>
  <c r="AC245"/>
  <c r="AC246"/>
  <c r="AC247"/>
  <c r="AC248"/>
  <c r="AC249"/>
  <c r="AC250"/>
  <c r="AC251"/>
  <c r="AC252"/>
  <c r="AC253"/>
  <c r="AC254"/>
  <c r="AA10"/>
  <c r="AA11"/>
  <c r="AA12"/>
  <c r="AA13"/>
  <c r="AA14"/>
  <c r="AA15"/>
  <c r="AA16"/>
  <c r="AA17"/>
  <c r="AA18"/>
  <c r="AA19"/>
  <c r="AA20"/>
  <c r="AA21"/>
  <c r="AA22"/>
  <c r="AA23"/>
  <c r="AA72"/>
  <c r="AA81"/>
  <c r="AA86"/>
  <c r="AA89"/>
  <c r="AA92"/>
  <c r="AA93"/>
  <c r="AA94"/>
  <c r="AA95"/>
  <c r="AA96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5"/>
  <c r="AA116"/>
  <c r="AA117"/>
  <c r="AA118"/>
  <c r="AA119"/>
  <c r="AA120"/>
  <c r="AA122"/>
  <c r="AA123"/>
  <c r="AA124"/>
  <c r="AA125"/>
  <c r="AA128"/>
  <c r="AA129"/>
  <c r="AA130"/>
  <c r="AA131"/>
  <c r="AA134"/>
  <c r="AA135"/>
  <c r="AA136"/>
  <c r="AA137"/>
  <c r="AA138"/>
  <c r="AA139"/>
  <c r="AA140"/>
  <c r="AA141"/>
  <c r="AA142"/>
  <c r="AA143"/>
  <c r="AA144"/>
  <c r="AA215"/>
  <c r="AA216"/>
  <c r="AA217"/>
  <c r="AA218"/>
  <c r="AA219"/>
  <c r="AA220"/>
  <c r="AA222"/>
  <c r="AA224"/>
  <c r="AA226"/>
  <c r="E10" i="10"/>
  <c r="M10"/>
  <c r="E11"/>
  <c r="M11"/>
  <c r="AB13"/>
  <c r="M14"/>
  <c r="M15"/>
  <c r="AB15"/>
  <c r="M16"/>
  <c r="M17"/>
  <c r="AB17"/>
  <c r="M18"/>
  <c r="M19"/>
  <c r="AB19"/>
  <c r="M20"/>
  <c r="M21"/>
  <c r="AB21"/>
  <c r="M22"/>
  <c r="M23"/>
  <c r="AB23"/>
  <c r="AB25"/>
  <c r="AB27"/>
  <c r="AB30"/>
  <c r="AB42"/>
  <c r="AB43"/>
  <c r="AB46"/>
  <c r="AB89"/>
  <c r="AB92"/>
  <c r="AB96"/>
  <c r="AB98"/>
  <c r="AB99"/>
  <c r="AB102"/>
  <c r="AB104"/>
  <c r="AB105"/>
  <c r="AB107"/>
  <c r="AB109"/>
  <c r="AB111"/>
  <c r="AB116"/>
  <c r="AB117"/>
  <c r="AB118"/>
  <c r="AB119"/>
  <c r="AB120"/>
  <c r="AB121"/>
  <c r="AB122"/>
  <c r="AB123"/>
  <c r="AB124"/>
  <c r="AB125"/>
  <c r="AB126"/>
  <c r="AB128"/>
  <c r="AB130"/>
  <c r="E131"/>
  <c r="M131"/>
  <c r="AB131"/>
  <c r="AB132"/>
  <c r="AB134"/>
  <c r="AB135"/>
  <c r="AB136"/>
  <c r="AB138"/>
  <c r="AB142"/>
  <c r="AB144"/>
  <c r="AB215"/>
  <c r="AB216"/>
  <c r="AB217"/>
  <c r="AB220"/>
  <c r="AB222"/>
  <c r="AB223"/>
  <c r="AB224"/>
  <c r="AB225"/>
  <c r="AB227"/>
  <c r="AB230"/>
  <c r="AB231"/>
  <c r="AB232"/>
  <c r="AB233"/>
  <c r="AB235"/>
  <c r="AB237"/>
  <c r="AB238"/>
  <c r="AB239"/>
  <c r="AB241"/>
  <c r="AB242"/>
  <c r="AB243"/>
  <c r="AB244"/>
  <c r="AB246"/>
  <c r="AB247"/>
  <c r="AB248"/>
  <c r="AB249"/>
  <c r="AB250"/>
  <c r="AB251"/>
  <c r="AB252"/>
  <c r="AB253"/>
  <c r="AB254"/>
  <c r="AB255"/>
  <c r="AB256"/>
  <c r="AB45"/>
  <c r="AB228"/>
  <c r="AR141" i="5"/>
  <c r="AR46"/>
  <c r="AR13"/>
  <c r="AR231"/>
  <c r="AR241"/>
  <c r="AR245"/>
  <c r="AR249"/>
  <c r="AR253"/>
  <c r="U223" i="3"/>
  <c r="U228"/>
  <c r="AM220" i="2"/>
  <c r="AB219" i="10"/>
  <c r="AR227" i="5"/>
  <c r="AM227" i="2"/>
  <c r="AR225" i="5"/>
  <c r="AM225" i="2"/>
  <c r="V226" i="7"/>
  <c r="AM230" i="2"/>
  <c r="AM228"/>
  <c r="V229" i="7"/>
  <c r="AR238" i="5"/>
  <c r="AM252" i="2"/>
  <c r="V253" i="7"/>
  <c r="AR250" i="5"/>
  <c r="AM249" i="2"/>
  <c r="AR247" i="5"/>
  <c r="AB229" i="10"/>
  <c r="AR244" i="5"/>
  <c r="AR243"/>
  <c r="AR242"/>
  <c r="AM241" i="2"/>
  <c r="AR240" i="5"/>
  <c r="AR235"/>
  <c r="AM236" i="2"/>
  <c r="U236" i="3"/>
  <c r="AR255" i="5"/>
  <c r="AR256"/>
  <c r="U256" i="3"/>
  <c r="U254"/>
  <c r="U255" i="7"/>
  <c r="AR246" i="5"/>
  <c r="AM245" i="2"/>
  <c r="AM253"/>
  <c r="AR232" i="5"/>
  <c r="U233" i="3"/>
  <c r="AM238" i="2"/>
  <c r="AR229" i="5"/>
  <c r="AR126"/>
  <c r="AM125" i="2"/>
  <c r="U126" i="7"/>
  <c r="U133" i="3"/>
  <c r="U130"/>
  <c r="V127" i="7"/>
  <c r="AM138" i="2"/>
  <c r="U138" i="3"/>
  <c r="AM136" i="2"/>
  <c r="U135" i="7"/>
  <c r="AM144" i="2"/>
  <c r="AR143" i="5"/>
  <c r="AM143" i="2"/>
  <c r="AR139" i="5"/>
  <c r="U139" i="3"/>
  <c r="AB240" i="10"/>
  <c r="AM101" i="2"/>
  <c r="V101" i="7"/>
  <c r="AB100" i="10"/>
  <c r="AR100" i="5"/>
  <c r="AM99" i="2"/>
  <c r="U99" i="3"/>
  <c r="U99" i="7"/>
  <c r="AM98" i="2"/>
  <c r="AC106" i="8"/>
  <c r="AR113" i="5"/>
  <c r="AM113" i="2"/>
  <c r="AR111" i="5"/>
  <c r="AR110"/>
  <c r="AM118" i="2"/>
  <c r="U119" i="7"/>
  <c r="U118"/>
  <c r="AY52" i="13"/>
  <c r="AY32"/>
  <c r="AY53"/>
  <c r="AY65"/>
  <c r="AY84" i="14"/>
  <c r="AY82"/>
  <c r="AY16"/>
  <c r="AY55"/>
  <c r="AY54"/>
  <c r="AY14"/>
  <c r="AZ77" i="6"/>
  <c r="AZ78"/>
  <c r="AZ79"/>
  <c r="AZ88"/>
  <c r="AZ68"/>
  <c r="AZ69"/>
  <c r="AZ72"/>
  <c r="AZ15"/>
  <c r="AZ17"/>
  <c r="AZ19"/>
  <c r="AZ21"/>
  <c r="AZ23"/>
  <c r="AZ25"/>
  <c r="AR142" i="5"/>
  <c r="AR136"/>
  <c r="AR131"/>
  <c r="AR120"/>
  <c r="AR104"/>
  <c r="AR97"/>
  <c r="AR96"/>
  <c r="AR66"/>
  <c r="AR43"/>
  <c r="AR42"/>
  <c r="AR27"/>
  <c r="AR26"/>
  <c r="AR24"/>
  <c r="AR114"/>
  <c r="AR239"/>
  <c r="AR248"/>
  <c r="AM255" i="2"/>
  <c r="AM102"/>
  <c r="AM100"/>
  <c r="AM97"/>
  <c r="AM89"/>
  <c r="AM86"/>
  <c r="AM46"/>
  <c r="AM43"/>
  <c r="AM229"/>
  <c r="AM240"/>
  <c r="U91" i="3"/>
  <c r="U56"/>
  <c r="U57"/>
  <c r="U59"/>
  <c r="U61"/>
  <c r="U49"/>
  <c r="U47"/>
  <c r="U48"/>
  <c r="U45"/>
  <c r="AR219" i="5"/>
  <c r="V91" i="7"/>
  <c r="U90"/>
  <c r="V90"/>
  <c r="V87"/>
  <c r="V88"/>
  <c r="U84"/>
  <c r="U79"/>
  <c r="V79"/>
  <c r="U78"/>
  <c r="U75"/>
  <c r="V75"/>
  <c r="U70"/>
  <c r="V73"/>
  <c r="U71"/>
  <c r="V71"/>
  <c r="U67"/>
  <c r="U69"/>
  <c r="U65"/>
  <c r="V65"/>
  <c r="U63"/>
  <c r="V63"/>
  <c r="U61"/>
  <c r="U62"/>
  <c r="U56"/>
  <c r="V56"/>
  <c r="U59"/>
  <c r="V59"/>
  <c r="U53"/>
  <c r="V52"/>
  <c r="U47"/>
  <c r="V44"/>
  <c r="U38"/>
  <c r="U39"/>
  <c r="U36"/>
  <c r="V36"/>
  <c r="U35"/>
  <c r="U33"/>
  <c r="U32"/>
  <c r="V32"/>
  <c r="U31"/>
  <c r="V31"/>
  <c r="V28"/>
  <c r="V29"/>
  <c r="AC26" i="8"/>
  <c r="AC84" i="9"/>
  <c r="AC85"/>
  <c r="AC83"/>
  <c r="AC80"/>
  <c r="AC75"/>
  <c r="AC76"/>
  <c r="AC77"/>
  <c r="AC69"/>
  <c r="AA66"/>
  <c r="AC67"/>
  <c r="AC101" i="8"/>
  <c r="AC98"/>
  <c r="AC102"/>
  <c r="AB141" i="10"/>
  <c r="AB139"/>
  <c r="AB137"/>
  <c r="AB133"/>
  <c r="AB129"/>
  <c r="AB112"/>
  <c r="AB108"/>
  <c r="AB101"/>
  <c r="AB97"/>
  <c r="AB95"/>
  <c r="AB93"/>
  <c r="AB86"/>
  <c r="AB72"/>
  <c r="AA110" i="8"/>
  <c r="AC110" s="1"/>
  <c r="AC65"/>
  <c r="AA218"/>
  <c r="AB79" i="10"/>
  <c r="AB32"/>
  <c r="AB34"/>
  <c r="AB40"/>
  <c r="AB226"/>
  <c r="AZ95" i="6"/>
  <c r="U93" i="7"/>
  <c r="AZ94" i="6"/>
  <c r="AB31" i="10"/>
  <c r="AB38"/>
  <c r="AC48" i="8"/>
  <c r="AB48" i="10"/>
  <c r="AB50"/>
  <c r="AB52"/>
  <c r="AC62" i="8"/>
  <c r="AA74"/>
  <c r="AB74" i="10"/>
  <c r="AA76" i="8"/>
  <c r="AB76" i="10"/>
  <c r="AB80"/>
  <c r="AA80" i="8"/>
  <c r="AB82" i="10"/>
  <c r="AA82" i="8"/>
  <c r="AA84"/>
  <c r="AB85" i="10"/>
  <c r="AA85" i="8"/>
  <c r="AB87" i="10"/>
  <c r="AA87" i="8"/>
  <c r="AA94"/>
  <c r="AC94" s="1"/>
  <c r="AB94" i="10"/>
  <c r="AA91" i="8"/>
  <c r="AB91" i="10"/>
  <c r="AB11"/>
  <c r="AB39"/>
  <c r="AB67"/>
  <c r="AB73"/>
  <c r="AA73" i="8"/>
  <c r="AB83" i="10"/>
  <c r="AA83" i="8"/>
  <c r="AC83" s="1"/>
  <c r="AA88"/>
  <c r="AB88" i="10"/>
  <c r="AB69"/>
  <c r="AB12"/>
  <c r="AR89" i="5"/>
  <c r="AC81" i="8"/>
  <c r="AR72" i="5"/>
  <c r="AM72" i="2"/>
  <c r="AR10" i="5"/>
  <c r="AR18"/>
  <c r="AR45"/>
  <c r="AR112"/>
  <c r="AR223"/>
  <c r="AR251"/>
  <c r="AM30" i="2"/>
  <c r="AM42"/>
  <c r="AM63"/>
  <c r="AM124"/>
  <c r="AM231"/>
  <c r="AM250"/>
  <c r="U10" i="3"/>
  <c r="AM45" i="2"/>
  <c r="AY17" i="13"/>
  <c r="AY244"/>
  <c r="AY118"/>
  <c r="AY130"/>
  <c r="AR118" i="5"/>
  <c r="AR115"/>
  <c r="AR99"/>
  <c r="AR98"/>
  <c r="AR95"/>
  <c r="AR94"/>
  <c r="AR63"/>
  <c r="AR30"/>
  <c r="AR252"/>
  <c r="AR254"/>
  <c r="AR133"/>
  <c r="AR103"/>
  <c r="AR86"/>
  <c r="AR15"/>
  <c r="AR12"/>
  <c r="AM141" i="2"/>
  <c r="AM131"/>
  <c r="AM110"/>
  <c r="AM95"/>
  <c r="AM94"/>
  <c r="AM92"/>
  <c r="AM81"/>
  <c r="AM65"/>
  <c r="AM27"/>
  <c r="AM19"/>
  <c r="AM235"/>
  <c r="AM246"/>
  <c r="AM247"/>
  <c r="U85" i="3"/>
  <c r="U87"/>
  <c r="AM140" i="2"/>
  <c r="AM112"/>
  <c r="AM137"/>
  <c r="AM111"/>
  <c r="AM107"/>
  <c r="AM108"/>
  <c r="AM106"/>
  <c r="AM139"/>
  <c r="AM133"/>
  <c r="AM134"/>
  <c r="V142" i="7"/>
  <c r="U140"/>
  <c r="U121"/>
  <c r="V111"/>
  <c r="V109"/>
  <c r="V33"/>
  <c r="V34"/>
  <c r="U34"/>
  <c r="V35"/>
  <c r="V62"/>
  <c r="V77"/>
  <c r="U77"/>
  <c r="AC255" i="8"/>
  <c r="AC248"/>
  <c r="AC43"/>
  <c r="V25" i="7"/>
  <c r="U163" i="3"/>
  <c r="U151"/>
  <c r="U147"/>
  <c r="U145"/>
  <c r="U125"/>
  <c r="U116"/>
  <c r="U92"/>
  <c r="AR53" i="5"/>
  <c r="U83" i="3"/>
  <c r="U91" i="7"/>
  <c r="AM29" i="2"/>
  <c r="AM38"/>
  <c r="AM44"/>
  <c r="AM60"/>
  <c r="AM66"/>
  <c r="AM68"/>
  <c r="AM78"/>
  <c r="AM85"/>
  <c r="V41" i="7"/>
  <c r="U41"/>
  <c r="V47"/>
  <c r="V53"/>
  <c r="V70"/>
  <c r="U73"/>
  <c r="V84"/>
  <c r="V85"/>
  <c r="U87"/>
  <c r="AC203" i="8"/>
  <c r="AC202"/>
  <c r="AC201"/>
  <c r="AC200"/>
  <c r="AC72"/>
  <c r="AC100" l="1"/>
  <c r="AC104"/>
  <c r="AC252"/>
  <c r="AC10"/>
  <c r="AC86"/>
  <c r="AC92"/>
  <c r="AC97"/>
  <c r="AC99"/>
  <c r="AC103"/>
  <c r="AM10" i="2"/>
  <c r="AB10" i="10"/>
  <c r="AC246" i="8"/>
  <c r="AC17"/>
  <c r="AC253"/>
  <c r="AZ12" i="6"/>
  <c r="AC18" i="8"/>
  <c r="AY23" i="13"/>
  <c r="AY22"/>
  <c r="AM109" i="2"/>
  <c r="AM248"/>
  <c r="AM242"/>
  <c r="U241" i="7"/>
  <c r="AM237" i="2"/>
  <c r="AC236" i="8"/>
  <c r="W218" i="12"/>
  <c r="U133" i="7"/>
  <c r="AM132" i="2"/>
  <c r="V128" i="7"/>
  <c r="AM127" i="2"/>
  <c r="V89" i="7"/>
  <c r="AC76" i="8"/>
  <c r="AZ73" i="6"/>
  <c r="AR21" i="5"/>
  <c r="AY33" i="13"/>
  <c r="AY12"/>
  <c r="AC79" i="8"/>
  <c r="AR140" i="5"/>
  <c r="AR138"/>
  <c r="AR122"/>
  <c r="AR105"/>
  <c r="AR92"/>
  <c r="AC93" i="8"/>
  <c r="AY36" i="13"/>
  <c r="AY35"/>
  <c r="AM69" i="2"/>
  <c r="AM77"/>
  <c r="AM87"/>
  <c r="AM90"/>
  <c r="AM91"/>
  <c r="AC96" i="8"/>
  <c r="AC95"/>
  <c r="AC239"/>
  <c r="AB143" i="10"/>
  <c r="AZ75" i="6"/>
  <c r="AR93" i="5"/>
  <c r="AR81"/>
  <c r="V83" i="7"/>
  <c r="AM251" i="2"/>
  <c r="AM103"/>
  <c r="AM22"/>
  <c r="AM20"/>
  <c r="AM18"/>
  <c r="AM218"/>
  <c r="AB22" i="10"/>
  <c r="AA22" i="8"/>
  <c r="AC22" s="1"/>
  <c r="AB140" i="10"/>
  <c r="AM115" i="2"/>
  <c r="AR107" i="5"/>
  <c r="AR106"/>
  <c r="AR101"/>
  <c r="AY100" i="13"/>
  <c r="AC229" i="8"/>
  <c r="AC228"/>
  <c r="AM221" i="2"/>
  <c r="AC254" i="8"/>
  <c r="AC251"/>
  <c r="AC250"/>
  <c r="AC249"/>
  <c r="AC247"/>
  <c r="AB245" i="10"/>
  <c r="AR236" i="5"/>
  <c r="AR234"/>
  <c r="AR233"/>
  <c r="AC227" i="8"/>
  <c r="AR226" i="5"/>
  <c r="AC226" i="8"/>
  <c r="AC224"/>
  <c r="AR220" i="5"/>
  <c r="AR218"/>
  <c r="AC218" i="8"/>
  <c r="AC27"/>
  <c r="AC25"/>
  <c r="AZ20" i="6"/>
  <c r="AZ18"/>
  <c r="AB16" i="10"/>
  <c r="AC16" i="8"/>
  <c r="AR14" i="5"/>
  <c r="AR221"/>
  <c r="AR224"/>
  <c r="AR11"/>
  <c r="AY29" i="13"/>
  <c r="AM11" i="2"/>
  <c r="AY10" i="14"/>
  <c r="AY126" i="13"/>
  <c r="AY91"/>
  <c r="AY117"/>
  <c r="AY121"/>
  <c r="AY140"/>
  <c r="AY74"/>
  <c r="AY131"/>
  <c r="AY43"/>
  <c r="AY116"/>
  <c r="AY73"/>
  <c r="AY105"/>
  <c r="AY132"/>
  <c r="AY114"/>
  <c r="AY141"/>
  <c r="AY81"/>
  <c r="AY90"/>
  <c r="AY92"/>
  <c r="AY119"/>
  <c r="AY70"/>
  <c r="AY77"/>
  <c r="AY113"/>
  <c r="AY123"/>
  <c r="AY120"/>
  <c r="AY78"/>
  <c r="AY128"/>
  <c r="AY82"/>
  <c r="AY84"/>
  <c r="AY50"/>
  <c r="AY72"/>
  <c r="AY101"/>
  <c r="AY47"/>
  <c r="AY124"/>
  <c r="AY115"/>
  <c r="AY96"/>
  <c r="AY133"/>
  <c r="AY71"/>
  <c r="AY142"/>
  <c r="AY106"/>
  <c r="AY139"/>
  <c r="AY95"/>
  <c r="AY111"/>
  <c r="AY64"/>
  <c r="AY135"/>
  <c r="AY122"/>
  <c r="AY110"/>
  <c r="AY69"/>
  <c r="AY137"/>
  <c r="AY125"/>
  <c r="AY66"/>
  <c r="AY67"/>
  <c r="AY86"/>
  <c r="AY20"/>
  <c r="AY27"/>
  <c r="AY31"/>
  <c r="AY25"/>
  <c r="AY24"/>
  <c r="AY16"/>
  <c r="AY15"/>
  <c r="AY14"/>
  <c r="AY45"/>
  <c r="AZ70" i="6"/>
  <c r="AZ74"/>
  <c r="AR47" i="5"/>
  <c r="AR49"/>
  <c r="V60" i="7"/>
  <c r="AM83" i="2"/>
  <c r="AC131" i="8"/>
  <c r="AC134"/>
  <c r="AC230"/>
  <c r="AC132"/>
  <c r="AC135"/>
  <c r="S230" i="12"/>
  <c r="W230" s="1"/>
  <c r="AY102" i="13"/>
  <c r="AY13"/>
  <c r="AY127"/>
  <c r="AY11"/>
  <c r="AY129"/>
  <c r="AY18"/>
  <c r="AY99"/>
  <c r="AY98"/>
  <c r="AY103"/>
  <c r="AY30"/>
  <c r="AY21"/>
  <c r="AY13" i="14"/>
  <c r="AY19"/>
  <c r="AY11"/>
  <c r="AY91"/>
  <c r="AY81"/>
  <c r="BM66"/>
  <c r="AY74"/>
  <c r="AY76"/>
  <c r="AY78"/>
  <c r="AY86"/>
  <c r="AY90"/>
  <c r="BM90"/>
  <c r="AM130" i="2"/>
  <c r="AM128"/>
  <c r="AM243"/>
  <c r="AM244"/>
  <c r="AM75"/>
  <c r="AM84"/>
  <c r="AM57"/>
  <c r="U57" i="7"/>
  <c r="V57"/>
  <c r="AC136" i="8"/>
  <c r="AC42"/>
  <c r="AC125"/>
  <c r="AC84"/>
  <c r="AC126"/>
  <c r="AC130"/>
  <c r="AC127"/>
  <c r="AY83" i="14"/>
  <c r="AY22"/>
  <c r="AY17"/>
  <c r="AY68"/>
  <c r="AY70"/>
  <c r="AY75"/>
  <c r="AY77"/>
  <c r="AY69"/>
  <c r="AY72"/>
  <c r="AY73"/>
  <c r="AY15"/>
  <c r="AY79"/>
  <c r="AZ13" i="6"/>
  <c r="AZ22"/>
  <c r="AZ81"/>
  <c r="AZ92"/>
  <c r="AY134" i="13"/>
  <c r="AY104"/>
  <c r="AY89"/>
  <c r="AY88"/>
  <c r="AY83"/>
  <c r="AY85"/>
  <c r="AY62"/>
  <c r="AY63"/>
  <c r="AY44"/>
  <c r="AY37"/>
  <c r="AY19"/>
  <c r="AY28"/>
  <c r="AY26"/>
  <c r="AY247"/>
  <c r="AY107"/>
  <c r="S68" i="12"/>
  <c r="W68" s="1"/>
  <c r="W29"/>
  <c r="W36"/>
  <c r="W37"/>
  <c r="W65"/>
  <c r="W57"/>
  <c r="S85"/>
  <c r="W85" s="1"/>
  <c r="W87"/>
  <c r="AR52" i="5"/>
  <c r="AR33"/>
  <c r="AR22"/>
  <c r="AR228"/>
  <c r="AR16"/>
  <c r="AR17"/>
  <c r="AR20"/>
  <c r="AR23"/>
  <c r="AR130"/>
  <c r="AR135"/>
  <c r="AR134"/>
  <c r="AR129"/>
  <c r="AR102"/>
  <c r="AR125"/>
  <c r="AM33" i="2"/>
  <c r="AM59"/>
  <c r="AM52"/>
  <c r="AM26"/>
  <c r="AM24"/>
  <c r="AM23"/>
  <c r="AM21"/>
  <c r="AM17"/>
  <c r="AM16"/>
  <c r="AM15"/>
  <c r="AM14"/>
  <c r="AM13"/>
  <c r="AM226"/>
  <c r="AM232"/>
  <c r="AM233"/>
  <c r="AM234"/>
  <c r="AM223"/>
  <c r="AM64"/>
  <c r="AM122"/>
  <c r="AM119"/>
  <c r="AM105"/>
  <c r="AM104"/>
  <c r="AM96"/>
  <c r="AM239"/>
  <c r="AM32"/>
  <c r="U76" i="3"/>
  <c r="U60"/>
  <c r="U62"/>
  <c r="U65"/>
  <c r="S67"/>
  <c r="S68"/>
  <c r="U68" s="1"/>
  <c r="S69"/>
  <c r="S70"/>
  <c r="S71"/>
  <c r="AR40" i="5"/>
  <c r="U40" i="3"/>
  <c r="AR80" i="5"/>
  <c r="U80" i="3"/>
  <c r="U229"/>
  <c r="U32"/>
  <c r="U79"/>
  <c r="AR73" i="5"/>
  <c r="U73" i="3"/>
  <c r="AR79" i="5"/>
  <c r="AR108"/>
  <c r="AM76" i="2"/>
  <c r="V76" i="7"/>
  <c r="U76"/>
  <c r="V115"/>
  <c r="AM126" i="2"/>
  <c r="AM50"/>
  <c r="V50" i="7"/>
  <c r="U50"/>
  <c r="AM80" i="2"/>
  <c r="U80" i="7"/>
  <c r="V80"/>
  <c r="AM74" i="2"/>
  <c r="V74" i="7"/>
  <c r="U74"/>
  <c r="AM217" i="2"/>
  <c r="AM222"/>
  <c r="V40" i="7"/>
  <c r="V49"/>
  <c r="AM48" i="2"/>
  <c r="V48" i="7"/>
  <c r="U48"/>
  <c r="AM55" i="2"/>
  <c r="U55" i="7"/>
  <c r="V55"/>
  <c r="AM82" i="2"/>
  <c r="U82" i="7"/>
  <c r="V82"/>
  <c r="AM37" i="2"/>
  <c r="V37" i="7"/>
  <c r="U37"/>
  <c r="AM67" i="2"/>
  <c r="V68" i="7"/>
  <c r="U68"/>
  <c r="AM219" i="2"/>
  <c r="V240" i="7"/>
  <c r="AM49" i="2"/>
  <c r="AC46" i="8"/>
  <c r="AC24"/>
  <c r="AC20"/>
  <c r="AC225"/>
  <c r="AC64"/>
  <c r="AC207"/>
  <c r="AC209"/>
  <c r="AC208"/>
  <c r="AC80"/>
  <c r="AA71" i="9"/>
  <c r="AA82"/>
  <c r="AA85"/>
  <c r="AC59" i="8"/>
  <c r="AC39"/>
  <c r="AC87" i="9"/>
  <c r="AC87" i="8" s="1"/>
  <c r="AC45"/>
  <c r="AC68" i="9"/>
  <c r="AC68" i="8" s="1"/>
  <c r="AA69" i="9"/>
  <c r="AC71"/>
  <c r="AC73"/>
  <c r="AC73" i="8" s="1"/>
  <c r="AC38"/>
  <c r="AC108"/>
  <c r="AC111"/>
  <c r="AC113"/>
  <c r="AC117"/>
  <c r="AC119"/>
  <c r="AC105"/>
  <c r="AC138"/>
  <c r="AC140"/>
  <c r="AC142"/>
  <c r="AC144"/>
  <c r="AC198"/>
  <c r="AC204"/>
  <c r="AC206"/>
  <c r="AC211"/>
  <c r="AC213"/>
  <c r="AC215"/>
  <c r="AC217"/>
  <c r="AC220"/>
  <c r="AC222"/>
  <c r="AC232"/>
  <c r="AC234"/>
  <c r="AC237"/>
  <c r="AC241"/>
  <c r="AC243"/>
  <c r="AC245"/>
  <c r="AA67" i="9"/>
  <c r="AA75"/>
  <c r="AA87"/>
  <c r="AC88"/>
  <c r="AC88" i="8" s="1"/>
  <c r="AC107"/>
  <c r="AC109"/>
  <c r="AC116"/>
  <c r="AC118"/>
  <c r="AC120"/>
  <c r="AC137"/>
  <c r="AC139"/>
  <c r="AC199"/>
  <c r="AC197"/>
  <c r="AC212"/>
  <c r="AC214"/>
  <c r="AC216"/>
  <c r="AC219"/>
  <c r="AC221"/>
  <c r="AC210"/>
  <c r="AC223"/>
  <c r="AC240"/>
  <c r="AC238"/>
  <c r="AC242"/>
  <c r="AC244"/>
  <c r="AB37" i="10"/>
  <c r="AC41" i="8"/>
  <c r="AB41" i="10"/>
  <c r="AC47" i="8"/>
  <c r="AB47" i="10"/>
  <c r="AC49" i="8"/>
  <c r="AB49" i="10"/>
  <c r="AB51"/>
  <c r="AC53" i="8"/>
  <c r="AB53" i="10"/>
  <c r="AC29" i="8"/>
  <c r="AB29" i="10"/>
  <c r="AB36"/>
  <c r="AC44" i="8"/>
  <c r="AB44" i="10"/>
  <c r="AA71" i="8"/>
  <c r="AB71" i="10"/>
  <c r="AC36" i="8"/>
  <c r="AC114"/>
  <c r="AC195"/>
  <c r="E68" i="10"/>
  <c r="AB28"/>
  <c r="AB33"/>
  <c r="AB35"/>
  <c r="AC35" i="8"/>
  <c r="AC55"/>
  <c r="AB68" i="10"/>
  <c r="AA69" i="8"/>
  <c r="AC69" s="1"/>
  <c r="AB70" i="10"/>
  <c r="AA75" i="8"/>
  <c r="AC75" s="1"/>
  <c r="AB75" i="10"/>
  <c r="AA77" i="8"/>
  <c r="AC77" s="1"/>
  <c r="AB77" i="10"/>
  <c r="AC58" i="8"/>
  <c r="AC60"/>
  <c r="AB78" i="10"/>
  <c r="AA78" i="8"/>
  <c r="AC78" s="1"/>
  <c r="AA90"/>
  <c r="AC90" s="1"/>
  <c r="AB90" i="10"/>
  <c r="AC12" i="8"/>
  <c r="AB14" i="10"/>
  <c r="AC67" i="8"/>
  <c r="AC233"/>
  <c r="AC13"/>
  <c r="AM25" i="2"/>
  <c r="AC231" i="8"/>
  <c r="AC143"/>
  <c r="AC141"/>
  <c r="BN68" i="6"/>
  <c r="AZ71"/>
  <c r="AZ80"/>
  <c r="AZ85"/>
  <c r="AZ90"/>
  <c r="AM129" i="2"/>
  <c r="AC129" i="8"/>
  <c r="AC128"/>
  <c r="AC124"/>
  <c r="U124" i="3"/>
  <c r="AR124" i="5"/>
  <c r="AM123" i="2"/>
  <c r="V124" i="7"/>
  <c r="U124"/>
  <c r="AC123" i="8"/>
  <c r="AC122"/>
  <c r="AC121"/>
  <c r="AC112"/>
  <c r="AC115"/>
  <c r="AY85" i="14"/>
  <c r="AC30" i="8"/>
  <c r="AC21"/>
  <c r="AC19"/>
  <c r="AM28" i="2"/>
  <c r="U28" i="7"/>
  <c r="AM39" i="2"/>
  <c r="V39" i="7"/>
  <c r="AM88" i="2"/>
  <c r="U88" i="7"/>
  <c r="AC11" i="8"/>
  <c r="AC31"/>
  <c r="AC34"/>
  <c r="AC37"/>
  <c r="AC40"/>
  <c r="AC57"/>
  <c r="AA68" i="9"/>
  <c r="AC74"/>
  <c r="AC74" i="8" s="1"/>
  <c r="AC82" i="9"/>
  <c r="AC82" i="8" s="1"/>
  <c r="AA90" i="9"/>
  <c r="AC91"/>
  <c r="AC91" i="8" s="1"/>
  <c r="AM40" i="2"/>
  <c r="AR59" i="5"/>
  <c r="AR87"/>
  <c r="AR61"/>
  <c r="AR64"/>
  <c r="AR85"/>
  <c r="BN37" i="14"/>
  <c r="AC61" i="8"/>
  <c r="V45" i="7"/>
  <c r="AC63" i="8"/>
  <c r="AC23"/>
  <c r="AC14"/>
  <c r="AC15"/>
  <c r="AC52"/>
  <c r="AC66"/>
  <c r="AC85"/>
  <c r="AC50"/>
  <c r="AC71" l="1"/>
  <c r="AR68" i="5"/>
  <c r="AR32"/>
  <c r="AR29"/>
  <c r="U29" i="3"/>
  <c r="AR78" i="5"/>
  <c r="U78" i="3"/>
  <c r="AR71" i="5"/>
  <c r="U71" i="3"/>
  <c r="AR69" i="5"/>
  <c r="U69" i="3"/>
  <c r="AR67" i="5"/>
  <c r="U67" i="3"/>
  <c r="AR62" i="5"/>
  <c r="U63" i="3"/>
  <c r="AR31" i="5"/>
  <c r="U31" i="3"/>
  <c r="AR28" i="5"/>
  <c r="U28" i="3"/>
  <c r="AR77" i="5"/>
  <c r="U77" i="3"/>
  <c r="AR70" i="5"/>
  <c r="U70" i="3"/>
  <c r="AR84" i="5"/>
  <c r="U84" i="3"/>
  <c r="AR88" i="5"/>
  <c r="U88" i="3"/>
  <c r="AR82" i="5"/>
  <c r="U82" i="3"/>
  <c r="AR41" i="5"/>
  <c r="U41" i="3"/>
  <c r="AR75" i="5"/>
  <c r="U75" i="3"/>
  <c r="AR55" i="5"/>
  <c r="U55" i="3"/>
  <c r="AR51" i="5"/>
  <c r="U51" i="3"/>
  <c r="U44"/>
  <c r="AR44" i="5"/>
  <c r="AR37"/>
  <c r="U37" i="3"/>
  <c r="AR35" i="5"/>
  <c r="U35" i="3"/>
  <c r="AR74" i="5"/>
  <c r="U74" i="3"/>
  <c r="U54"/>
  <c r="AR54" i="5"/>
  <c r="U50" i="3"/>
  <c r="AR50" i="5"/>
  <c r="AR39"/>
  <c r="U39" i="3"/>
  <c r="AR36" i="5"/>
  <c r="U36" i="3"/>
  <c r="AR34" i="5"/>
  <c r="U34" i="3"/>
  <c r="U90"/>
  <c r="AR90" i="5"/>
  <c r="AM54" i="2"/>
  <c r="V54" i="7"/>
  <c r="U54"/>
  <c r="AM51" i="2"/>
  <c r="V51" i="7"/>
  <c r="U51"/>
  <c r="AC28" i="8"/>
  <c r="AC33"/>
  <c r="AC56"/>
  <c r="AC54"/>
  <c r="AC51"/>
  <c r="AR38" i="5"/>
  <c r="U38" i="3"/>
  <c r="AB236" i="10"/>
  <c r="AA235" i="8" l="1"/>
  <c r="AC235" s="1"/>
</calcChain>
</file>

<file path=xl/sharedStrings.xml><?xml version="1.0" encoding="utf-8"?>
<sst xmlns="http://schemas.openxmlformats.org/spreadsheetml/2006/main" count="12053" uniqueCount="504">
  <si>
    <t>Assets</t>
  </si>
  <si>
    <t>Liabilities</t>
  </si>
  <si>
    <t>Net Assets</t>
  </si>
  <si>
    <t>Current</t>
  </si>
  <si>
    <t>Capital</t>
  </si>
  <si>
    <t>Deferred</t>
  </si>
  <si>
    <t>Total</t>
  </si>
  <si>
    <t>Invested in</t>
  </si>
  <si>
    <t>City</t>
  </si>
  <si>
    <t>County</t>
  </si>
  <si>
    <t>Restricted</t>
  </si>
  <si>
    <t>Unrestricted</t>
  </si>
  <si>
    <t>Akron</t>
  </si>
  <si>
    <t>Summit</t>
  </si>
  <si>
    <t>Alliance</t>
  </si>
  <si>
    <t>Stark</t>
  </si>
  <si>
    <t>Amherst</t>
  </si>
  <si>
    <t>Lorain</t>
  </si>
  <si>
    <t>Ashland</t>
  </si>
  <si>
    <t>Ashtabula</t>
  </si>
  <si>
    <t>Athens</t>
  </si>
  <si>
    <t>Aurora</t>
  </si>
  <si>
    <t>Portage</t>
  </si>
  <si>
    <t>Avon</t>
  </si>
  <si>
    <t>Avon Lake</t>
  </si>
  <si>
    <t>Barberton</t>
  </si>
  <si>
    <t>Bay Village</t>
  </si>
  <si>
    <t>Cuyahoga</t>
  </si>
  <si>
    <t>Beachwood</t>
  </si>
  <si>
    <t>Beavercreek</t>
  </si>
  <si>
    <t>Greene</t>
  </si>
  <si>
    <t>Bedford</t>
  </si>
  <si>
    <t>Bedford Heights</t>
  </si>
  <si>
    <t>Belmont</t>
  </si>
  <si>
    <t>Bellbrook</t>
  </si>
  <si>
    <t>Bellefontaine</t>
  </si>
  <si>
    <t>Logan</t>
  </si>
  <si>
    <t>Bellevue</t>
  </si>
  <si>
    <t>Huron</t>
  </si>
  <si>
    <t>Belpre</t>
  </si>
  <si>
    <t>Washington</t>
  </si>
  <si>
    <t>Berea</t>
  </si>
  <si>
    <t>Bexley</t>
  </si>
  <si>
    <t>Franklin</t>
  </si>
  <si>
    <t>Blue Ash</t>
  </si>
  <si>
    <t>Hamilton</t>
  </si>
  <si>
    <t>Bowling Green</t>
  </si>
  <si>
    <t>Wood</t>
  </si>
  <si>
    <t>Brecksville</t>
  </si>
  <si>
    <t>Broadview Heights</t>
  </si>
  <si>
    <t>Brook Park</t>
  </si>
  <si>
    <t>Brooklyn</t>
  </si>
  <si>
    <t>Brunswick</t>
  </si>
  <si>
    <t>Medina</t>
  </si>
  <si>
    <t>Bryan</t>
  </si>
  <si>
    <t>Williams</t>
  </si>
  <si>
    <t>Bucyrus</t>
  </si>
  <si>
    <t>Crawford</t>
  </si>
  <si>
    <t>Cambridge</t>
  </si>
  <si>
    <t>Guernsey</t>
  </si>
  <si>
    <t>Canfield</t>
  </si>
  <si>
    <t>Mahoning</t>
  </si>
  <si>
    <t>Canton</t>
  </si>
  <si>
    <t>Celina</t>
  </si>
  <si>
    <t>Mercer</t>
  </si>
  <si>
    <t>Centerville</t>
  </si>
  <si>
    <t>Montgomery</t>
  </si>
  <si>
    <t>Chardon</t>
  </si>
  <si>
    <t>Cheviot</t>
  </si>
  <si>
    <t>Chillicothe</t>
  </si>
  <si>
    <t>Ross</t>
  </si>
  <si>
    <t>Cincinnati</t>
  </si>
  <si>
    <t>Clayton</t>
  </si>
  <si>
    <t xml:space="preserve">Cleveland </t>
  </si>
  <si>
    <t>Cleveland Heights</t>
  </si>
  <si>
    <t>Clyde</t>
  </si>
  <si>
    <t>Sandusky</t>
  </si>
  <si>
    <t>Columbus</t>
  </si>
  <si>
    <t>Conneaut</t>
  </si>
  <si>
    <t>Cortland</t>
  </si>
  <si>
    <t>Trumbull</t>
  </si>
  <si>
    <t>Coshocton</t>
  </si>
  <si>
    <t>Cuyahoga Falls</t>
  </si>
  <si>
    <t>Dayton</t>
  </si>
  <si>
    <t>Deer Park</t>
  </si>
  <si>
    <t>Defiance</t>
  </si>
  <si>
    <t>Delaware</t>
  </si>
  <si>
    <t>Delphos</t>
  </si>
  <si>
    <t>Allen</t>
  </si>
  <si>
    <t>Tuscarawas</t>
  </si>
  <si>
    <t>Dublin</t>
  </si>
  <si>
    <t>Eastlake</t>
  </si>
  <si>
    <t>Lake</t>
  </si>
  <si>
    <t>East Liverpool</t>
  </si>
  <si>
    <t>Columbiana</t>
  </si>
  <si>
    <t>East Palestine</t>
  </si>
  <si>
    <t>Eaton</t>
  </si>
  <si>
    <t>Preble</t>
  </si>
  <si>
    <t>Elyria</t>
  </si>
  <si>
    <t>Englewood</t>
  </si>
  <si>
    <t>Euclid</t>
  </si>
  <si>
    <t>Fairborn</t>
  </si>
  <si>
    <t>Fairfield</t>
  </si>
  <si>
    <t>Butler</t>
  </si>
  <si>
    <t>Fairlawn</t>
  </si>
  <si>
    <t>Fairview Park</t>
  </si>
  <si>
    <t>Findlay</t>
  </si>
  <si>
    <t>Hancock</t>
  </si>
  <si>
    <t>Forest Park</t>
  </si>
  <si>
    <t>Fostoria</t>
  </si>
  <si>
    <t>Seneca</t>
  </si>
  <si>
    <t>Warren</t>
  </si>
  <si>
    <t>Fremont</t>
  </si>
  <si>
    <t>Gahanna</t>
  </si>
  <si>
    <t>Garfield Heights</t>
  </si>
  <si>
    <t>Geneva</t>
  </si>
  <si>
    <t>Girard</t>
  </si>
  <si>
    <t>Grandview Heights</t>
  </si>
  <si>
    <t>Green</t>
  </si>
  <si>
    <t>Highland</t>
  </si>
  <si>
    <t>Greenville</t>
  </si>
  <si>
    <t>Darke</t>
  </si>
  <si>
    <t>Grove City</t>
  </si>
  <si>
    <t>Harrison</t>
  </si>
  <si>
    <t>Heath</t>
  </si>
  <si>
    <t>Licking</t>
  </si>
  <si>
    <t>Highland Heights</t>
  </si>
  <si>
    <t>Hillard</t>
  </si>
  <si>
    <t>Hillsboro</t>
  </si>
  <si>
    <t>Hubbard</t>
  </si>
  <si>
    <t>Huber Heights</t>
  </si>
  <si>
    <t>Hudson</t>
  </si>
  <si>
    <t>Erie</t>
  </si>
  <si>
    <t>Independence</t>
  </si>
  <si>
    <t>Ironton</t>
  </si>
  <si>
    <t>Lawrence</t>
  </si>
  <si>
    <t>Jackson</t>
  </si>
  <si>
    <t>Kent</t>
  </si>
  <si>
    <t>Kenton</t>
  </si>
  <si>
    <t>Hardin</t>
  </si>
  <si>
    <t>Kettering</t>
  </si>
  <si>
    <t>Lakewood</t>
  </si>
  <si>
    <t>Lancaster</t>
  </si>
  <si>
    <t>Lebanon</t>
  </si>
  <si>
    <t>Lima</t>
  </si>
  <si>
    <t>Hocking</t>
  </si>
  <si>
    <t>London</t>
  </si>
  <si>
    <t>Madison</t>
  </si>
  <si>
    <t>Louisville</t>
  </si>
  <si>
    <t>Loveland</t>
  </si>
  <si>
    <t>Lyndhurst</t>
  </si>
  <si>
    <t>Macedonia</t>
  </si>
  <si>
    <t>Mansfield</t>
  </si>
  <si>
    <t>Richland</t>
  </si>
  <si>
    <t>Maple Heights</t>
  </si>
  <si>
    <t>Marietta</t>
  </si>
  <si>
    <t>Marion</t>
  </si>
  <si>
    <t>Martins Ferry</t>
  </si>
  <si>
    <t>Marysville</t>
  </si>
  <si>
    <t>Union</t>
  </si>
  <si>
    <t>Mason City</t>
  </si>
  <si>
    <t>Massillon</t>
  </si>
  <si>
    <t>Maumee</t>
  </si>
  <si>
    <t>Lucas</t>
  </si>
  <si>
    <t>Mayfield Heights</t>
  </si>
  <si>
    <t>Mentor</t>
  </si>
  <si>
    <t>Mentor-On-The-Lake</t>
  </si>
  <si>
    <t>Miamisburg</t>
  </si>
  <si>
    <t>Middleburg Hts</t>
  </si>
  <si>
    <t>Middletown</t>
  </si>
  <si>
    <t>Milford</t>
  </si>
  <si>
    <t>Clermont</t>
  </si>
  <si>
    <t>Monroe</t>
  </si>
  <si>
    <t>Moraine</t>
  </si>
  <si>
    <t>Mount Healthy</t>
  </si>
  <si>
    <t>Mount Vernon</t>
  </si>
  <si>
    <t>Knox</t>
  </si>
  <si>
    <t>Munroe Falls</t>
  </si>
  <si>
    <t>Napoleon</t>
  </si>
  <si>
    <t>Henry</t>
  </si>
  <si>
    <t>Nelsonville</t>
  </si>
  <si>
    <t>Newark</t>
  </si>
  <si>
    <t>New Carlisle</t>
  </si>
  <si>
    <t>Clark</t>
  </si>
  <si>
    <t>New Philadelphia</t>
  </si>
  <si>
    <t>Niles</t>
  </si>
  <si>
    <t>North Canton</t>
  </si>
  <si>
    <t>North Olmsted</t>
  </si>
  <si>
    <t>North Royalton</t>
  </si>
  <si>
    <t>North Ridegville</t>
  </si>
  <si>
    <t>Northwood</t>
  </si>
  <si>
    <t>Norton</t>
  </si>
  <si>
    <t>Norwalk</t>
  </si>
  <si>
    <t>Norwood</t>
  </si>
  <si>
    <t>Oakwood</t>
  </si>
  <si>
    <t>Oberlin</t>
  </si>
  <si>
    <t>Olmstead Falls</t>
  </si>
  <si>
    <t>Oregon</t>
  </si>
  <si>
    <t>Orrville</t>
  </si>
  <si>
    <t>Wayne</t>
  </si>
  <si>
    <t>Oxford</t>
  </si>
  <si>
    <t>Painesville</t>
  </si>
  <si>
    <t>Parma</t>
  </si>
  <si>
    <t>Parma Heights</t>
  </si>
  <si>
    <t>Pataskala</t>
  </si>
  <si>
    <t>Pepper Pike</t>
  </si>
  <si>
    <t>Perrysburg</t>
  </si>
  <si>
    <t>Pickerington</t>
  </si>
  <si>
    <t>Piqua</t>
  </si>
  <si>
    <t>Miami</t>
  </si>
  <si>
    <t>Port Clinton</t>
  </si>
  <si>
    <t>Ottawa</t>
  </si>
  <si>
    <t>Portsmouth</t>
  </si>
  <si>
    <t>Scioto</t>
  </si>
  <si>
    <t>Powell</t>
  </si>
  <si>
    <t>Ravenna</t>
  </si>
  <si>
    <t>Reading</t>
  </si>
  <si>
    <t>Reynoldsburg</t>
  </si>
  <si>
    <t>Richmond Heights</t>
  </si>
  <si>
    <t>Rittman</t>
  </si>
  <si>
    <t>Riverside</t>
  </si>
  <si>
    <t>Rocky River</t>
  </si>
  <si>
    <t>Rossford</t>
  </si>
  <si>
    <t>Salem</t>
  </si>
  <si>
    <t>Seven Hills</t>
  </si>
  <si>
    <t>Shaker Heights</t>
  </si>
  <si>
    <t>Sharonville</t>
  </si>
  <si>
    <t>Sheffield Lake</t>
  </si>
  <si>
    <t>Shelby</t>
  </si>
  <si>
    <t>Sidney</t>
  </si>
  <si>
    <t>Silverton</t>
  </si>
  <si>
    <t>Solon</t>
  </si>
  <si>
    <t>South Euclid</t>
  </si>
  <si>
    <t>Springboro</t>
  </si>
  <si>
    <t>Springdale</t>
  </si>
  <si>
    <t>Springfield</t>
  </si>
  <si>
    <t>St. Bernard</t>
  </si>
  <si>
    <t>St. Clairsville</t>
  </si>
  <si>
    <t>St. Marys</t>
  </si>
  <si>
    <t>Auglaize</t>
  </si>
  <si>
    <t>Stow</t>
  </si>
  <si>
    <t>Streetsboro</t>
  </si>
  <si>
    <t>Strongsville</t>
  </si>
  <si>
    <t>Sylvania</t>
  </si>
  <si>
    <t>Tallmadge</t>
  </si>
  <si>
    <t>Tiffin</t>
  </si>
  <si>
    <t>Tipp City</t>
  </si>
  <si>
    <t>Toledo</t>
  </si>
  <si>
    <t>Toronto</t>
  </si>
  <si>
    <t>Jefferson</t>
  </si>
  <si>
    <t>Trenton</t>
  </si>
  <si>
    <t>Trotwood</t>
  </si>
  <si>
    <t>Troy</t>
  </si>
  <si>
    <t>Twinsburg</t>
  </si>
  <si>
    <t>Uhrichsville</t>
  </si>
  <si>
    <t>University Heights</t>
  </si>
  <si>
    <t>Upper Arlington</t>
  </si>
  <si>
    <t>Upper Sandusky</t>
  </si>
  <si>
    <t>Wyandot</t>
  </si>
  <si>
    <t>Urbana</t>
  </si>
  <si>
    <t>Champaign</t>
  </si>
  <si>
    <t>Vandalia</t>
  </si>
  <si>
    <t>Vermilion</t>
  </si>
  <si>
    <t>Wadsworth</t>
  </si>
  <si>
    <t>Wapakoneta</t>
  </si>
  <si>
    <t>Warrensville Heights</t>
  </si>
  <si>
    <t>Wauseon</t>
  </si>
  <si>
    <t>Fulton</t>
  </si>
  <si>
    <t>Waverly</t>
  </si>
  <si>
    <t>Pike</t>
  </si>
  <si>
    <t>Wellston</t>
  </si>
  <si>
    <t>West Carrollton</t>
  </si>
  <si>
    <t>Westerville</t>
  </si>
  <si>
    <t>Westlake</t>
  </si>
  <si>
    <t>Whitehall</t>
  </si>
  <si>
    <t>Wickliffe</t>
  </si>
  <si>
    <t>Willard</t>
  </si>
  <si>
    <t>Willoughby</t>
  </si>
  <si>
    <t>Willoughby Hills</t>
  </si>
  <si>
    <t>Willowick</t>
  </si>
  <si>
    <t>Wilmington</t>
  </si>
  <si>
    <t>Clinton</t>
  </si>
  <si>
    <t>Wooster</t>
  </si>
  <si>
    <t>Worthington</t>
  </si>
  <si>
    <t>Wyoming</t>
  </si>
  <si>
    <t>Xenia</t>
  </si>
  <si>
    <t>Youngstown</t>
  </si>
  <si>
    <t>Zanesville</t>
  </si>
  <si>
    <t>Muskingum</t>
  </si>
  <si>
    <t>All Cities Reporting Under GAAP</t>
  </si>
  <si>
    <t>Capital Assets</t>
  </si>
  <si>
    <t>Program Revenues - Governmental Activities</t>
  </si>
  <si>
    <t>Charges for</t>
  </si>
  <si>
    <t>Property</t>
  </si>
  <si>
    <t>Other</t>
  </si>
  <si>
    <t>Investment</t>
  </si>
  <si>
    <t>General</t>
  </si>
  <si>
    <t>Services</t>
  </si>
  <si>
    <t>Grants</t>
  </si>
  <si>
    <t>Taxes</t>
  </si>
  <si>
    <t>Earnings</t>
  </si>
  <si>
    <t>Transfers</t>
  </si>
  <si>
    <t>Revenues</t>
  </si>
  <si>
    <t>Income</t>
  </si>
  <si>
    <t xml:space="preserve">Other </t>
  </si>
  <si>
    <t>Public</t>
  </si>
  <si>
    <t>Leisure</t>
  </si>
  <si>
    <t>Basic Utility</t>
  </si>
  <si>
    <t>Interest/</t>
  </si>
  <si>
    <t>Health</t>
  </si>
  <si>
    <t>Time</t>
  </si>
  <si>
    <t>Development</t>
  </si>
  <si>
    <t>Transportation</t>
  </si>
  <si>
    <t>Service</t>
  </si>
  <si>
    <t>Government</t>
  </si>
  <si>
    <t>1 Not broken out</t>
  </si>
  <si>
    <t>For the Year Ended December 31, 2002</t>
  </si>
  <si>
    <t>Reserved</t>
  </si>
  <si>
    <t>Unreserved/</t>
  </si>
  <si>
    <t>Cash and</t>
  </si>
  <si>
    <t>Fund</t>
  </si>
  <si>
    <t>Undesignated</t>
  </si>
  <si>
    <t>Investments</t>
  </si>
  <si>
    <t>Revenue</t>
  </si>
  <si>
    <t>Balance</t>
  </si>
  <si>
    <t>Fund Balance</t>
  </si>
  <si>
    <t>Income Tax</t>
  </si>
  <si>
    <t>Inter-</t>
  </si>
  <si>
    <t>Special</t>
  </si>
  <si>
    <t>Fees, Licenses</t>
  </si>
  <si>
    <t>All Other</t>
  </si>
  <si>
    <t>governmental</t>
  </si>
  <si>
    <t>Assessments</t>
  </si>
  <si>
    <t>Community</t>
  </si>
  <si>
    <t>Other Current</t>
  </si>
  <si>
    <t>Environment</t>
  </si>
  <si>
    <t>Activities</t>
  </si>
  <si>
    <t>Expenditures</t>
  </si>
  <si>
    <t>Outlay</t>
  </si>
  <si>
    <t>Principal</t>
  </si>
  <si>
    <t>Fiscal Charges</t>
  </si>
  <si>
    <t xml:space="preserve">Tiffin </t>
  </si>
  <si>
    <t>Cleveland</t>
  </si>
  <si>
    <t>Champgain</t>
  </si>
  <si>
    <t>Interest and</t>
  </si>
  <si>
    <t>Operating</t>
  </si>
  <si>
    <t>Champagin</t>
  </si>
  <si>
    <t>|</t>
  </si>
  <si>
    <t>Long-Term Obligations</t>
  </si>
  <si>
    <t>Property,</t>
  </si>
  <si>
    <t>Mortgage and</t>
  </si>
  <si>
    <t>Non-Current</t>
  </si>
  <si>
    <t>Long-Term</t>
  </si>
  <si>
    <t>Expenses Less</t>
  </si>
  <si>
    <t>Non-Operating</t>
  </si>
  <si>
    <t>Net Working</t>
  </si>
  <si>
    <t>Obligation</t>
  </si>
  <si>
    <t>Depreciation</t>
  </si>
  <si>
    <t>Income/Loss</t>
  </si>
  <si>
    <t>Transfers-In</t>
  </si>
  <si>
    <t>Transfers-Out</t>
  </si>
  <si>
    <t>Contributions</t>
  </si>
  <si>
    <t>Bonds</t>
  </si>
  <si>
    <t>Loans</t>
  </si>
  <si>
    <t>Obligations</t>
  </si>
  <si>
    <t xml:space="preserve">Mount Healthy </t>
  </si>
  <si>
    <t>No Notes, cant breakdown enterprise</t>
  </si>
  <si>
    <t>No breakdown avaiable</t>
  </si>
  <si>
    <t>Change in</t>
  </si>
  <si>
    <t>Champiagn</t>
  </si>
  <si>
    <t>Clintion</t>
  </si>
  <si>
    <t xml:space="preserve">No Segment information avaiable </t>
  </si>
  <si>
    <t>not broken out</t>
  </si>
  <si>
    <t>Revenues/</t>
  </si>
  <si>
    <t>Expenses</t>
  </si>
  <si>
    <t>Geauga</t>
  </si>
  <si>
    <t>All</t>
  </si>
  <si>
    <t>Assessment</t>
  </si>
  <si>
    <t>Notes</t>
  </si>
  <si>
    <t>Compensated</t>
  </si>
  <si>
    <t>Payables</t>
  </si>
  <si>
    <t>Payable</t>
  </si>
  <si>
    <t>Leases</t>
  </si>
  <si>
    <t>Absences</t>
  </si>
  <si>
    <t>Revenues from the Statement of Activities</t>
  </si>
  <si>
    <t>Expenses from the Statement of Activities</t>
  </si>
  <si>
    <t>Ontario</t>
  </si>
  <si>
    <t>General Fund Revenues - Modified Accrual Basis of Accounting</t>
  </si>
  <si>
    <t>General Fund Expenditures - Modified Accrual Basis of Accounting</t>
  </si>
  <si>
    <t>Governmental Fund Expenditures - Modified Accrual Basis of Accounting</t>
  </si>
  <si>
    <t xml:space="preserve">Summary Data from the Governmental Fund Balance Sheet </t>
  </si>
  <si>
    <t>Water Enterprise Fund</t>
  </si>
  <si>
    <t>Sewer Enterprise Fund</t>
  </si>
  <si>
    <t>Electric Enterprise Fund</t>
  </si>
  <si>
    <t xml:space="preserve">Dover </t>
  </si>
  <si>
    <t>Dover</t>
  </si>
  <si>
    <t xml:space="preserve">Security of </t>
  </si>
  <si>
    <t xml:space="preserve"> Property</t>
  </si>
  <si>
    <t>Persons and</t>
  </si>
  <si>
    <t>Operating Grants</t>
  </si>
  <si>
    <t>and Interest</t>
  </si>
  <si>
    <t>and Fines</t>
  </si>
  <si>
    <t xml:space="preserve">Ontario </t>
  </si>
  <si>
    <t>1 information not available</t>
  </si>
  <si>
    <t>1 not broken out</t>
  </si>
  <si>
    <t>No Segment information provided</t>
  </si>
  <si>
    <t>No breakdown aviable</t>
  </si>
  <si>
    <t>1 Not enough info to determine</t>
  </si>
  <si>
    <t>1 Loans not broken out</t>
  </si>
  <si>
    <t>Information missing from segment info to calculate</t>
  </si>
  <si>
    <t>Information not available</t>
  </si>
  <si>
    <t>Additions to</t>
  </si>
  <si>
    <t>Deletions from</t>
  </si>
  <si>
    <t>Plant and</t>
  </si>
  <si>
    <t>Revenue/Expense</t>
  </si>
  <si>
    <t>Equipment</t>
  </si>
  <si>
    <t>Summary Data from the General Fund Balance Sheet</t>
  </si>
  <si>
    <t xml:space="preserve">Total </t>
  </si>
  <si>
    <t>General Fund</t>
  </si>
  <si>
    <t xml:space="preserve">Plant and </t>
  </si>
  <si>
    <t xml:space="preserve">                                              Expenses - Governmental Activities</t>
  </si>
  <si>
    <t>General Long-Term Obligations</t>
  </si>
  <si>
    <t xml:space="preserve">Persons and </t>
  </si>
  <si>
    <t>Taxes (1)</t>
  </si>
  <si>
    <t>Summary Data from the Statement of Net Assets - Governmental Activities</t>
  </si>
  <si>
    <t>Total General</t>
  </si>
  <si>
    <t>Total All</t>
  </si>
  <si>
    <t>Net</t>
  </si>
  <si>
    <t>Balanced</t>
  </si>
  <si>
    <t>=0</t>
  </si>
  <si>
    <t xml:space="preserve">  =0</t>
  </si>
  <si>
    <t>Inventory</t>
  </si>
  <si>
    <t>Other Financing</t>
  </si>
  <si>
    <t>Uses</t>
  </si>
  <si>
    <t>Financing</t>
  </si>
  <si>
    <t>Sources</t>
  </si>
  <si>
    <t>If = 0</t>
  </si>
  <si>
    <t>Designated</t>
  </si>
  <si>
    <t>Than One Year</t>
  </si>
  <si>
    <t>In/(Out)</t>
  </si>
  <si>
    <t xml:space="preserve">Due </t>
  </si>
  <si>
    <t>Within</t>
  </si>
  <si>
    <t>1 Year</t>
  </si>
  <si>
    <t>Items</t>
  </si>
  <si>
    <t>Revenues,</t>
  </si>
  <si>
    <t>Transfers and</t>
  </si>
  <si>
    <t>Special Items</t>
  </si>
  <si>
    <t xml:space="preserve">Special </t>
  </si>
  <si>
    <t>Due in More</t>
  </si>
  <si>
    <t xml:space="preserve">  </t>
  </si>
  <si>
    <t>.</t>
  </si>
  <si>
    <t>Fayette</t>
  </si>
  <si>
    <t>at Beginning</t>
  </si>
  <si>
    <t>of Year</t>
  </si>
  <si>
    <t>Increase/Decrease</t>
  </si>
  <si>
    <t>in Reserve for</t>
  </si>
  <si>
    <t xml:space="preserve">in Prepaids </t>
  </si>
  <si>
    <t xml:space="preserve">and/or Reserve </t>
  </si>
  <si>
    <t>for Inventory</t>
  </si>
  <si>
    <t>Assets at</t>
  </si>
  <si>
    <t>End of Year</t>
  </si>
  <si>
    <t xml:space="preserve"> </t>
  </si>
  <si>
    <t>Brookville</t>
  </si>
  <si>
    <t>Circleville</t>
  </si>
  <si>
    <t>Pickaway</t>
  </si>
  <si>
    <t>Crestline</t>
  </si>
  <si>
    <t xml:space="preserve">Bedford Heights </t>
  </si>
  <si>
    <t xml:space="preserve">Aurora </t>
  </si>
  <si>
    <t xml:space="preserve">Franklin </t>
  </si>
  <si>
    <t xml:space="preserve">Celina </t>
  </si>
  <si>
    <t xml:space="preserve">            General Revenues     - Governmental Activities</t>
  </si>
  <si>
    <t>(1) May include income and other taxes if not presented separately</t>
  </si>
  <si>
    <t>Summary Data from the Statement of Net Assets</t>
  </si>
  <si>
    <t>Summary Data from the Statement of Revenues, Expenses, and Changes in Net Assets</t>
  </si>
  <si>
    <t>Other Non-</t>
  </si>
  <si>
    <t>Current Assets</t>
  </si>
  <si>
    <t>Canal Fulton</t>
  </si>
  <si>
    <t>Indian Hill</t>
  </si>
  <si>
    <t>Kirtland</t>
  </si>
  <si>
    <t xml:space="preserve">Kirtland </t>
  </si>
  <si>
    <t>Kirkland</t>
  </si>
  <si>
    <t>Madeira</t>
  </si>
  <si>
    <t>Indian Hills</t>
  </si>
  <si>
    <t xml:space="preserve">Indian Hills </t>
  </si>
  <si>
    <t>(Continued)</t>
  </si>
  <si>
    <t>Carlisle</t>
  </si>
  <si>
    <t>Steubenville</t>
  </si>
  <si>
    <t>New Franklin</t>
  </si>
  <si>
    <t>East Cleveland</t>
  </si>
  <si>
    <t>Galion</t>
  </si>
  <si>
    <t xml:space="preserve">Galion </t>
  </si>
  <si>
    <t>Kenton - Cash Basis</t>
  </si>
  <si>
    <t>Olmsted Falls</t>
  </si>
  <si>
    <t>Governmental Fund Revenues - Modified Accrual Basis of Accounting</t>
  </si>
  <si>
    <t xml:space="preserve">Water Enterprise Fund </t>
  </si>
  <si>
    <t>Sanitantion Enterprise Fund</t>
  </si>
  <si>
    <t>Sanitation Enterprise Fund</t>
  </si>
  <si>
    <t>Not in Box</t>
  </si>
  <si>
    <t>audit not released yet</t>
  </si>
  <si>
    <t>Didn't balance / Audit not yet released</t>
  </si>
  <si>
    <t>As of December 31, 2009</t>
  </si>
  <si>
    <t>For the Year Ended December 31, 2009</t>
  </si>
  <si>
    <t>Assigned</t>
  </si>
  <si>
    <t>Unassigned</t>
  </si>
</sst>
</file>

<file path=xl/styles.xml><?xml version="1.0" encoding="utf-8"?>
<styleSheet xmlns="http://schemas.openxmlformats.org/spreadsheetml/2006/main">
  <numFmts count="4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0_);\(0\)"/>
  </numFmts>
  <fonts count="10">
    <font>
      <sz val="10"/>
      <name val="Arial"/>
    </font>
    <font>
      <sz val="10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4">
    <xf numFmtId="0" fontId="0" fillId="0" borderId="0" applyProtection="0"/>
    <xf numFmtId="43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</cellStyleXfs>
  <cellXfs count="161">
    <xf numFmtId="0" fontId="0" fillId="0" borderId="0" xfId="0"/>
    <xf numFmtId="37" fontId="2" fillId="0" borderId="0" xfId="0" applyNumberFormat="1" applyFont="1"/>
    <xf numFmtId="37" fontId="3" fillId="0" borderId="0" xfId="0" applyNumberFormat="1" applyFont="1"/>
    <xf numFmtId="37" fontId="3" fillId="0" borderId="0" xfId="0" applyNumberFormat="1" applyFont="1" applyAlignment="1">
      <alignment horizontal="center"/>
    </xf>
    <xf numFmtId="37" fontId="3" fillId="0" borderId="1" xfId="0" applyNumberFormat="1" applyFont="1" applyBorder="1" applyAlignment="1">
      <alignment horizontal="centerContinuous"/>
    </xf>
    <xf numFmtId="37" fontId="3" fillId="0" borderId="0" xfId="0" applyNumberFormat="1" applyFont="1" applyBorder="1"/>
    <xf numFmtId="37" fontId="3" fillId="0" borderId="0" xfId="0" applyNumberFormat="1" applyFont="1" applyBorder="1" applyAlignment="1">
      <alignment horizontal="center"/>
    </xf>
    <xf numFmtId="37" fontId="3" fillId="0" borderId="1" xfId="0" applyNumberFormat="1" applyFont="1" applyFill="1" applyBorder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3" fontId="3" fillId="0" borderId="0" xfId="0" applyNumberFormat="1" applyFont="1" applyBorder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3" fillId="0" borderId="0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" fontId="3" fillId="0" borderId="0" xfId="0" applyNumberFormat="1" applyFont="1"/>
    <xf numFmtId="0" fontId="3" fillId="0" borderId="0" xfId="0" applyFont="1" applyFill="1" applyBorder="1" applyAlignment="1">
      <alignment horizontal="center"/>
    </xf>
    <xf numFmtId="0" fontId="3" fillId="0" borderId="0" xfId="0" applyFont="1" applyBorder="1"/>
    <xf numFmtId="37" fontId="2" fillId="0" borderId="0" xfId="0" applyNumberFormat="1" applyFont="1" applyBorder="1" applyAlignment="1"/>
    <xf numFmtId="37" fontId="3" fillId="0" borderId="0" xfId="2" applyNumberFormat="1" applyFont="1" applyBorder="1" applyAlignment="1">
      <alignment horizontal="right"/>
    </xf>
    <xf numFmtId="37" fontId="2" fillId="0" borderId="0" xfId="0" applyNumberFormat="1" applyFont="1" applyBorder="1"/>
    <xf numFmtId="3" fontId="2" fillId="0" borderId="0" xfId="0" applyNumberFormat="1" applyFont="1" applyBorder="1" applyAlignment="1">
      <alignment horizontal="left"/>
    </xf>
    <xf numFmtId="3" fontId="2" fillId="0" borderId="0" xfId="0" applyNumberFormat="1" applyFont="1" applyBorder="1"/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3" fillId="0" borderId="0" xfId="0" applyFont="1" applyFill="1" applyBorder="1"/>
    <xf numFmtId="37" fontId="2" fillId="0" borderId="0" xfId="0" applyNumberFormat="1" applyFont="1" applyBorder="1" applyAlignment="1">
      <alignment horizontal="left"/>
    </xf>
    <xf numFmtId="3" fontId="3" fillId="0" borderId="0" xfId="0" applyNumberFormat="1" applyFont="1" applyAlignment="1">
      <alignment horizontal="center"/>
    </xf>
    <xf numFmtId="3" fontId="2" fillId="0" borderId="0" xfId="0" applyNumberFormat="1" applyFont="1"/>
    <xf numFmtId="37" fontId="3" fillId="0" borderId="0" xfId="0" applyNumberFormat="1" applyFont="1" applyAlignment="1">
      <alignment horizontal="right"/>
    </xf>
    <xf numFmtId="37" fontId="2" fillId="0" borderId="0" xfId="0" applyNumberFormat="1" applyFont="1" applyBorder="1" applyAlignment="1">
      <alignment horizontal="center"/>
    </xf>
    <xf numFmtId="37" fontId="3" fillId="0" borderId="1" xfId="0" applyNumberFormat="1" applyFont="1" applyFill="1" applyBorder="1" applyAlignment="1">
      <alignment horizontal="centerContinuous"/>
    </xf>
    <xf numFmtId="37" fontId="3" fillId="0" borderId="0" xfId="0" applyNumberFormat="1" applyFont="1" applyFill="1" applyBorder="1"/>
    <xf numFmtId="37" fontId="3" fillId="0" borderId="0" xfId="2" applyNumberFormat="1" applyFont="1" applyBorder="1"/>
    <xf numFmtId="37" fontId="3" fillId="0" borderId="0" xfId="0" applyNumberFormat="1" applyFont="1" applyBorder="1" applyAlignment="1">
      <alignment horizontal="right"/>
    </xf>
    <xf numFmtId="37" fontId="2" fillId="0" borderId="0" xfId="2" applyNumberFormat="1" applyFont="1" applyBorder="1" applyAlignment="1">
      <alignment horizontal="centerContinuous"/>
    </xf>
    <xf numFmtId="37" fontId="2" fillId="0" borderId="0" xfId="2" applyNumberFormat="1" applyFont="1" applyBorder="1"/>
    <xf numFmtId="37" fontId="3" fillId="0" borderId="0" xfId="2" applyNumberFormat="1" applyFont="1" applyBorder="1" applyAlignment="1">
      <alignment horizontal="left"/>
    </xf>
    <xf numFmtId="37" fontId="3" fillId="0" borderId="0" xfId="2" applyNumberFormat="1" applyFont="1" applyBorder="1" applyAlignment="1">
      <alignment horizontal="center"/>
    </xf>
    <xf numFmtId="37" fontId="2" fillId="0" borderId="0" xfId="2" applyNumberFormat="1" applyFont="1" applyBorder="1" applyAlignment="1">
      <alignment horizontal="left"/>
    </xf>
    <xf numFmtId="3" fontId="2" fillId="0" borderId="0" xfId="2" applyFont="1" applyBorder="1" applyAlignment="1">
      <alignment horizontal="left"/>
    </xf>
    <xf numFmtId="37" fontId="3" fillId="0" borderId="0" xfId="0" applyNumberFormat="1" applyFont="1" applyFill="1"/>
    <xf numFmtId="37" fontId="3" fillId="0" borderId="0" xfId="2" applyNumberFormat="1" applyFont="1" applyFill="1" applyBorder="1" applyAlignment="1">
      <alignment horizontal="right"/>
    </xf>
    <xf numFmtId="5" fontId="3" fillId="0" borderId="0" xfId="0" applyNumberFormat="1" applyFont="1" applyFill="1"/>
    <xf numFmtId="0" fontId="3" fillId="0" borderId="0" xfId="0" applyFont="1" applyFill="1"/>
    <xf numFmtId="37" fontId="3" fillId="0" borderId="0" xfId="0" applyNumberFormat="1" applyFont="1" applyFill="1" applyAlignment="1">
      <alignment horizontal="right"/>
    </xf>
    <xf numFmtId="3" fontId="3" fillId="0" borderId="0" xfId="0" applyNumberFormat="1" applyFont="1" applyFill="1"/>
    <xf numFmtId="3" fontId="3" fillId="0" borderId="0" xfId="0" applyNumberFormat="1" applyFont="1" applyFill="1" applyBorder="1"/>
    <xf numFmtId="0" fontId="0" fillId="0" borderId="0" xfId="0" applyFill="1"/>
    <xf numFmtId="3" fontId="3" fillId="0" borderId="0" xfId="2" applyNumberFormat="1" applyFont="1" applyFill="1" applyBorder="1"/>
    <xf numFmtId="37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 applyBorder="1" applyAlignment="1">
      <alignment horizontal="center"/>
    </xf>
    <xf numFmtId="37" fontId="3" fillId="0" borderId="0" xfId="2" applyNumberFormat="1" applyFont="1" applyFill="1" applyBorder="1"/>
    <xf numFmtId="0" fontId="3" fillId="0" borderId="0" xfId="0" applyFont="1" applyBorder="1" applyAlignment="1"/>
    <xf numFmtId="37" fontId="0" fillId="0" borderId="0" xfId="0" applyNumberFormat="1"/>
    <xf numFmtId="3" fontId="2" fillId="2" borderId="0" xfId="0" applyNumberFormat="1" applyFont="1" applyFill="1" applyBorder="1"/>
    <xf numFmtId="3" fontId="3" fillId="2" borderId="0" xfId="0" applyNumberFormat="1" applyFont="1" applyFill="1" applyBorder="1"/>
    <xf numFmtId="3" fontId="3" fillId="2" borderId="0" xfId="0" applyNumberFormat="1" applyFont="1" applyFill="1"/>
    <xf numFmtId="37" fontId="3" fillId="2" borderId="0" xfId="0" applyNumberFormat="1" applyFont="1" applyFill="1" applyBorder="1"/>
    <xf numFmtId="37" fontId="2" fillId="2" borderId="0" xfId="0" applyNumberFormat="1" applyFont="1" applyFill="1" applyBorder="1"/>
    <xf numFmtId="37" fontId="3" fillId="2" borderId="0" xfId="0" applyNumberFormat="1" applyFont="1" applyFill="1" applyBorder="1" applyAlignment="1">
      <alignment horizontal="center"/>
    </xf>
    <xf numFmtId="5" fontId="3" fillId="0" borderId="0" xfId="0" applyNumberFormat="1" applyFont="1" applyFill="1" applyBorder="1"/>
    <xf numFmtId="37" fontId="0" fillId="0" borderId="0" xfId="0" applyNumberFormat="1" applyFill="1"/>
    <xf numFmtId="5" fontId="0" fillId="0" borderId="0" xfId="0" applyNumberFormat="1" applyFill="1"/>
    <xf numFmtId="37" fontId="3" fillId="0" borderId="0" xfId="0" applyNumberFormat="1" applyFont="1" applyBorder="1" applyAlignment="1"/>
    <xf numFmtId="5" fontId="3" fillId="0" borderId="0" xfId="0" applyNumberFormat="1" applyFont="1" applyFill="1" applyAlignment="1">
      <alignment horizontal="right"/>
    </xf>
    <xf numFmtId="37" fontId="5" fillId="0" borderId="0" xfId="0" applyNumberFormat="1" applyFont="1"/>
    <xf numFmtId="37" fontId="2" fillId="0" borderId="0" xfId="0" applyNumberFormat="1" applyFont="1" applyAlignment="1"/>
    <xf numFmtId="37" fontId="0" fillId="0" borderId="0" xfId="0" applyNumberFormat="1" applyAlignment="1">
      <alignment horizontal="center"/>
    </xf>
    <xf numFmtId="0" fontId="3" fillId="0" borderId="1" xfId="0" applyFont="1" applyBorder="1" applyAlignment="1"/>
    <xf numFmtId="37" fontId="2" fillId="0" borderId="0" xfId="0" applyNumberFormat="1" applyFont="1" applyBorder="1" applyAlignment="1">
      <alignment horizontal="right"/>
    </xf>
    <xf numFmtId="37" fontId="2" fillId="0" borderId="0" xfId="0" applyNumberFormat="1" applyFont="1" applyFill="1" applyBorder="1" applyAlignment="1">
      <alignment horizontal="left"/>
    </xf>
    <xf numFmtId="37" fontId="2" fillId="0" borderId="0" xfId="0" applyNumberFormat="1" applyFont="1" applyFill="1" applyBorder="1"/>
    <xf numFmtId="3" fontId="2" fillId="0" borderId="0" xfId="2" applyFont="1" applyFill="1" applyBorder="1" applyAlignment="1">
      <alignment horizontal="left"/>
    </xf>
    <xf numFmtId="37" fontId="3" fillId="0" borderId="0" xfId="0" applyNumberFormat="1" applyFont="1" applyFill="1" applyBorder="1" applyAlignment="1">
      <alignment horizontal="centerContinuous"/>
    </xf>
    <xf numFmtId="37" fontId="3" fillId="0" borderId="2" xfId="0" applyNumberFormat="1" applyFont="1" applyFill="1" applyBorder="1" applyAlignment="1">
      <alignment horizontal="center"/>
    </xf>
    <xf numFmtId="5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/>
    <xf numFmtId="37" fontId="3" fillId="0" borderId="0" xfId="0" applyNumberFormat="1" applyFont="1" applyFill="1" applyAlignment="1">
      <alignment horizontal="center"/>
    </xf>
    <xf numFmtId="37" fontId="2" fillId="0" borderId="0" xfId="2" applyNumberFormat="1" applyFont="1" applyBorder="1" applyAlignment="1"/>
    <xf numFmtId="37" fontId="3" fillId="0" borderId="0" xfId="2" applyNumberFormat="1" applyFont="1" applyBorder="1" applyAlignment="1"/>
    <xf numFmtId="37" fontId="3" fillId="0" borderId="0" xfId="2" applyNumberFormat="1" applyFont="1" applyFill="1" applyBorder="1" applyAlignment="1"/>
    <xf numFmtId="37" fontId="2" fillId="0" borderId="0" xfId="2" applyNumberFormat="1" applyFont="1" applyFill="1" applyBorder="1"/>
    <xf numFmtId="37" fontId="2" fillId="0" borderId="0" xfId="2" applyNumberFormat="1" applyFont="1" applyFill="1" applyBorder="1" applyAlignment="1">
      <alignment horizontal="centerContinuous"/>
    </xf>
    <xf numFmtId="37" fontId="3" fillId="0" borderId="0" xfId="2" applyNumberFormat="1" applyFont="1" applyFill="1" applyBorder="1" applyAlignment="1">
      <alignment horizontal="left"/>
    </xf>
    <xf numFmtId="37" fontId="2" fillId="0" borderId="0" xfId="2" applyNumberFormat="1" applyFont="1" applyFill="1" applyBorder="1" applyAlignment="1">
      <alignment horizontal="left"/>
    </xf>
    <xf numFmtId="37" fontId="3" fillId="0" borderId="0" xfId="2" applyNumberFormat="1" applyFont="1" applyFill="1" applyBorder="1" applyAlignment="1">
      <alignment horizontal="center"/>
    </xf>
    <xf numFmtId="5" fontId="3" fillId="0" borderId="0" xfId="2" applyNumberFormat="1" applyFont="1" applyFill="1" applyBorder="1"/>
    <xf numFmtId="5" fontId="2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/>
    <xf numFmtId="5" fontId="3" fillId="0" borderId="0" xfId="2" applyNumberFormat="1" applyFont="1" applyFill="1" applyBorder="1" applyAlignment="1">
      <alignment horizontal="right"/>
    </xf>
    <xf numFmtId="5" fontId="3" fillId="0" borderId="0" xfId="2" applyNumberFormat="1" applyFont="1" applyFill="1" applyBorder="1" applyAlignment="1"/>
    <xf numFmtId="0" fontId="6" fillId="0" borderId="0" xfId="0" applyFont="1" applyFill="1"/>
    <xf numFmtId="0" fontId="3" fillId="0" borderId="0" xfId="0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3" fontId="3" fillId="0" borderId="1" xfId="0" quotePrefix="1" applyNumberFormat="1" applyFont="1" applyFill="1" applyBorder="1" applyAlignment="1">
      <alignment horizontal="center"/>
    </xf>
    <xf numFmtId="0" fontId="3" fillId="0" borderId="1" xfId="0" quotePrefix="1" applyFont="1" applyFill="1" applyBorder="1" applyAlignment="1">
      <alignment horizontal="center"/>
    </xf>
    <xf numFmtId="164" fontId="3" fillId="0" borderId="0" xfId="1" applyNumberFormat="1" applyFont="1" applyFill="1"/>
    <xf numFmtId="37" fontId="3" fillId="0" borderId="0" xfId="0" quotePrefix="1" applyNumberFormat="1" applyFont="1" applyFill="1" applyAlignment="1">
      <alignment horizontal="center"/>
    </xf>
    <xf numFmtId="37" fontId="3" fillId="0" borderId="1" xfId="2" applyNumberFormat="1" applyFont="1" applyFill="1" applyBorder="1" applyAlignment="1">
      <alignment horizontal="center"/>
    </xf>
    <xf numFmtId="37" fontId="0" fillId="0" borderId="0" xfId="0" applyNumberFormat="1" applyFill="1" applyAlignment="1">
      <alignment horizontal="center"/>
    </xf>
    <xf numFmtId="37" fontId="6" fillId="0" borderId="0" xfId="0" applyNumberFormat="1" applyFont="1" applyFill="1"/>
    <xf numFmtId="37" fontId="7" fillId="0" borderId="0" xfId="0" applyNumberFormat="1" applyFont="1" applyFill="1"/>
    <xf numFmtId="0" fontId="8" fillId="0" borderId="0" xfId="0" applyFont="1"/>
    <xf numFmtId="3" fontId="9" fillId="0" borderId="0" xfId="0" applyNumberFormat="1" applyFont="1"/>
    <xf numFmtId="0" fontId="9" fillId="0" borderId="0" xfId="0" applyFont="1"/>
    <xf numFmtId="37" fontId="9" fillId="0" borderId="0" xfId="0" applyNumberFormat="1" applyFont="1"/>
    <xf numFmtId="37" fontId="9" fillId="0" borderId="0" xfId="0" applyNumberFormat="1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5" fontId="9" fillId="0" borderId="0" xfId="0" applyNumberFormat="1" applyFont="1" applyFill="1"/>
    <xf numFmtId="37" fontId="9" fillId="0" borderId="0" xfId="0" applyNumberFormat="1" applyFont="1" applyFill="1"/>
    <xf numFmtId="3" fontId="9" fillId="0" borderId="0" xfId="0" applyNumberFormat="1" applyFont="1" applyFill="1"/>
    <xf numFmtId="37" fontId="9" fillId="0" borderId="0" xfId="0" applyNumberFormat="1" applyFont="1" applyFill="1" applyAlignment="1">
      <alignment horizontal="right"/>
    </xf>
    <xf numFmtId="37" fontId="3" fillId="3" borderId="0" xfId="0" applyNumberFormat="1" applyFont="1" applyFill="1"/>
    <xf numFmtId="0" fontId="3" fillId="3" borderId="0" xfId="0" applyFont="1" applyFill="1"/>
    <xf numFmtId="5" fontId="3" fillId="3" borderId="0" xfId="0" applyNumberFormat="1" applyFont="1" applyFill="1"/>
    <xf numFmtId="0" fontId="0" fillId="3" borderId="0" xfId="0" applyFill="1"/>
    <xf numFmtId="37" fontId="0" fillId="3" borderId="0" xfId="0" applyNumberFormat="1" applyFill="1"/>
    <xf numFmtId="37" fontId="3" fillId="3" borderId="0" xfId="0" applyNumberFormat="1" applyFont="1" applyFill="1" applyBorder="1"/>
    <xf numFmtId="37" fontId="3" fillId="3" borderId="0" xfId="2" applyNumberFormat="1" applyFont="1" applyFill="1" applyBorder="1" applyAlignment="1">
      <alignment horizontal="right"/>
    </xf>
    <xf numFmtId="5" fontId="3" fillId="3" borderId="0" xfId="2" applyNumberFormat="1" applyFont="1" applyFill="1" applyBorder="1" applyAlignment="1">
      <alignment horizontal="right"/>
    </xf>
    <xf numFmtId="3" fontId="3" fillId="3" borderId="0" xfId="0" applyNumberFormat="1" applyFont="1" applyFill="1"/>
    <xf numFmtId="37" fontId="3" fillId="3" borderId="0" xfId="0" applyNumberFormat="1" applyFont="1" applyFill="1" applyAlignment="1">
      <alignment horizontal="right"/>
    </xf>
    <xf numFmtId="5" fontId="3" fillId="3" borderId="0" xfId="2" applyNumberFormat="1" applyFont="1" applyFill="1" applyBorder="1"/>
    <xf numFmtId="3" fontId="3" fillId="3" borderId="0" xfId="2" applyNumberFormat="1" applyFont="1" applyFill="1" applyBorder="1"/>
    <xf numFmtId="3" fontId="3" fillId="3" borderId="0" xfId="0" applyNumberFormat="1" applyFont="1" applyFill="1" applyBorder="1"/>
    <xf numFmtId="0" fontId="9" fillId="3" borderId="0" xfId="0" applyFont="1" applyFill="1"/>
    <xf numFmtId="5" fontId="3" fillId="3" borderId="0" xfId="0" applyNumberFormat="1" applyFont="1" applyFill="1" applyBorder="1" applyAlignment="1">
      <alignment horizontal="right"/>
    </xf>
    <xf numFmtId="5" fontId="0" fillId="3" borderId="0" xfId="0" applyNumberFormat="1" applyFill="1"/>
    <xf numFmtId="37" fontId="3" fillId="3" borderId="0" xfId="0" applyNumberFormat="1" applyFont="1" applyFill="1" applyBorder="1" applyAlignment="1">
      <alignment horizontal="right"/>
    </xf>
    <xf numFmtId="5" fontId="2" fillId="3" borderId="0" xfId="0" applyNumberFormat="1" applyFont="1" applyFill="1" applyBorder="1" applyAlignment="1">
      <alignment horizontal="center"/>
    </xf>
    <xf numFmtId="37" fontId="2" fillId="3" borderId="0" xfId="0" applyNumberFormat="1" applyFont="1" applyFill="1" applyBorder="1" applyAlignment="1">
      <alignment horizontal="center"/>
    </xf>
    <xf numFmtId="37" fontId="3" fillId="3" borderId="0" xfId="2" applyNumberFormat="1" applyFont="1" applyFill="1" applyBorder="1"/>
    <xf numFmtId="37" fontId="3" fillId="3" borderId="0" xfId="2" applyNumberFormat="1" applyFont="1" applyFill="1" applyBorder="1" applyAlignment="1"/>
    <xf numFmtId="37" fontId="3" fillId="3" borderId="0" xfId="3" applyNumberFormat="1" applyFont="1" applyFill="1" applyBorder="1"/>
    <xf numFmtId="37" fontId="3" fillId="0" borderId="0" xfId="0" applyNumberFormat="1" applyFont="1" applyFill="1" applyProtection="1"/>
    <xf numFmtId="38" fontId="3" fillId="0" borderId="0" xfId="0" applyNumberFormat="1" applyFont="1" applyFill="1" applyBorder="1"/>
    <xf numFmtId="38" fontId="3" fillId="0" borderId="0" xfId="0" applyNumberFormat="1" applyFont="1" applyFill="1"/>
    <xf numFmtId="38" fontId="3" fillId="0" borderId="0" xfId="2" applyNumberFormat="1" applyFont="1" applyFill="1" applyBorder="1" applyAlignment="1">
      <alignment horizontal="right"/>
    </xf>
    <xf numFmtId="38" fontId="3" fillId="0" borderId="0" xfId="2" applyNumberFormat="1" applyFont="1" applyFill="1" applyBorder="1"/>
    <xf numFmtId="165" fontId="3" fillId="0" borderId="0" xfId="0" applyNumberFormat="1" applyFont="1" applyFill="1"/>
    <xf numFmtId="165" fontId="0" fillId="0" borderId="0" xfId="0" applyNumberFormat="1" applyFill="1"/>
    <xf numFmtId="37" fontId="3" fillId="0" borderId="1" xfId="0" applyNumberFormat="1" applyFont="1" applyFill="1" applyBorder="1" applyAlignment="1">
      <alignment horizontal="center"/>
    </xf>
    <xf numFmtId="37" fontId="3" fillId="0" borderId="0" xfId="2" applyNumberFormat="1" applyFont="1" applyFill="1" applyBorder="1" applyAlignment="1">
      <alignment horizontal="right" vertical="center"/>
    </xf>
    <xf numFmtId="3" fontId="8" fillId="0" borderId="0" xfId="0" applyNumberFormat="1" applyFont="1"/>
    <xf numFmtId="0" fontId="1" fillId="0" borderId="0" xfId="0" applyFont="1"/>
    <xf numFmtId="37" fontId="1" fillId="0" borderId="0" xfId="0" applyNumberFormat="1" applyFont="1" applyFill="1"/>
    <xf numFmtId="37" fontId="3" fillId="0" borderId="1" xfId="0" applyNumberFormat="1" applyFont="1" applyFill="1" applyBorder="1" applyAlignment="1">
      <alignment horizontal="center"/>
    </xf>
    <xf numFmtId="5" fontId="6" fillId="0" borderId="0" xfId="0" applyNumberFormat="1" applyFont="1" applyFill="1"/>
    <xf numFmtId="37" fontId="3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37" fontId="3" fillId="0" borderId="0" xfId="0" applyNumberFormat="1" applyFont="1" applyFill="1" applyAlignment="1">
      <alignment horizontal="center"/>
    </xf>
    <xf numFmtId="37" fontId="3" fillId="0" borderId="1" xfId="0" applyNumberFormat="1" applyFont="1" applyBorder="1" applyAlignment="1">
      <alignment horizontal="center"/>
    </xf>
  </cellXfs>
  <cellStyles count="4">
    <cellStyle name="Comma" xfId="1" builtinId="3"/>
    <cellStyle name="Comma0" xfId="2"/>
    <cellStyle name="Currency0" xf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256"/>
  <sheetViews>
    <sheetView tabSelected="1" zoomScaleNormal="100" zoomScaleSheetLayoutView="7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40625" defaultRowHeight="12.75" customHeight="1"/>
  <cols>
    <col min="1" max="1" width="16" style="44" customWidth="1"/>
    <col min="2" max="2" width="1.7109375" style="47" customWidth="1"/>
    <col min="3" max="3" width="12" style="44" customWidth="1"/>
    <col min="4" max="4" width="1.7109375" style="47" customWidth="1"/>
    <col min="5" max="5" width="11.7109375" style="44" customWidth="1"/>
    <col min="6" max="6" width="1.7109375" style="44" customWidth="1"/>
    <col min="7" max="7" width="13.140625" style="44" bestFit="1" customWidth="1"/>
    <col min="8" max="8" width="1.7109375" style="44" customWidth="1"/>
    <col min="9" max="9" width="12.7109375" style="44" customWidth="1"/>
    <col min="10" max="10" width="1.7109375" style="44" customWidth="1"/>
    <col min="11" max="11" width="13.140625" style="44" bestFit="1" customWidth="1"/>
    <col min="12" max="12" width="1.7109375" style="44" customWidth="1"/>
    <col min="13" max="13" width="11.7109375" style="44" customWidth="1"/>
    <col min="14" max="14" width="1.7109375" style="44" customWidth="1"/>
    <col min="15" max="15" width="12.5703125" style="44" customWidth="1"/>
    <col min="16" max="16" width="1.7109375" style="44" customWidth="1"/>
    <col min="17" max="17" width="11.7109375" style="44" customWidth="1"/>
    <col min="18" max="18" width="2.7109375" style="44" customWidth="1"/>
    <col min="19" max="19" width="11.7109375" style="44" customWidth="1"/>
    <col min="20" max="20" width="1.7109375" style="44" customWidth="1"/>
    <col min="21" max="21" width="11.7109375" style="44" customWidth="1"/>
    <col min="22" max="22" width="1.7109375" style="44" customWidth="1"/>
    <col min="23" max="23" width="11.7109375" style="44" customWidth="1"/>
    <col min="24" max="24" width="1.7109375" style="44" customWidth="1"/>
    <col min="25" max="25" width="11.7109375" style="44" customWidth="1"/>
    <col min="26" max="26" width="2.7109375" style="44" customWidth="1"/>
    <col min="27" max="27" width="2.7109375" style="44" hidden="1" customWidth="1"/>
    <col min="28" max="28" width="12.7109375" style="44" customWidth="1"/>
    <col min="29" max="29" width="16.42578125" style="44" customWidth="1"/>
    <col min="30" max="33" width="9.42578125" style="44" bestFit="1" customWidth="1"/>
    <col min="34" max="34" width="10.140625" style="44" bestFit="1" customWidth="1"/>
    <col min="35" max="16384" width="9.140625" style="44"/>
  </cols>
  <sheetData>
    <row r="1" spans="1:28" ht="12.75" customHeight="1">
      <c r="A1" s="80" t="s">
        <v>424</v>
      </c>
    </row>
    <row r="2" spans="1:28" ht="12.75" customHeight="1">
      <c r="A2" s="80" t="s">
        <v>500</v>
      </c>
    </row>
    <row r="3" spans="1:28" ht="12.75" customHeight="1">
      <c r="A3" s="80" t="s">
        <v>289</v>
      </c>
    </row>
    <row r="4" spans="1:28" ht="12.75" customHeight="1">
      <c r="A4" s="80" t="s">
        <v>484</v>
      </c>
    </row>
    <row r="6" spans="1:28" ht="12.75" customHeight="1">
      <c r="A6" s="80"/>
      <c r="E6" s="157" t="s">
        <v>0</v>
      </c>
      <c r="F6" s="157"/>
      <c r="G6" s="157"/>
      <c r="H6" s="157"/>
      <c r="I6" s="157"/>
      <c r="J6" s="77"/>
      <c r="K6" s="77"/>
      <c r="M6" s="157" t="s">
        <v>1</v>
      </c>
      <c r="N6" s="157"/>
      <c r="O6" s="157"/>
      <c r="P6" s="77"/>
      <c r="Q6" s="77"/>
      <c r="S6" s="157" t="s">
        <v>2</v>
      </c>
      <c r="T6" s="157"/>
      <c r="U6" s="157"/>
      <c r="V6" s="157"/>
      <c r="W6" s="157"/>
      <c r="X6" s="77"/>
      <c r="Y6" s="77"/>
    </row>
    <row r="7" spans="1:28" ht="12.75" customHeight="1">
      <c r="A7" s="35"/>
      <c r="C7" s="35"/>
      <c r="E7" s="81" t="s">
        <v>3</v>
      </c>
      <c r="F7" s="81"/>
      <c r="G7" s="81" t="s">
        <v>4</v>
      </c>
      <c r="H7" s="81"/>
      <c r="I7" s="81" t="s">
        <v>474</v>
      </c>
      <c r="J7" s="81"/>
      <c r="K7" s="81" t="s">
        <v>6</v>
      </c>
      <c r="M7" s="81" t="s">
        <v>3</v>
      </c>
      <c r="N7" s="8"/>
      <c r="O7" s="81" t="s">
        <v>448</v>
      </c>
      <c r="P7" s="81"/>
      <c r="Q7" s="81" t="s">
        <v>6</v>
      </c>
      <c r="S7" s="8" t="s">
        <v>7</v>
      </c>
      <c r="T7" s="8"/>
      <c r="U7" s="8"/>
      <c r="V7" s="8"/>
      <c r="W7" s="8"/>
      <c r="X7" s="8"/>
      <c r="Y7" s="81" t="s">
        <v>6</v>
      </c>
      <c r="AB7" s="81" t="s">
        <v>428</v>
      </c>
    </row>
    <row r="8" spans="1:28" ht="12.75" customHeight="1">
      <c r="A8" s="78" t="s">
        <v>8</v>
      </c>
      <c r="C8" s="78" t="s">
        <v>9</v>
      </c>
      <c r="E8" s="7" t="s">
        <v>0</v>
      </c>
      <c r="F8" s="8"/>
      <c r="G8" s="7" t="s">
        <v>0</v>
      </c>
      <c r="H8" s="8"/>
      <c r="I8" s="7" t="s">
        <v>475</v>
      </c>
      <c r="J8" s="8"/>
      <c r="K8" s="7" t="s">
        <v>0</v>
      </c>
      <c r="M8" s="7" t="s">
        <v>1</v>
      </c>
      <c r="N8" s="8"/>
      <c r="O8" s="7" t="s">
        <v>438</v>
      </c>
      <c r="P8" s="8"/>
      <c r="Q8" s="7" t="s">
        <v>1</v>
      </c>
      <c r="S8" s="7" t="s">
        <v>290</v>
      </c>
      <c r="T8" s="8"/>
      <c r="U8" s="7" t="s">
        <v>10</v>
      </c>
      <c r="V8" s="8"/>
      <c r="W8" s="7" t="s">
        <v>11</v>
      </c>
      <c r="X8" s="8"/>
      <c r="Y8" s="7" t="s">
        <v>2</v>
      </c>
      <c r="AB8" s="81" t="s">
        <v>436</v>
      </c>
    </row>
    <row r="9" spans="1:28" ht="12.75" customHeight="1">
      <c r="A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Q9" s="8"/>
      <c r="S9" s="8"/>
      <c r="T9" s="8"/>
      <c r="U9" s="8"/>
      <c r="V9" s="8"/>
      <c r="W9" s="8"/>
      <c r="X9" s="8"/>
      <c r="Y9" s="8"/>
    </row>
    <row r="10" spans="1:28" s="46" customFormat="1" ht="12.75" customHeight="1">
      <c r="A10" s="46" t="s">
        <v>12</v>
      </c>
      <c r="C10" s="46" t="s">
        <v>13</v>
      </c>
      <c r="E10" s="46">
        <f>+K10-G10-I10</f>
        <v>210673242</v>
      </c>
      <c r="G10" s="46">
        <f>253302506+657070498</f>
        <v>910373004</v>
      </c>
      <c r="I10" s="46">
        <f>79265209+16464154+5056731+30151398</f>
        <v>130937492</v>
      </c>
      <c r="K10" s="46">
        <v>1251983738</v>
      </c>
      <c r="M10" s="46">
        <f t="shared" ref="M10:M71" si="0">+Q10-O10</f>
        <v>259650255</v>
      </c>
      <c r="O10" s="46">
        <v>653329643</v>
      </c>
      <c r="Q10" s="46">
        <v>912979898</v>
      </c>
      <c r="S10" s="46">
        <v>325085939</v>
      </c>
      <c r="U10" s="46">
        <v>46034221</v>
      </c>
      <c r="W10" s="46">
        <v>-32116320</v>
      </c>
      <c r="Y10" s="46">
        <f>S10+U10+W10</f>
        <v>339003840</v>
      </c>
      <c r="AB10" s="46">
        <f t="shared" ref="AB10:AB72" si="1">+K10-Q10-Y10</f>
        <v>0</v>
      </c>
    </row>
    <row r="11" spans="1:28" ht="12.75" customHeight="1">
      <c r="A11" s="44" t="s">
        <v>14</v>
      </c>
      <c r="B11" s="44"/>
      <c r="C11" s="44" t="s">
        <v>15</v>
      </c>
      <c r="D11" s="44"/>
      <c r="E11" s="143">
        <f t="shared" ref="E11:E71" si="2">+K11-G11-I11</f>
        <v>15952339</v>
      </c>
      <c r="G11" s="44">
        <f>3868810+16271476</f>
        <v>20140286</v>
      </c>
      <c r="I11" s="44">
        <v>0</v>
      </c>
      <c r="K11" s="44">
        <v>36092625</v>
      </c>
      <c r="M11" s="44">
        <f t="shared" si="0"/>
        <v>3262839</v>
      </c>
      <c r="O11" s="44">
        <v>3362818</v>
      </c>
      <c r="Q11" s="44">
        <v>6625657</v>
      </c>
      <c r="S11" s="44">
        <v>18500286</v>
      </c>
      <c r="U11" s="44">
        <f>1365841+661027+265771+728398+4521279+394189+59322+291652</f>
        <v>8287479</v>
      </c>
      <c r="W11" s="44">
        <v>2679203</v>
      </c>
      <c r="Y11" s="44">
        <f>S11+U11+W11</f>
        <v>29466968</v>
      </c>
      <c r="AB11" s="44">
        <f t="shared" si="1"/>
        <v>0</v>
      </c>
    </row>
    <row r="12" spans="1:28" ht="12.75" customHeight="1">
      <c r="A12" s="44" t="s">
        <v>16</v>
      </c>
      <c r="C12" s="44" t="s">
        <v>17</v>
      </c>
      <c r="E12" s="143">
        <f t="shared" si="2"/>
        <v>14084772</v>
      </c>
      <c r="G12" s="44">
        <f>1398148+21505507</f>
        <v>22903655</v>
      </c>
      <c r="I12" s="44">
        <v>0</v>
      </c>
      <c r="K12" s="44">
        <v>36988427</v>
      </c>
      <c r="M12" s="44">
        <f>+Q12-O12</f>
        <v>2088941</v>
      </c>
      <c r="O12" s="44">
        <v>3642234</v>
      </c>
      <c r="Q12" s="44">
        <v>5731175</v>
      </c>
      <c r="S12" s="44">
        <v>19316081</v>
      </c>
      <c r="U12" s="44">
        <f>5673519+354470+441945+628591+262665</f>
        <v>7361190</v>
      </c>
      <c r="W12" s="44">
        <v>4579981</v>
      </c>
      <c r="Y12" s="44">
        <f t="shared" ref="Y12:Y69" si="3">S12+U12+W12</f>
        <v>31257252</v>
      </c>
      <c r="AB12" s="44">
        <f>+K12-Q12-Y12</f>
        <v>0</v>
      </c>
    </row>
    <row r="13" spans="1:28" ht="12.75" customHeight="1">
      <c r="A13" s="44" t="s">
        <v>18</v>
      </c>
      <c r="C13" s="44" t="s">
        <v>18</v>
      </c>
      <c r="E13" s="143">
        <f t="shared" si="2"/>
        <v>10291102</v>
      </c>
      <c r="G13" s="44">
        <f>6435186+14202319</f>
        <v>20637505</v>
      </c>
      <c r="I13" s="44">
        <v>0</v>
      </c>
      <c r="K13" s="44">
        <v>30928607</v>
      </c>
      <c r="M13" s="44">
        <f t="shared" si="0"/>
        <v>2741332</v>
      </c>
      <c r="O13" s="44">
        <v>3123750</v>
      </c>
      <c r="Q13" s="44">
        <v>5865082</v>
      </c>
      <c r="S13" s="44">
        <v>17480892</v>
      </c>
      <c r="U13" s="44">
        <f>121993+1080473+1878647+190421+160107+131189+761843+548180+168171</f>
        <v>5041024</v>
      </c>
      <c r="W13" s="44">
        <v>2541609</v>
      </c>
      <c r="Y13" s="44">
        <f t="shared" si="3"/>
        <v>25063525</v>
      </c>
      <c r="AB13" s="44">
        <f t="shared" si="1"/>
        <v>0</v>
      </c>
    </row>
    <row r="14" spans="1:28" ht="12.75" customHeight="1">
      <c r="A14" s="44" t="s">
        <v>19</v>
      </c>
      <c r="C14" s="44" t="s">
        <v>19</v>
      </c>
      <c r="E14" s="143">
        <f t="shared" si="2"/>
        <v>11811466</v>
      </c>
      <c r="G14" s="44">
        <f>4783858+14973845</f>
        <v>19757703</v>
      </c>
      <c r="I14" s="44">
        <v>0</v>
      </c>
      <c r="K14" s="44">
        <v>31569169</v>
      </c>
      <c r="M14" s="44">
        <f t="shared" si="0"/>
        <v>4306141</v>
      </c>
      <c r="O14" s="44">
        <v>2206056</v>
      </c>
      <c r="Q14" s="44">
        <v>6512197</v>
      </c>
      <c r="S14" s="44">
        <v>19304462</v>
      </c>
      <c r="U14" s="44">
        <f>616317+212116+2266481+883394+140771+791656</f>
        <v>4910735</v>
      </c>
      <c r="W14" s="44">
        <v>841775</v>
      </c>
      <c r="Y14" s="44">
        <f t="shared" si="3"/>
        <v>25056972</v>
      </c>
      <c r="AB14" s="44">
        <f t="shared" si="1"/>
        <v>0</v>
      </c>
    </row>
    <row r="15" spans="1:28" ht="12.75" customHeight="1">
      <c r="A15" s="44" t="s">
        <v>20</v>
      </c>
      <c r="C15" s="44" t="s">
        <v>20</v>
      </c>
      <c r="E15" s="143">
        <f t="shared" si="2"/>
        <v>7165967</v>
      </c>
      <c r="G15" s="44">
        <f>39774553+19714650</f>
        <v>59489203</v>
      </c>
      <c r="I15" s="44">
        <v>0</v>
      </c>
      <c r="K15" s="44">
        <v>66655170</v>
      </c>
      <c r="M15" s="44">
        <f t="shared" si="0"/>
        <v>4206230</v>
      </c>
      <c r="O15" s="44">
        <v>3654691</v>
      </c>
      <c r="Q15" s="44">
        <v>7860921</v>
      </c>
      <c r="S15" s="44">
        <v>51679203</v>
      </c>
      <c r="U15" s="44">
        <f>568635+2367025+2850775</f>
        <v>5786435</v>
      </c>
      <c r="W15" s="44">
        <v>1328611</v>
      </c>
      <c r="Y15" s="44">
        <f t="shared" si="3"/>
        <v>58794249</v>
      </c>
      <c r="AB15" s="44">
        <f t="shared" si="1"/>
        <v>0</v>
      </c>
    </row>
    <row r="16" spans="1:28" ht="12.75" customHeight="1">
      <c r="A16" s="44" t="s">
        <v>467</v>
      </c>
      <c r="C16" s="44" t="s">
        <v>22</v>
      </c>
      <c r="E16" s="143">
        <f t="shared" si="2"/>
        <v>21155405</v>
      </c>
      <c r="G16" s="44">
        <f>34182455+29559953</f>
        <v>63742408</v>
      </c>
      <c r="I16" s="44">
        <v>0</v>
      </c>
      <c r="K16" s="44">
        <v>84897813</v>
      </c>
      <c r="M16" s="44">
        <f t="shared" si="0"/>
        <v>5757743</v>
      </c>
      <c r="O16" s="44">
        <v>10213625</v>
      </c>
      <c r="Q16" s="44">
        <v>15971368</v>
      </c>
      <c r="S16" s="44">
        <v>53774783</v>
      </c>
      <c r="U16" s="44">
        <f>1932964+2933489+942484+1970172</f>
        <v>7779109</v>
      </c>
      <c r="W16" s="44">
        <v>7372553</v>
      </c>
      <c r="Y16" s="44">
        <f t="shared" si="3"/>
        <v>68926445</v>
      </c>
      <c r="AB16" s="44">
        <f t="shared" si="1"/>
        <v>0</v>
      </c>
    </row>
    <row r="17" spans="1:29" ht="12.75" customHeight="1">
      <c r="A17" s="44" t="s">
        <v>23</v>
      </c>
      <c r="C17" s="44" t="s">
        <v>17</v>
      </c>
      <c r="E17" s="143">
        <f t="shared" si="2"/>
        <v>29227107</v>
      </c>
      <c r="G17" s="44">
        <f>13059445+79798869</f>
        <v>92858314</v>
      </c>
      <c r="I17" s="44">
        <v>0</v>
      </c>
      <c r="K17" s="44">
        <v>122085421</v>
      </c>
      <c r="M17" s="44">
        <f t="shared" si="0"/>
        <v>9193140</v>
      </c>
      <c r="O17" s="44">
        <v>53410125</v>
      </c>
      <c r="Q17" s="44">
        <v>62603265</v>
      </c>
      <c r="S17" s="44">
        <v>46612947</v>
      </c>
      <c r="U17" s="44">
        <f>1129478+1445051+1297579+1368224+194539+654545</f>
        <v>6089416</v>
      </c>
      <c r="W17" s="44">
        <v>6779793</v>
      </c>
      <c r="Y17" s="44">
        <f t="shared" si="3"/>
        <v>59482156</v>
      </c>
      <c r="AB17" s="44">
        <f t="shared" si="1"/>
        <v>0</v>
      </c>
    </row>
    <row r="18" spans="1:29" ht="12.75" customHeight="1">
      <c r="A18" s="44" t="s">
        <v>24</v>
      </c>
      <c r="C18" s="44" t="s">
        <v>17</v>
      </c>
      <c r="E18" s="143">
        <f t="shared" si="2"/>
        <v>28263546</v>
      </c>
      <c r="G18" s="44">
        <f>7693938+51137708</f>
        <v>58831646</v>
      </c>
      <c r="I18" s="44">
        <v>0</v>
      </c>
      <c r="K18" s="44">
        <v>87095192</v>
      </c>
      <c r="M18" s="44">
        <f t="shared" si="0"/>
        <v>8193882</v>
      </c>
      <c r="O18" s="44">
        <v>13761985</v>
      </c>
      <c r="Q18" s="44">
        <v>21955867</v>
      </c>
      <c r="S18" s="44">
        <v>45910786</v>
      </c>
      <c r="U18" s="44">
        <f>4254200+3413166+944614+1180605+157899+675092</f>
        <v>10625576</v>
      </c>
      <c r="W18" s="44">
        <v>8602963</v>
      </c>
      <c r="Y18" s="44">
        <f t="shared" si="3"/>
        <v>65139325</v>
      </c>
      <c r="AB18" s="44">
        <f t="shared" si="1"/>
        <v>0</v>
      </c>
    </row>
    <row r="19" spans="1:29" ht="12.75" customHeight="1">
      <c r="A19" s="44" t="s">
        <v>25</v>
      </c>
      <c r="C19" s="44" t="s">
        <v>13</v>
      </c>
      <c r="E19" s="143">
        <f t="shared" si="2"/>
        <v>11952882</v>
      </c>
      <c r="G19" s="44">
        <f>6497614+18853318</f>
        <v>25350932</v>
      </c>
      <c r="I19" s="44">
        <v>120584</v>
      </c>
      <c r="K19" s="44">
        <v>37424398</v>
      </c>
      <c r="M19" s="44">
        <f t="shared" si="0"/>
        <v>6110419</v>
      </c>
      <c r="O19" s="44">
        <v>8171279</v>
      </c>
      <c r="Q19" s="44">
        <v>14281698</v>
      </c>
      <c r="S19" s="44">
        <v>18536399</v>
      </c>
      <c r="U19" s="44">
        <f>23142700-18536399-354200</f>
        <v>4252101</v>
      </c>
      <c r="W19" s="44">
        <v>354200</v>
      </c>
      <c r="Y19" s="44">
        <f t="shared" si="3"/>
        <v>23142700</v>
      </c>
      <c r="AB19" s="44">
        <f t="shared" si="1"/>
        <v>0</v>
      </c>
    </row>
    <row r="20" spans="1:29" ht="12.75" customHeight="1">
      <c r="A20" s="44" t="s">
        <v>26</v>
      </c>
      <c r="C20" s="44" t="s">
        <v>27</v>
      </c>
      <c r="E20" s="143">
        <f t="shared" si="2"/>
        <v>23721927</v>
      </c>
      <c r="G20" s="44">
        <f>456602+21484371</f>
        <v>21940973</v>
      </c>
      <c r="I20" s="44">
        <v>127118</v>
      </c>
      <c r="K20" s="44">
        <v>45790018</v>
      </c>
      <c r="M20" s="44">
        <f t="shared" si="0"/>
        <v>9722712</v>
      </c>
      <c r="O20" s="44">
        <v>9015272</v>
      </c>
      <c r="Q20" s="44">
        <v>18737984</v>
      </c>
      <c r="S20" s="44">
        <v>12236062</v>
      </c>
      <c r="U20" s="44">
        <f>6486173+3314701+712297+26816+594441+111688+173754+168253</f>
        <v>11588123</v>
      </c>
      <c r="W20" s="44">
        <v>3227849</v>
      </c>
      <c r="Y20" s="44">
        <f t="shared" si="3"/>
        <v>27052034</v>
      </c>
      <c r="AB20" s="44">
        <f t="shared" si="1"/>
        <v>0</v>
      </c>
    </row>
    <row r="21" spans="1:29" ht="12.75" customHeight="1">
      <c r="A21" s="44" t="s">
        <v>28</v>
      </c>
      <c r="C21" s="44" t="s">
        <v>27</v>
      </c>
      <c r="E21" s="143">
        <f t="shared" si="2"/>
        <v>46691765</v>
      </c>
      <c r="G21" s="44">
        <f>13476757+72604733</f>
        <v>86081490</v>
      </c>
      <c r="I21" s="44">
        <v>0</v>
      </c>
      <c r="K21" s="44">
        <v>132773255</v>
      </c>
      <c r="M21" s="44">
        <f t="shared" si="0"/>
        <v>9931765</v>
      </c>
      <c r="O21" s="44">
        <v>14917320</v>
      </c>
      <c r="Q21" s="44">
        <v>24849085</v>
      </c>
      <c r="S21" s="44">
        <v>71596490</v>
      </c>
      <c r="U21" s="44">
        <f>4778742+13504+998845+299472</f>
        <v>6090563</v>
      </c>
      <c r="W21" s="44">
        <v>30237117</v>
      </c>
      <c r="Y21" s="44">
        <f t="shared" si="3"/>
        <v>107924170</v>
      </c>
      <c r="AB21" s="44">
        <f t="shared" si="1"/>
        <v>0</v>
      </c>
    </row>
    <row r="22" spans="1:29" ht="12.75" customHeight="1">
      <c r="A22" s="44" t="s">
        <v>29</v>
      </c>
      <c r="C22" s="44" t="s">
        <v>30</v>
      </c>
      <c r="E22" s="143">
        <f t="shared" si="2"/>
        <v>31539203</v>
      </c>
      <c r="G22" s="44">
        <f>12229476+183771093</f>
        <v>196000569</v>
      </c>
      <c r="I22" s="44">
        <v>0</v>
      </c>
      <c r="K22" s="44">
        <v>227539772</v>
      </c>
      <c r="M22" s="44">
        <f t="shared" si="0"/>
        <v>14270524</v>
      </c>
      <c r="O22" s="44">
        <v>8619239</v>
      </c>
      <c r="Q22" s="44">
        <v>22889763</v>
      </c>
      <c r="S22" s="44">
        <v>187313348</v>
      </c>
      <c r="U22" s="44">
        <f>5574139+1334343+15201+12195+5600248</f>
        <v>12536126</v>
      </c>
      <c r="W22" s="44">
        <v>4800535</v>
      </c>
      <c r="Y22" s="44">
        <f t="shared" si="3"/>
        <v>204650009</v>
      </c>
      <c r="AB22" s="44">
        <f t="shared" si="1"/>
        <v>0</v>
      </c>
      <c r="AC22" s="44">
        <f>9209273-1081611</f>
        <v>8127662</v>
      </c>
    </row>
    <row r="23" spans="1:29" ht="12.75" customHeight="1">
      <c r="A23" s="44" t="s">
        <v>31</v>
      </c>
      <c r="C23" s="44" t="s">
        <v>27</v>
      </c>
      <c r="E23" s="143">
        <f t="shared" si="2"/>
        <v>22506176</v>
      </c>
      <c r="G23" s="44">
        <f>3278120+32022108</f>
        <v>35300228</v>
      </c>
      <c r="I23" s="44">
        <f>203411+743296</f>
        <v>946707</v>
      </c>
      <c r="K23" s="44">
        <v>58753111</v>
      </c>
      <c r="M23" s="44">
        <f t="shared" si="0"/>
        <v>8752258</v>
      </c>
      <c r="O23" s="44">
        <v>11681404</v>
      </c>
      <c r="Q23" s="44">
        <v>20433662</v>
      </c>
      <c r="S23" s="44">
        <v>24376061</v>
      </c>
      <c r="U23" s="44">
        <f>410909+624790+714104+1098471+201776+647086+459359</f>
        <v>4156495</v>
      </c>
      <c r="W23" s="44">
        <v>9786893</v>
      </c>
      <c r="Y23" s="44">
        <f t="shared" si="3"/>
        <v>38319449</v>
      </c>
      <c r="AB23" s="44">
        <f t="shared" si="1"/>
        <v>0</v>
      </c>
      <c r="AC23" s="44">
        <f>8619236+1146054</f>
        <v>9765290</v>
      </c>
    </row>
    <row r="24" spans="1:29" ht="12.75" customHeight="1">
      <c r="A24" s="44" t="s">
        <v>466</v>
      </c>
      <c r="C24" s="44" t="s">
        <v>27</v>
      </c>
      <c r="E24" s="143">
        <f t="shared" si="2"/>
        <v>11706983</v>
      </c>
      <c r="G24" s="44">
        <f>1896706+17005102</f>
        <v>18901808</v>
      </c>
      <c r="I24" s="44">
        <v>0</v>
      </c>
      <c r="K24" s="44">
        <v>30608791</v>
      </c>
      <c r="M24" s="44">
        <f t="shared" si="0"/>
        <v>5346493</v>
      </c>
      <c r="O24" s="44">
        <v>5501710</v>
      </c>
      <c r="Q24" s="44">
        <v>10848203</v>
      </c>
      <c r="S24" s="44">
        <v>14037308</v>
      </c>
      <c r="U24" s="44">
        <f>140922+467652+127308</f>
        <v>735882</v>
      </c>
      <c r="W24" s="44">
        <v>4987398</v>
      </c>
      <c r="Y24" s="44">
        <f t="shared" si="3"/>
        <v>19760588</v>
      </c>
      <c r="AB24" s="44">
        <f t="shared" si="1"/>
        <v>0</v>
      </c>
    </row>
    <row r="25" spans="1:29" ht="12.75" customHeight="1">
      <c r="A25" s="44" t="s">
        <v>34</v>
      </c>
      <c r="B25" s="47" t="s">
        <v>461</v>
      </c>
      <c r="C25" s="44" t="s">
        <v>30</v>
      </c>
      <c r="E25" s="143">
        <f t="shared" si="2"/>
        <v>6235618</v>
      </c>
      <c r="G25" s="44">
        <f>369451+377958+4324376</f>
        <v>5071785</v>
      </c>
      <c r="I25" s="44">
        <v>0</v>
      </c>
      <c r="K25" s="44">
        <v>11307403</v>
      </c>
      <c r="M25" s="44">
        <f t="shared" ref="M25:M53" si="4">+Q25-O25</f>
        <v>2763986</v>
      </c>
      <c r="O25" s="44">
        <v>116159</v>
      </c>
      <c r="Q25" s="44">
        <v>2880145</v>
      </c>
      <c r="S25" s="44">
        <v>5071785</v>
      </c>
      <c r="U25" s="44">
        <v>2390593</v>
      </c>
      <c r="W25" s="44">
        <v>964880</v>
      </c>
      <c r="Y25" s="44">
        <f t="shared" si="3"/>
        <v>8427258</v>
      </c>
      <c r="AB25" s="44">
        <f t="shared" si="1"/>
        <v>0</v>
      </c>
    </row>
    <row r="26" spans="1:29" ht="12.75" customHeight="1">
      <c r="A26" s="44" t="s">
        <v>35</v>
      </c>
      <c r="C26" s="44" t="s">
        <v>36</v>
      </c>
      <c r="E26" s="143">
        <f t="shared" si="2"/>
        <v>9700301</v>
      </c>
      <c r="G26" s="44">
        <f>9748691+14367020</f>
        <v>24115711</v>
      </c>
      <c r="I26" s="44">
        <v>21327</v>
      </c>
      <c r="K26" s="44">
        <v>33837339</v>
      </c>
      <c r="M26" s="44">
        <f t="shared" si="4"/>
        <v>1664930</v>
      </c>
      <c r="O26" s="44">
        <v>1491475</v>
      </c>
      <c r="Q26" s="44">
        <v>3156405</v>
      </c>
      <c r="S26" s="44">
        <v>23385711</v>
      </c>
      <c r="U26" s="44">
        <f>2715525+163476+521570+580470+598281</f>
        <v>4579322</v>
      </c>
      <c r="W26" s="44">
        <v>2715901</v>
      </c>
      <c r="Y26" s="44">
        <f t="shared" si="3"/>
        <v>30680934</v>
      </c>
      <c r="AB26" s="44">
        <f t="shared" si="1"/>
        <v>0</v>
      </c>
    </row>
    <row r="27" spans="1:29" ht="12.75" customHeight="1">
      <c r="A27" s="44" t="s">
        <v>37</v>
      </c>
      <c r="C27" s="44" t="s">
        <v>38</v>
      </c>
      <c r="E27" s="44">
        <f>+K27-G27-I27</f>
        <v>6351181</v>
      </c>
      <c r="G27" s="44">
        <f>719694+13032319</f>
        <v>13752013</v>
      </c>
      <c r="I27" s="44">
        <v>0</v>
      </c>
      <c r="K27" s="44">
        <v>20103194</v>
      </c>
      <c r="M27" s="44">
        <f t="shared" si="4"/>
        <v>1459472</v>
      </c>
      <c r="O27" s="44">
        <v>1577694</v>
      </c>
      <c r="Q27" s="44">
        <v>3037166</v>
      </c>
      <c r="S27" s="44">
        <v>12507013</v>
      </c>
      <c r="U27" s="44">
        <f>549305+23376+6760+72624+1451135</f>
        <v>2103200</v>
      </c>
      <c r="W27" s="44">
        <v>2455815</v>
      </c>
      <c r="Y27" s="44">
        <f t="shared" si="3"/>
        <v>17066028</v>
      </c>
      <c r="AB27" s="44">
        <f t="shared" si="1"/>
        <v>0</v>
      </c>
    </row>
    <row r="28" spans="1:29" ht="12.75" customHeight="1">
      <c r="A28" s="44" t="s">
        <v>39</v>
      </c>
      <c r="C28" s="44" t="s">
        <v>40</v>
      </c>
      <c r="E28" s="44">
        <f>+K28-G28-I28</f>
        <v>2925919</v>
      </c>
      <c r="G28" s="44">
        <f>2736418+11140382</f>
        <v>13876800</v>
      </c>
      <c r="I28" s="44">
        <v>0</v>
      </c>
      <c r="K28" s="44">
        <v>16802719</v>
      </c>
      <c r="M28" s="44">
        <f t="shared" si="4"/>
        <v>534802</v>
      </c>
      <c r="O28" s="44">
        <v>976275</v>
      </c>
      <c r="Q28" s="44">
        <v>1511077</v>
      </c>
      <c r="S28" s="44">
        <v>12827247</v>
      </c>
      <c r="U28" s="44">
        <f>473442+18466+7930+78242</f>
        <v>578080</v>
      </c>
      <c r="W28" s="44">
        <v>1886315</v>
      </c>
      <c r="Y28" s="44">
        <f t="shared" si="3"/>
        <v>15291642</v>
      </c>
      <c r="AB28" s="44">
        <f t="shared" si="1"/>
        <v>0</v>
      </c>
    </row>
    <row r="29" spans="1:29" ht="12.75" customHeight="1">
      <c r="A29" s="44" t="s">
        <v>41</v>
      </c>
      <c r="C29" s="44" t="s">
        <v>27</v>
      </c>
      <c r="E29" s="44">
        <f>+K29-G29-I29</f>
        <v>15596121</v>
      </c>
      <c r="G29" s="44">
        <f>22532306+51650893</f>
        <v>74183199</v>
      </c>
      <c r="I29" s="44">
        <v>0</v>
      </c>
      <c r="K29" s="44">
        <v>89779320</v>
      </c>
      <c r="M29" s="44">
        <f t="shared" si="4"/>
        <v>12357980</v>
      </c>
      <c r="O29" s="44">
        <v>10670862</v>
      </c>
      <c r="Q29" s="44">
        <v>23028842</v>
      </c>
      <c r="S29" s="44">
        <v>59019083</v>
      </c>
      <c r="U29" s="44">
        <f>2486092+1104494+1093595+395710+628634</f>
        <v>5708525</v>
      </c>
      <c r="W29" s="44">
        <v>2022870</v>
      </c>
      <c r="Y29" s="44">
        <f t="shared" si="3"/>
        <v>66750478</v>
      </c>
      <c r="AB29" s="44">
        <f t="shared" si="1"/>
        <v>0</v>
      </c>
    </row>
    <row r="30" spans="1:29" ht="12.75" customHeight="1">
      <c r="A30" s="44" t="s">
        <v>42</v>
      </c>
      <c r="C30" s="44" t="s">
        <v>43</v>
      </c>
      <c r="E30" s="44">
        <f t="shared" ref="E30:E53" si="5">+K30-G30-I30</f>
        <v>11986009</v>
      </c>
      <c r="G30" s="44">
        <f>5452811+25156571</f>
        <v>30609382</v>
      </c>
      <c r="I30" s="44">
        <v>342343</v>
      </c>
      <c r="K30" s="44">
        <v>42937734</v>
      </c>
      <c r="M30" s="44">
        <f t="shared" si="4"/>
        <v>4129351</v>
      </c>
      <c r="O30" s="44">
        <v>16206069</v>
      </c>
      <c r="Q30" s="44">
        <v>20335420</v>
      </c>
      <c r="S30" s="44">
        <v>15976898</v>
      </c>
      <c r="U30" s="44">
        <f>101672+1040763</f>
        <v>1142435</v>
      </c>
      <c r="W30" s="44">
        <v>5482981</v>
      </c>
      <c r="Y30" s="44">
        <f t="shared" si="3"/>
        <v>22602314</v>
      </c>
      <c r="AB30" s="44">
        <f t="shared" si="1"/>
        <v>0</v>
      </c>
    </row>
    <row r="31" spans="1:29" ht="12.75" customHeight="1">
      <c r="A31" s="44" t="s">
        <v>44</v>
      </c>
      <c r="C31" s="44" t="s">
        <v>45</v>
      </c>
      <c r="E31" s="44">
        <f t="shared" si="5"/>
        <v>29514042</v>
      </c>
      <c r="G31" s="44">
        <f>57712916+39201264</f>
        <v>96914180</v>
      </c>
      <c r="I31" s="44">
        <v>0</v>
      </c>
      <c r="K31" s="44">
        <v>126428222</v>
      </c>
      <c r="M31" s="44">
        <f t="shared" si="4"/>
        <v>8478718</v>
      </c>
      <c r="O31" s="44">
        <v>43765033</v>
      </c>
      <c r="Q31" s="44">
        <v>52243751</v>
      </c>
      <c r="S31" s="44">
        <v>51850887</v>
      </c>
      <c r="U31" s="44">
        <f>559777+1758114+1032339+267317</f>
        <v>3617547</v>
      </c>
      <c r="W31" s="44">
        <v>18716037</v>
      </c>
      <c r="Y31" s="44">
        <f t="shared" si="3"/>
        <v>74184471</v>
      </c>
      <c r="AB31" s="44">
        <f t="shared" si="1"/>
        <v>0</v>
      </c>
    </row>
    <row r="32" spans="1:29" ht="12.75" customHeight="1">
      <c r="A32" s="44" t="s">
        <v>46</v>
      </c>
      <c r="C32" s="44" t="s">
        <v>47</v>
      </c>
      <c r="E32" s="44">
        <f t="shared" si="5"/>
        <v>25257681</v>
      </c>
      <c r="G32" s="44">
        <f>3349097+39533544</f>
        <v>42882641</v>
      </c>
      <c r="I32" s="44">
        <v>113313</v>
      </c>
      <c r="K32" s="44">
        <v>68253635</v>
      </c>
      <c r="M32" s="44">
        <f t="shared" si="4"/>
        <v>9252507</v>
      </c>
      <c r="O32" s="44">
        <v>25039596</v>
      </c>
      <c r="Q32" s="44">
        <v>34292103</v>
      </c>
      <c r="S32" s="44">
        <v>34345954</v>
      </c>
      <c r="U32" s="44">
        <f>557949+6226790+1104727+803520+1148162+409045+1124728</f>
        <v>11374921</v>
      </c>
      <c r="W32" s="44">
        <v>-11759343</v>
      </c>
      <c r="Y32" s="44">
        <f t="shared" si="3"/>
        <v>33961532</v>
      </c>
      <c r="AB32" s="44">
        <f t="shared" si="1"/>
        <v>0</v>
      </c>
    </row>
    <row r="33" spans="1:47" ht="12.75" customHeight="1">
      <c r="A33" s="44" t="s">
        <v>48</v>
      </c>
      <c r="C33" s="44" t="s">
        <v>27</v>
      </c>
      <c r="E33" s="44">
        <f t="shared" si="5"/>
        <v>26075399</v>
      </c>
      <c r="G33" s="44">
        <f>11914608+67275993</f>
        <v>79190601</v>
      </c>
      <c r="I33" s="44">
        <v>87260</v>
      </c>
      <c r="K33" s="44">
        <v>105353260</v>
      </c>
      <c r="M33" s="44">
        <f t="shared" si="4"/>
        <v>10154356</v>
      </c>
      <c r="O33" s="44">
        <v>13032071</v>
      </c>
      <c r="Q33" s="44">
        <v>23186427</v>
      </c>
      <c r="S33" s="44">
        <v>63486515</v>
      </c>
      <c r="U33" s="44">
        <f>1937585+6445832+706135+361444+570816+1170024+716987</f>
        <v>11908823</v>
      </c>
      <c r="W33" s="44">
        <v>6771495</v>
      </c>
      <c r="Y33" s="44">
        <f t="shared" si="3"/>
        <v>82166833</v>
      </c>
      <c r="AB33" s="44">
        <f t="shared" si="1"/>
        <v>0</v>
      </c>
    </row>
    <row r="34" spans="1:47" ht="12.75" customHeight="1">
      <c r="A34" s="44" t="s">
        <v>49</v>
      </c>
      <c r="C34" s="44" t="s">
        <v>27</v>
      </c>
      <c r="E34" s="44">
        <f t="shared" si="5"/>
        <v>16527044</v>
      </c>
      <c r="G34" s="44">
        <f>2989593+29326216</f>
        <v>32315809</v>
      </c>
      <c r="I34" s="44">
        <v>0</v>
      </c>
      <c r="K34" s="44">
        <v>48842853</v>
      </c>
      <c r="M34" s="44">
        <f t="shared" si="4"/>
        <v>5862543</v>
      </c>
      <c r="O34" s="44">
        <v>10611245</v>
      </c>
      <c r="Q34" s="44">
        <v>16473788</v>
      </c>
      <c r="S34" s="44">
        <v>22633964</v>
      </c>
      <c r="U34" s="44">
        <f>817950+5154633+1049956</f>
        <v>7022539</v>
      </c>
      <c r="W34" s="44">
        <v>2712562</v>
      </c>
      <c r="Y34" s="44">
        <f t="shared" si="3"/>
        <v>32369065</v>
      </c>
      <c r="AB34" s="44">
        <f t="shared" si="1"/>
        <v>0</v>
      </c>
    </row>
    <row r="35" spans="1:47" ht="12.75" customHeight="1">
      <c r="A35" s="44" t="s">
        <v>50</v>
      </c>
      <c r="C35" s="44" t="s">
        <v>27</v>
      </c>
      <c r="E35" s="44">
        <f t="shared" si="5"/>
        <v>24417479</v>
      </c>
      <c r="G35" s="44">
        <f>19837013+49321208</f>
        <v>69158221</v>
      </c>
      <c r="I35" s="44">
        <v>0</v>
      </c>
      <c r="K35" s="44">
        <v>93575700</v>
      </c>
      <c r="M35" s="44">
        <f t="shared" si="4"/>
        <v>6499245</v>
      </c>
      <c r="O35" s="44">
        <v>5206142</v>
      </c>
      <c r="Q35" s="44">
        <v>11705387</v>
      </c>
      <c r="S35" s="44">
        <v>66056261</v>
      </c>
      <c r="U35" s="44">
        <f>574620+6705275+1341950+1240057+366682</f>
        <v>10228584</v>
      </c>
      <c r="W35" s="44">
        <v>5585468</v>
      </c>
      <c r="Y35" s="44">
        <f t="shared" si="3"/>
        <v>81870313</v>
      </c>
      <c r="AB35" s="44">
        <f t="shared" si="1"/>
        <v>0</v>
      </c>
    </row>
    <row r="36" spans="1:47" ht="12.75" customHeight="1">
      <c r="A36" s="44" t="s">
        <v>51</v>
      </c>
      <c r="C36" s="44" t="s">
        <v>27</v>
      </c>
      <c r="E36" s="44">
        <f t="shared" si="5"/>
        <v>14013197</v>
      </c>
      <c r="G36" s="44">
        <v>31690419</v>
      </c>
      <c r="I36" s="44">
        <v>92840</v>
      </c>
      <c r="K36" s="44">
        <v>45796456</v>
      </c>
      <c r="M36" s="44">
        <f t="shared" si="4"/>
        <v>5095159</v>
      </c>
      <c r="O36" s="44">
        <v>18153675</v>
      </c>
      <c r="Q36" s="44">
        <v>23248834</v>
      </c>
      <c r="S36" s="44">
        <v>21616798</v>
      </c>
      <c r="U36" s="44">
        <v>3361657</v>
      </c>
      <c r="W36" s="44">
        <v>-2430833</v>
      </c>
      <c r="Y36" s="44">
        <f t="shared" si="3"/>
        <v>22547622</v>
      </c>
      <c r="AB36" s="44">
        <f t="shared" si="1"/>
        <v>0</v>
      </c>
    </row>
    <row r="37" spans="1:47" ht="12.75" customHeight="1">
      <c r="A37" s="44" t="s">
        <v>462</v>
      </c>
      <c r="C37" s="44" t="s">
        <v>66</v>
      </c>
      <c r="E37" s="44">
        <f t="shared" si="5"/>
        <v>3064256</v>
      </c>
      <c r="G37" s="44">
        <f>3042899+6532217</f>
        <v>9575116</v>
      </c>
      <c r="I37" s="44">
        <v>0</v>
      </c>
      <c r="K37" s="44">
        <v>12639372</v>
      </c>
      <c r="M37" s="44">
        <f t="shared" si="4"/>
        <v>1547244</v>
      </c>
      <c r="O37" s="44">
        <v>1122239</v>
      </c>
      <c r="Q37" s="44">
        <v>2669483</v>
      </c>
      <c r="S37" s="44">
        <v>7282046</v>
      </c>
      <c r="U37" s="44">
        <f>844677+45184+291334</f>
        <v>1181195</v>
      </c>
      <c r="W37" s="44">
        <v>1506648</v>
      </c>
      <c r="Y37" s="44">
        <f t="shared" si="3"/>
        <v>9969889</v>
      </c>
      <c r="AB37" s="44">
        <f t="shared" si="1"/>
        <v>0</v>
      </c>
      <c r="AC37" s="47"/>
      <c r="AD37" s="47"/>
      <c r="AE37" s="47"/>
      <c r="AF37" s="47"/>
      <c r="AG37" s="48"/>
      <c r="AH37" s="47"/>
      <c r="AI37" s="47"/>
      <c r="AJ37" s="47"/>
      <c r="AK37" s="48"/>
      <c r="AL37" s="48"/>
      <c r="AM37" s="48"/>
      <c r="AN37" s="48"/>
      <c r="AO37" s="45"/>
      <c r="AP37" s="45"/>
      <c r="AQ37" s="45"/>
      <c r="AR37" s="45"/>
      <c r="AS37" s="45"/>
      <c r="AT37" s="45"/>
      <c r="AU37" s="45"/>
    </row>
    <row r="38" spans="1:47" ht="12.75" customHeight="1">
      <c r="A38" s="44" t="s">
        <v>52</v>
      </c>
      <c r="C38" s="44" t="s">
        <v>53</v>
      </c>
      <c r="E38" s="44">
        <f t="shared" si="5"/>
        <v>23000824</v>
      </c>
      <c r="G38" s="44">
        <f>9341397+32532933</f>
        <v>41874330</v>
      </c>
      <c r="I38" s="44">
        <v>156494</v>
      </c>
      <c r="K38" s="44">
        <v>65031648</v>
      </c>
      <c r="M38" s="44">
        <f t="shared" si="4"/>
        <v>8240482</v>
      </c>
      <c r="O38" s="44">
        <v>7449408</v>
      </c>
      <c r="Q38" s="44">
        <v>15689890</v>
      </c>
      <c r="S38" s="44">
        <v>32426336</v>
      </c>
      <c r="U38" s="44">
        <f>4252051+2939856+1813015+1556605+2150145+1105854+506586+272600+29793</f>
        <v>14626505</v>
      </c>
      <c r="W38" s="44">
        <v>2288917</v>
      </c>
      <c r="Y38" s="44">
        <f t="shared" si="3"/>
        <v>49341758</v>
      </c>
      <c r="AB38" s="44">
        <f t="shared" si="1"/>
        <v>0</v>
      </c>
    </row>
    <row r="39" spans="1:47" ht="12.75" customHeight="1">
      <c r="A39" s="44" t="s">
        <v>54</v>
      </c>
      <c r="C39" s="44" t="s">
        <v>55</v>
      </c>
      <c r="E39" s="44">
        <f t="shared" si="5"/>
        <v>18460061</v>
      </c>
      <c r="G39" s="44">
        <v>20946631</v>
      </c>
      <c r="I39" s="44">
        <v>0</v>
      </c>
      <c r="K39" s="44">
        <v>39406692</v>
      </c>
      <c r="M39" s="44">
        <f t="shared" si="4"/>
        <v>3236401</v>
      </c>
      <c r="O39" s="44">
        <v>809759</v>
      </c>
      <c r="Q39" s="44">
        <v>4046160</v>
      </c>
      <c r="S39" s="44">
        <v>18846631</v>
      </c>
      <c r="U39" s="44">
        <f>4062302+14995+10585116</f>
        <v>14662413</v>
      </c>
      <c r="W39" s="44">
        <v>1851488</v>
      </c>
      <c r="Y39" s="44">
        <f t="shared" si="3"/>
        <v>35360532</v>
      </c>
      <c r="AB39" s="44">
        <f t="shared" si="1"/>
        <v>0</v>
      </c>
    </row>
    <row r="40" spans="1:47" ht="12.75" customHeight="1">
      <c r="A40" s="44" t="s">
        <v>56</v>
      </c>
      <c r="C40" s="44" t="s">
        <v>57</v>
      </c>
      <c r="E40" s="44">
        <f t="shared" si="5"/>
        <v>8078941</v>
      </c>
      <c r="G40" s="44">
        <f>2339358+12893311</f>
        <v>15232669</v>
      </c>
      <c r="I40" s="44">
        <v>0</v>
      </c>
      <c r="K40" s="44">
        <v>23311610</v>
      </c>
      <c r="M40" s="44">
        <f t="shared" si="4"/>
        <v>2147700</v>
      </c>
      <c r="O40" s="44">
        <v>1101108</v>
      </c>
      <c r="Q40" s="44">
        <v>3248808</v>
      </c>
      <c r="S40" s="44">
        <v>14956056</v>
      </c>
      <c r="U40" s="44">
        <f>583317+1200+1962484+918227</f>
        <v>3465228</v>
      </c>
      <c r="W40" s="44">
        <v>1641518</v>
      </c>
      <c r="Y40" s="44">
        <f t="shared" si="3"/>
        <v>20062802</v>
      </c>
      <c r="AB40" s="44">
        <f t="shared" si="1"/>
        <v>0</v>
      </c>
    </row>
    <row r="41" spans="1:47" ht="12.75" customHeight="1">
      <c r="A41" s="44" t="s">
        <v>58</v>
      </c>
      <c r="C41" s="44" t="s">
        <v>59</v>
      </c>
      <c r="E41" s="44">
        <f t="shared" si="5"/>
        <v>12910570</v>
      </c>
      <c r="G41" s="44">
        <f>4239549+14572352</f>
        <v>18811901</v>
      </c>
      <c r="I41" s="44">
        <v>0</v>
      </c>
      <c r="K41" s="44">
        <v>31722471</v>
      </c>
      <c r="M41" s="44">
        <f t="shared" si="4"/>
        <v>3187872</v>
      </c>
      <c r="O41" s="44">
        <v>5547951</v>
      </c>
      <c r="Q41" s="44">
        <v>8735823</v>
      </c>
      <c r="S41" s="44">
        <v>17350502</v>
      </c>
      <c r="U41" s="44">
        <f>315955+3555027</f>
        <v>3870982</v>
      </c>
      <c r="W41" s="44">
        <v>1765164</v>
      </c>
      <c r="Y41" s="44">
        <f t="shared" si="3"/>
        <v>22986648</v>
      </c>
      <c r="AB41" s="44">
        <f t="shared" si="1"/>
        <v>0</v>
      </c>
    </row>
    <row r="42" spans="1:47" ht="12.75" customHeight="1">
      <c r="A42" s="44" t="s">
        <v>476</v>
      </c>
      <c r="C42" s="44" t="s">
        <v>15</v>
      </c>
      <c r="E42" s="44">
        <f t="shared" si="5"/>
        <v>2057944</v>
      </c>
      <c r="G42" s="44">
        <f>2668100+8151499</f>
        <v>10819599</v>
      </c>
      <c r="I42" s="44">
        <v>0</v>
      </c>
      <c r="K42" s="44">
        <v>12877543</v>
      </c>
      <c r="M42" s="44">
        <f>+Q42-O42</f>
        <v>607826</v>
      </c>
      <c r="O42" s="44">
        <v>1345350</v>
      </c>
      <c r="Q42" s="44">
        <v>1953176</v>
      </c>
      <c r="S42" s="44">
        <v>9423905</v>
      </c>
      <c r="U42" s="44">
        <f>439037+55191+282808+61410+114031</f>
        <v>952477</v>
      </c>
      <c r="W42" s="44">
        <v>547985</v>
      </c>
      <c r="Y42" s="44">
        <f t="shared" si="3"/>
        <v>10924367</v>
      </c>
      <c r="AB42" s="44">
        <f>+K42-Q42-Y42</f>
        <v>0</v>
      </c>
    </row>
    <row r="43" spans="1:47" ht="12.75" customHeight="1">
      <c r="A43" s="44" t="s">
        <v>60</v>
      </c>
      <c r="C43" s="44" t="s">
        <v>61</v>
      </c>
      <c r="E43" s="44">
        <f>+K43-G43-I43</f>
        <v>5427473</v>
      </c>
      <c r="G43" s="44">
        <f>2141376+10782544</f>
        <v>12923920</v>
      </c>
      <c r="I43" s="44">
        <v>0</v>
      </c>
      <c r="K43" s="44">
        <v>18351393</v>
      </c>
      <c r="M43" s="44">
        <f t="shared" si="4"/>
        <v>976231</v>
      </c>
      <c r="O43" s="44">
        <v>1378075</v>
      </c>
      <c r="Q43" s="44">
        <v>2354306</v>
      </c>
      <c r="S43" s="44">
        <v>11579811</v>
      </c>
      <c r="U43" s="44">
        <f>26540+181267+83699+6830+1175190+167734+80857+132158+87400</f>
        <v>1941675</v>
      </c>
      <c r="W43" s="44">
        <v>2475601</v>
      </c>
      <c r="Y43" s="44">
        <f t="shared" si="3"/>
        <v>15997087</v>
      </c>
      <c r="AB43" s="44">
        <f t="shared" si="1"/>
        <v>0</v>
      </c>
    </row>
    <row r="44" spans="1:47" ht="12.75" customHeight="1">
      <c r="A44" s="44" t="s">
        <v>62</v>
      </c>
      <c r="C44" s="44" t="s">
        <v>15</v>
      </c>
      <c r="E44" s="44">
        <f>+K44-G44-I44</f>
        <v>62494699</v>
      </c>
      <c r="G44" s="44">
        <v>108537316</v>
      </c>
      <c r="I44" s="44">
        <v>0</v>
      </c>
      <c r="K44" s="44">
        <v>171032015</v>
      </c>
      <c r="M44" s="44">
        <f t="shared" si="4"/>
        <v>14556365</v>
      </c>
      <c r="O44" s="44">
        <v>27096075</v>
      </c>
      <c r="Q44" s="44">
        <v>41652440</v>
      </c>
      <c r="S44" s="44">
        <v>94685173</v>
      </c>
      <c r="U44" s="44">
        <f>14906285+2431845+4099122+330596+912062+60667+1076244+21245+14295621</f>
        <v>38133687</v>
      </c>
      <c r="W44" s="44">
        <v>-3439285</v>
      </c>
      <c r="Y44" s="44">
        <f t="shared" si="3"/>
        <v>129379575</v>
      </c>
      <c r="AB44" s="44">
        <f t="shared" si="1"/>
        <v>0</v>
      </c>
    </row>
    <row r="45" spans="1:47" ht="12.75" customHeight="1">
      <c r="A45" s="44" t="s">
        <v>485</v>
      </c>
      <c r="C45" s="44" t="s">
        <v>111</v>
      </c>
      <c r="E45" s="44">
        <f>+K45-G45-I45</f>
        <v>2417851</v>
      </c>
      <c r="G45" s="44">
        <f>1534653+3001610</f>
        <v>4536263</v>
      </c>
      <c r="I45" s="44">
        <v>0</v>
      </c>
      <c r="K45" s="44">
        <v>6954114</v>
      </c>
      <c r="M45" s="44">
        <f>+Q45-O45</f>
        <v>2702240</v>
      </c>
      <c r="O45" s="44">
        <v>600769</v>
      </c>
      <c r="Q45" s="44">
        <v>3303009</v>
      </c>
      <c r="S45" s="44">
        <v>2150263</v>
      </c>
      <c r="U45" s="44">
        <f>256976+4219+579394+596482+24175</f>
        <v>1461246</v>
      </c>
      <c r="W45" s="44">
        <v>39596</v>
      </c>
      <c r="Y45" s="44">
        <f t="shared" si="3"/>
        <v>3651105</v>
      </c>
      <c r="AB45" s="44">
        <f>+K45-Q45-Y45</f>
        <v>0</v>
      </c>
    </row>
    <row r="46" spans="1:47" ht="12.75" customHeight="1">
      <c r="A46" s="44" t="s">
        <v>469</v>
      </c>
      <c r="C46" s="44" t="s">
        <v>64</v>
      </c>
      <c r="E46" s="44">
        <f t="shared" si="5"/>
        <v>6625588</v>
      </c>
      <c r="G46" s="44">
        <f>11617133+5275607</f>
        <v>16892740</v>
      </c>
      <c r="I46" s="44">
        <v>0</v>
      </c>
      <c r="K46" s="44">
        <v>23518328</v>
      </c>
      <c r="M46" s="44">
        <f t="shared" si="4"/>
        <v>6017792</v>
      </c>
      <c r="O46" s="44">
        <v>1906713</v>
      </c>
      <c r="Q46" s="44">
        <v>7924505</v>
      </c>
      <c r="S46" s="44">
        <v>13139117</v>
      </c>
      <c r="U46" s="44">
        <f>32607+631960+816028</f>
        <v>1480595</v>
      </c>
      <c r="W46" s="44">
        <v>974111</v>
      </c>
      <c r="Y46" s="44">
        <f t="shared" si="3"/>
        <v>15593823</v>
      </c>
      <c r="AB46" s="44">
        <f t="shared" si="1"/>
        <v>0</v>
      </c>
    </row>
    <row r="47" spans="1:47" ht="12.75" customHeight="1">
      <c r="A47" s="44" t="s">
        <v>65</v>
      </c>
      <c r="C47" s="44" t="s">
        <v>66</v>
      </c>
      <c r="E47" s="44">
        <f t="shared" si="5"/>
        <v>35666626</v>
      </c>
      <c r="G47" s="44">
        <f>8596604+36931362</f>
        <v>45527966</v>
      </c>
      <c r="I47" s="44">
        <v>123083</v>
      </c>
      <c r="K47" s="44">
        <v>81317675</v>
      </c>
      <c r="M47" s="44">
        <f t="shared" si="4"/>
        <v>4941286</v>
      </c>
      <c r="O47" s="44">
        <v>20605763</v>
      </c>
      <c r="Q47" s="44">
        <v>25547049</v>
      </c>
      <c r="S47" s="44">
        <v>24277895</v>
      </c>
      <c r="U47" s="44">
        <f>12838506+4605850+1259487</f>
        <v>18703843</v>
      </c>
      <c r="W47" s="44">
        <v>12788888</v>
      </c>
      <c r="Y47" s="44">
        <f t="shared" si="3"/>
        <v>55770626</v>
      </c>
      <c r="AB47" s="44">
        <f t="shared" si="1"/>
        <v>0</v>
      </c>
    </row>
    <row r="48" spans="1:47" ht="12.75" customHeight="1">
      <c r="A48" s="44" t="s">
        <v>67</v>
      </c>
      <c r="C48" s="44" t="s">
        <v>375</v>
      </c>
      <c r="E48" s="44">
        <f t="shared" si="5"/>
        <v>7709480</v>
      </c>
      <c r="G48" s="44">
        <f>2726496+34334789</f>
        <v>37061285</v>
      </c>
      <c r="I48" s="44">
        <v>0</v>
      </c>
      <c r="K48" s="44">
        <v>44770765</v>
      </c>
      <c r="M48" s="44">
        <f t="shared" si="4"/>
        <v>2160503</v>
      </c>
      <c r="O48" s="44">
        <v>2306844</v>
      </c>
      <c r="Q48" s="44">
        <v>4467347</v>
      </c>
      <c r="S48" s="44">
        <v>34925318</v>
      </c>
      <c r="U48" s="44">
        <f>1465372+526969+688117+61646+341071</f>
        <v>3083175</v>
      </c>
      <c r="W48" s="44">
        <v>2294925</v>
      </c>
      <c r="Y48" s="44">
        <f t="shared" si="3"/>
        <v>40303418</v>
      </c>
      <c r="AB48" s="44">
        <f t="shared" si="1"/>
        <v>0</v>
      </c>
    </row>
    <row r="49" spans="1:29" ht="12.75" customHeight="1">
      <c r="A49" s="44" t="s">
        <v>68</v>
      </c>
      <c r="C49" s="44" t="s">
        <v>45</v>
      </c>
      <c r="E49" s="44">
        <f t="shared" si="5"/>
        <v>4185425</v>
      </c>
      <c r="G49" s="44">
        <f>143466+3536253</f>
        <v>3679719</v>
      </c>
      <c r="I49" s="44">
        <v>0</v>
      </c>
      <c r="K49" s="44">
        <v>7865144</v>
      </c>
      <c r="M49" s="44">
        <f t="shared" si="4"/>
        <v>2387709</v>
      </c>
      <c r="O49" s="44">
        <v>175279</v>
      </c>
      <c r="Q49" s="44">
        <v>2562988</v>
      </c>
      <c r="S49" s="44">
        <v>3593301</v>
      </c>
      <c r="U49" s="44">
        <f>112914+679473</f>
        <v>792387</v>
      </c>
      <c r="W49" s="44">
        <v>916468</v>
      </c>
      <c r="Y49" s="44">
        <f t="shared" si="3"/>
        <v>5302156</v>
      </c>
      <c r="AB49" s="44">
        <f t="shared" si="1"/>
        <v>0</v>
      </c>
    </row>
    <row r="50" spans="1:29" ht="12.75" customHeight="1">
      <c r="A50" s="44" t="s">
        <v>69</v>
      </c>
      <c r="C50" s="44" t="s">
        <v>70</v>
      </c>
      <c r="E50" s="44">
        <f t="shared" si="5"/>
        <v>13634836</v>
      </c>
      <c r="G50" s="44">
        <f>11325144+32170461</f>
        <v>43495605</v>
      </c>
      <c r="I50" s="44">
        <v>0</v>
      </c>
      <c r="K50" s="44">
        <v>57130441</v>
      </c>
      <c r="M50" s="44">
        <f t="shared" si="4"/>
        <v>8994551</v>
      </c>
      <c r="O50" s="44">
        <v>2762726</v>
      </c>
      <c r="Q50" s="44">
        <v>11757277</v>
      </c>
      <c r="S50" s="44">
        <v>39109104</v>
      </c>
      <c r="U50" s="44">
        <f>13507+321193+321959+2465846+1234949+1216833+2187+1000</f>
        <v>5577474</v>
      </c>
      <c r="W50" s="44">
        <v>686586</v>
      </c>
      <c r="Y50" s="44">
        <f t="shared" si="3"/>
        <v>45373164</v>
      </c>
      <c r="AB50" s="44">
        <f t="shared" si="1"/>
        <v>0</v>
      </c>
    </row>
    <row r="51" spans="1:29" ht="12.75" customHeight="1">
      <c r="A51" s="44" t="s">
        <v>71</v>
      </c>
      <c r="C51" s="44" t="s">
        <v>45</v>
      </c>
      <c r="E51" s="44">
        <f t="shared" si="5"/>
        <v>428078000</v>
      </c>
      <c r="G51" s="44">
        <f>172685000+52303000+162501000+58257000+142082000+546000+423379000</f>
        <v>1011753000</v>
      </c>
      <c r="I51" s="44">
        <f>228736000+15190000+5015000</f>
        <v>248941000</v>
      </c>
      <c r="K51" s="44">
        <v>1688772000</v>
      </c>
      <c r="M51" s="44">
        <f t="shared" si="4"/>
        <v>246958000</v>
      </c>
      <c r="O51" s="44">
        <f>590051000-6569000</f>
        <v>583482000</v>
      </c>
      <c r="Q51" s="44">
        <v>830440000</v>
      </c>
      <c r="S51" s="44">
        <v>669044000</v>
      </c>
      <c r="U51" s="44">
        <f>858332000-70533000-669044000</f>
        <v>118755000</v>
      </c>
      <c r="W51" s="44">
        <v>70533000</v>
      </c>
      <c r="Y51" s="44">
        <f t="shared" si="3"/>
        <v>858332000</v>
      </c>
      <c r="AB51" s="44">
        <f t="shared" si="1"/>
        <v>0</v>
      </c>
    </row>
    <row r="52" spans="1:29" ht="12.75" customHeight="1">
      <c r="A52" s="44" t="s">
        <v>463</v>
      </c>
      <c r="C52" s="44" t="s">
        <v>464</v>
      </c>
      <c r="E52" s="44">
        <f t="shared" si="5"/>
        <v>8466726</v>
      </c>
      <c r="G52" s="44">
        <f>1188489+21927523</f>
        <v>23116012</v>
      </c>
      <c r="I52" s="44">
        <v>63082</v>
      </c>
      <c r="K52" s="44">
        <v>31645820</v>
      </c>
      <c r="M52" s="44">
        <f t="shared" si="4"/>
        <v>2203469</v>
      </c>
      <c r="O52" s="44">
        <v>3878340</v>
      </c>
      <c r="Q52" s="44">
        <v>6081809</v>
      </c>
      <c r="S52" s="44">
        <v>20143261</v>
      </c>
      <c r="U52" s="44">
        <f>1309825+115356+726369+519989+430849+714363</f>
        <v>3816751</v>
      </c>
      <c r="W52" s="44">
        <v>1603999</v>
      </c>
      <c r="Y52" s="44">
        <f t="shared" si="3"/>
        <v>25564011</v>
      </c>
      <c r="AB52" s="44">
        <f>+K52-Q52-Y52</f>
        <v>0</v>
      </c>
    </row>
    <row r="53" spans="1:29" ht="12.75" customHeight="1">
      <c r="A53" s="44" t="s">
        <v>72</v>
      </c>
      <c r="C53" s="44" t="s">
        <v>66</v>
      </c>
      <c r="E53" s="44">
        <f t="shared" si="5"/>
        <v>8562881</v>
      </c>
      <c r="G53" s="44">
        <f>4073719+5814051</f>
        <v>9887770</v>
      </c>
      <c r="I53" s="44">
        <v>80051</v>
      </c>
      <c r="K53" s="44">
        <v>18530702</v>
      </c>
      <c r="M53" s="44">
        <f t="shared" si="4"/>
        <v>3449417</v>
      </c>
      <c r="O53" s="44">
        <v>4914546</v>
      </c>
      <c r="Q53" s="44">
        <v>8363963</v>
      </c>
      <c r="S53" s="44">
        <v>4985791</v>
      </c>
      <c r="U53" s="44">
        <f>1342084+360771+892564+22449+363736+46459</f>
        <v>3028063</v>
      </c>
      <c r="W53" s="44">
        <v>2152885</v>
      </c>
      <c r="Y53" s="44">
        <f t="shared" si="3"/>
        <v>10166739</v>
      </c>
      <c r="AB53" s="44">
        <f t="shared" si="1"/>
        <v>0</v>
      </c>
    </row>
    <row r="54" spans="1:29" ht="12.75" customHeight="1">
      <c r="A54" s="44" t="s">
        <v>73</v>
      </c>
      <c r="C54" s="44" t="s">
        <v>27</v>
      </c>
      <c r="E54" s="44">
        <f t="shared" si="2"/>
        <v>672624000</v>
      </c>
      <c r="G54" s="44">
        <v>923650000</v>
      </c>
      <c r="I54" s="44">
        <v>9984000</v>
      </c>
      <c r="K54" s="44">
        <v>1606258000</v>
      </c>
      <c r="M54" s="44">
        <f t="shared" si="0"/>
        <v>326315000</v>
      </c>
      <c r="O54" s="44">
        <v>686566000</v>
      </c>
      <c r="Q54" s="44">
        <v>1012881000</v>
      </c>
      <c r="S54" s="44">
        <v>561130000</v>
      </c>
      <c r="U54" s="44">
        <v>166280000</v>
      </c>
      <c r="W54" s="44">
        <v>-134033000</v>
      </c>
      <c r="Y54" s="44">
        <f t="shared" si="3"/>
        <v>593377000</v>
      </c>
      <c r="AB54" s="44">
        <f t="shared" si="1"/>
        <v>0</v>
      </c>
    </row>
    <row r="55" spans="1:29" ht="12.75" customHeight="1">
      <c r="A55" s="44" t="s">
        <v>74</v>
      </c>
      <c r="C55" s="44" t="s">
        <v>27</v>
      </c>
      <c r="E55" s="44">
        <f t="shared" si="2"/>
        <v>40019303</v>
      </c>
      <c r="G55" s="44">
        <f>6024083+61807845</f>
        <v>67831928</v>
      </c>
      <c r="I55" s="44">
        <v>204022</v>
      </c>
      <c r="K55" s="44">
        <v>108055253</v>
      </c>
      <c r="M55" s="44">
        <f t="shared" si="0"/>
        <v>18632588</v>
      </c>
      <c r="O55" s="44">
        <v>18231209</v>
      </c>
      <c r="Q55" s="44">
        <v>36863797</v>
      </c>
      <c r="S55" s="44">
        <v>52671861</v>
      </c>
      <c r="U55" s="44">
        <f>3642458+1677073+1407781+2340532+624999+127450+218745</f>
        <v>10039038</v>
      </c>
      <c r="W55" s="44">
        <v>8480557</v>
      </c>
      <c r="Y55" s="44">
        <f t="shared" si="3"/>
        <v>71191456</v>
      </c>
      <c r="AB55" s="44">
        <f t="shared" si="1"/>
        <v>0</v>
      </c>
      <c r="AC55" s="47"/>
    </row>
    <row r="56" spans="1:29" ht="12.75" customHeight="1">
      <c r="A56" s="44" t="s">
        <v>75</v>
      </c>
      <c r="C56" s="44" t="s">
        <v>76</v>
      </c>
      <c r="E56" s="44">
        <f t="shared" si="2"/>
        <v>2948474</v>
      </c>
      <c r="G56" s="44">
        <f>1828680+15530169</f>
        <v>17358849</v>
      </c>
      <c r="I56" s="44">
        <v>0</v>
      </c>
      <c r="K56" s="44">
        <v>20307323</v>
      </c>
      <c r="M56" s="44">
        <f t="shared" si="0"/>
        <v>1297160</v>
      </c>
      <c r="O56" s="44">
        <v>4699779</v>
      </c>
      <c r="Q56" s="44">
        <v>5996939</v>
      </c>
      <c r="S56" s="44">
        <v>12282436</v>
      </c>
      <c r="U56" s="44">
        <f>761342+481922+73896+79392</f>
        <v>1396552</v>
      </c>
      <c r="W56" s="44">
        <v>631396</v>
      </c>
      <c r="Y56" s="44">
        <f t="shared" si="3"/>
        <v>14310384</v>
      </c>
      <c r="AB56" s="44">
        <f t="shared" si="1"/>
        <v>0</v>
      </c>
    </row>
    <row r="57" spans="1:29" ht="12.75" customHeight="1">
      <c r="A57" s="44" t="s">
        <v>77</v>
      </c>
      <c r="C57" s="44" t="s">
        <v>468</v>
      </c>
      <c r="E57" s="44">
        <f t="shared" si="2"/>
        <v>605511000</v>
      </c>
      <c r="G57" s="44">
        <f>260226000+1558074000</f>
        <v>1818300000</v>
      </c>
      <c r="I57" s="44">
        <v>0</v>
      </c>
      <c r="K57" s="44">
        <v>2423811000</v>
      </c>
      <c r="M57" s="44">
        <f t="shared" si="0"/>
        <v>331415000</v>
      </c>
      <c r="O57" s="44">
        <f>24350000+2000000+5205000+836503000</f>
        <v>868058000</v>
      </c>
      <c r="Q57" s="44">
        <v>1199473000</v>
      </c>
      <c r="S57" s="44">
        <v>949656000</v>
      </c>
      <c r="U57" s="44">
        <f>43717000+150659000+48209000</f>
        <v>242585000</v>
      </c>
      <c r="W57" s="44">
        <v>32097000</v>
      </c>
      <c r="Y57" s="44">
        <f t="shared" si="3"/>
        <v>1224338000</v>
      </c>
      <c r="AB57" s="44">
        <f t="shared" si="1"/>
        <v>0</v>
      </c>
    </row>
    <row r="58" spans="1:29" ht="12.75" customHeight="1">
      <c r="A58" s="44" t="s">
        <v>94</v>
      </c>
      <c r="C58" s="44" t="s">
        <v>94</v>
      </c>
      <c r="E58" s="44">
        <f>+K58-G58-I58</f>
        <v>3010201</v>
      </c>
      <c r="G58" s="44">
        <v>5875160</v>
      </c>
      <c r="I58" s="44">
        <v>0</v>
      </c>
      <c r="K58" s="44">
        <v>8885361</v>
      </c>
      <c r="M58" s="44">
        <f>+Q58-O58</f>
        <v>620353</v>
      </c>
      <c r="O58" s="44">
        <v>83957</v>
      </c>
      <c r="Q58" s="44">
        <v>704310</v>
      </c>
      <c r="S58" s="44">
        <v>5875160</v>
      </c>
      <c r="U58" s="44">
        <f>803756+91222+939931</f>
        <v>1834909</v>
      </c>
      <c r="W58" s="44">
        <v>470982</v>
      </c>
      <c r="Y58" s="44">
        <f t="shared" si="3"/>
        <v>8181051</v>
      </c>
      <c r="AB58" s="44">
        <f>+K58-Q58-Y58</f>
        <v>0</v>
      </c>
    </row>
    <row r="59" spans="1:29" ht="12.75" customHeight="1">
      <c r="A59" s="44" t="s">
        <v>78</v>
      </c>
      <c r="C59" s="44" t="s">
        <v>19</v>
      </c>
      <c r="E59" s="44">
        <f t="shared" si="2"/>
        <v>7674808</v>
      </c>
      <c r="G59" s="44">
        <f>660644+30135547</f>
        <v>30796191</v>
      </c>
      <c r="I59" s="44">
        <v>0</v>
      </c>
      <c r="K59" s="44">
        <v>38470999</v>
      </c>
      <c r="M59" s="44">
        <f t="shared" si="0"/>
        <v>2628605</v>
      </c>
      <c r="O59" s="44">
        <v>3069093</v>
      </c>
      <c r="Q59" s="44">
        <v>5697698</v>
      </c>
      <c r="S59" s="44">
        <v>28804095</v>
      </c>
      <c r="U59" s="44">
        <f>996700+686581+357308+12013+223301+57306+647853</f>
        <v>2981062</v>
      </c>
      <c r="W59" s="44">
        <v>988144</v>
      </c>
      <c r="Y59" s="44">
        <f t="shared" si="3"/>
        <v>32773301</v>
      </c>
      <c r="AB59" s="44">
        <f t="shared" si="1"/>
        <v>0</v>
      </c>
    </row>
    <row r="60" spans="1:29" ht="12.75" customHeight="1">
      <c r="A60" s="44" t="s">
        <v>79</v>
      </c>
      <c r="C60" s="44" t="s">
        <v>80</v>
      </c>
      <c r="E60" s="44">
        <f t="shared" si="2"/>
        <v>4818179</v>
      </c>
      <c r="G60" s="44">
        <f>17576+3788970</f>
        <v>3806546</v>
      </c>
      <c r="I60" s="44">
        <v>0</v>
      </c>
      <c r="K60" s="44">
        <v>8624725</v>
      </c>
      <c r="M60" s="44">
        <f t="shared" si="0"/>
        <v>2496220</v>
      </c>
      <c r="O60" s="44">
        <v>224466</v>
      </c>
      <c r="Q60" s="44">
        <v>2720686</v>
      </c>
      <c r="S60" s="44">
        <v>3806546</v>
      </c>
      <c r="U60" s="44">
        <f>195993+134327+476713+386096+112670</f>
        <v>1305799</v>
      </c>
      <c r="W60" s="44">
        <v>791694</v>
      </c>
      <c r="Y60" s="44">
        <f t="shared" si="3"/>
        <v>5904039</v>
      </c>
      <c r="AB60" s="44">
        <f t="shared" si="1"/>
        <v>0</v>
      </c>
    </row>
    <row r="61" spans="1:29" ht="12.75" customHeight="1">
      <c r="A61" s="46"/>
      <c r="B61" s="46"/>
      <c r="C61" s="46"/>
      <c r="D61" s="44"/>
      <c r="Y61" s="48" t="s">
        <v>484</v>
      </c>
    </row>
    <row r="62" spans="1:29" s="46" customFormat="1" ht="12.75" customHeight="1">
      <c r="A62" s="46" t="s">
        <v>81</v>
      </c>
      <c r="C62" s="46" t="s">
        <v>81</v>
      </c>
      <c r="E62" s="46">
        <f t="shared" si="2"/>
        <v>4002074</v>
      </c>
      <c r="G62" s="46">
        <f>1059518+5468812</f>
        <v>6528330</v>
      </c>
      <c r="I62" s="46">
        <v>0</v>
      </c>
      <c r="K62" s="46">
        <v>10530404</v>
      </c>
      <c r="M62" s="46">
        <f t="shared" si="0"/>
        <v>1232288</v>
      </c>
      <c r="O62" s="46">
        <v>1022008</v>
      </c>
      <c r="Q62" s="46">
        <v>2254296</v>
      </c>
      <c r="S62" s="46">
        <v>5993609</v>
      </c>
      <c r="U62" s="46">
        <f>315550+29542+148932+250000+412145+575969+125450+352911</f>
        <v>2210499</v>
      </c>
      <c r="W62" s="46">
        <v>72000</v>
      </c>
      <c r="Y62" s="46">
        <f t="shared" si="3"/>
        <v>8276108</v>
      </c>
      <c r="AB62" s="46">
        <f t="shared" si="1"/>
        <v>0</v>
      </c>
    </row>
    <row r="63" spans="1:29" ht="12.75" customHeight="1">
      <c r="A63" s="47" t="s">
        <v>465</v>
      </c>
      <c r="C63" s="47" t="s">
        <v>57</v>
      </c>
      <c r="E63" s="44">
        <f t="shared" si="2"/>
        <v>2241458</v>
      </c>
      <c r="G63" s="44">
        <f>380645+496316+4790763</f>
        <v>5667724</v>
      </c>
      <c r="I63" s="44">
        <v>0</v>
      </c>
      <c r="K63" s="44">
        <v>7909182</v>
      </c>
      <c r="M63" s="44">
        <f t="shared" si="0"/>
        <v>687669</v>
      </c>
      <c r="O63" s="44">
        <v>164370</v>
      </c>
      <c r="Q63" s="44">
        <v>852039</v>
      </c>
      <c r="S63" s="44">
        <v>5570505</v>
      </c>
      <c r="U63" s="44">
        <f>576021+75206+122000+49387+175126</f>
        <v>997740</v>
      </c>
      <c r="W63" s="44">
        <v>488898</v>
      </c>
      <c r="Y63" s="44">
        <f t="shared" si="3"/>
        <v>7057143</v>
      </c>
      <c r="AB63" s="44">
        <f>+K63-Q63-Y63</f>
        <v>0</v>
      </c>
    </row>
    <row r="64" spans="1:29" ht="12.75" customHeight="1">
      <c r="A64" s="44" t="s">
        <v>82</v>
      </c>
      <c r="C64" s="44" t="s">
        <v>13</v>
      </c>
      <c r="E64" s="44">
        <f t="shared" si="2"/>
        <v>45486294</v>
      </c>
      <c r="G64" s="44">
        <f>10840815+76186546</f>
        <v>87027361</v>
      </c>
      <c r="I64" s="44">
        <v>10793252</v>
      </c>
      <c r="K64" s="44">
        <v>143306907</v>
      </c>
      <c r="M64" s="44">
        <f t="shared" si="0"/>
        <v>30895035</v>
      </c>
      <c r="O64" s="44">
        <f>6170855+98021+2483339+4079116+107129</f>
        <v>12938460</v>
      </c>
      <c r="Q64" s="44">
        <v>43833495</v>
      </c>
      <c r="S64" s="44">
        <v>74834451</v>
      </c>
      <c r="U64" s="44">
        <f>8757570+109044+7237562+219104</f>
        <v>16323280</v>
      </c>
      <c r="W64" s="44">
        <v>8315681</v>
      </c>
      <c r="Y64" s="44">
        <f t="shared" si="3"/>
        <v>99473412</v>
      </c>
      <c r="AB64" s="44">
        <f t="shared" si="1"/>
        <v>0</v>
      </c>
    </row>
    <row r="65" spans="1:32" ht="12.75" customHeight="1">
      <c r="A65" s="44" t="s">
        <v>83</v>
      </c>
      <c r="C65" s="44" t="s">
        <v>66</v>
      </c>
      <c r="E65" s="44">
        <f t="shared" si="2"/>
        <v>196749735</v>
      </c>
      <c r="G65" s="44">
        <f>109890267+251788163</f>
        <v>361678430</v>
      </c>
      <c r="I65" s="44">
        <v>0</v>
      </c>
      <c r="K65" s="44">
        <v>558428165</v>
      </c>
      <c r="M65" s="44">
        <f t="shared" si="0"/>
        <v>52684310</v>
      </c>
      <c r="O65" s="44">
        <v>99228984</v>
      </c>
      <c r="Q65" s="44">
        <v>151913294</v>
      </c>
      <c r="S65" s="44">
        <v>304910802</v>
      </c>
      <c r="U65" s="44">
        <f>76354+102228+19926984+45589396+5378296+12560397+3013380+4916302</f>
        <v>91563337</v>
      </c>
      <c r="W65" s="44">
        <v>10040732</v>
      </c>
      <c r="Y65" s="44">
        <f t="shared" si="3"/>
        <v>406514871</v>
      </c>
      <c r="AB65" s="44">
        <f t="shared" si="1"/>
        <v>0</v>
      </c>
    </row>
    <row r="66" spans="1:32" ht="12.75" customHeight="1">
      <c r="A66" s="44" t="s">
        <v>84</v>
      </c>
      <c r="C66" s="44" t="s">
        <v>45</v>
      </c>
      <c r="E66" s="44">
        <f t="shared" si="2"/>
        <v>3614833</v>
      </c>
      <c r="G66" s="44">
        <f>367667+3403030</f>
        <v>3770697</v>
      </c>
      <c r="I66" s="44">
        <v>0</v>
      </c>
      <c r="K66" s="44">
        <v>7385530</v>
      </c>
      <c r="M66" s="44">
        <f t="shared" si="0"/>
        <v>1357395</v>
      </c>
      <c r="O66" s="44">
        <v>2753950</v>
      </c>
      <c r="Q66" s="44">
        <v>4111345</v>
      </c>
      <c r="S66" s="44">
        <v>1105861</v>
      </c>
      <c r="U66" s="44">
        <f>24682+487063+83778+70329</f>
        <v>665852</v>
      </c>
      <c r="W66" s="44">
        <v>1502472</v>
      </c>
      <c r="Y66" s="44">
        <f t="shared" si="3"/>
        <v>3274185</v>
      </c>
      <c r="AB66" s="44">
        <f t="shared" si="1"/>
        <v>0</v>
      </c>
    </row>
    <row r="67" spans="1:32" ht="12.75" customHeight="1">
      <c r="A67" s="44" t="s">
        <v>85</v>
      </c>
      <c r="C67" s="44" t="s">
        <v>85</v>
      </c>
      <c r="E67" s="44">
        <f t="shared" si="2"/>
        <v>14925834</v>
      </c>
      <c r="G67" s="44">
        <v>3516957</v>
      </c>
      <c r="I67" s="44">
        <v>12448052</v>
      </c>
      <c r="K67" s="44">
        <v>30890843</v>
      </c>
      <c r="M67" s="44">
        <f t="shared" si="0"/>
        <v>6821902</v>
      </c>
      <c r="O67" s="44">
        <v>458018</v>
      </c>
      <c r="Q67" s="44">
        <v>7279920</v>
      </c>
      <c r="S67" s="44">
        <v>10911726</v>
      </c>
      <c r="U67" s="44">
        <f>23610923-10911726-6351108</f>
        <v>6348089</v>
      </c>
      <c r="W67" s="44">
        <v>6351108</v>
      </c>
      <c r="Y67" s="44">
        <f t="shared" si="3"/>
        <v>23610923</v>
      </c>
      <c r="AB67" s="44">
        <f t="shared" si="1"/>
        <v>0</v>
      </c>
    </row>
    <row r="68" spans="1:32" ht="12.75" customHeight="1">
      <c r="A68" s="44" t="s">
        <v>86</v>
      </c>
      <c r="C68" s="44" t="s">
        <v>86</v>
      </c>
      <c r="E68" s="44">
        <f t="shared" si="2"/>
        <v>33528051</v>
      </c>
      <c r="G68" s="44">
        <f>16613495+54967025</f>
        <v>71580520</v>
      </c>
      <c r="I68" s="44">
        <f>10771+63205</f>
        <v>73976</v>
      </c>
      <c r="K68" s="44">
        <v>105182547</v>
      </c>
      <c r="M68" s="44">
        <f t="shared" si="0"/>
        <v>29027261</v>
      </c>
      <c r="O68" s="44">
        <v>11023537</v>
      </c>
      <c r="Q68" s="44">
        <v>40050798</v>
      </c>
      <c r="S68" s="44">
        <v>42300469</v>
      </c>
      <c r="U68" s="44">
        <f>65131749-42300469-10448342</f>
        <v>12382938</v>
      </c>
      <c r="W68" s="44">
        <v>10448342</v>
      </c>
      <c r="Y68" s="44">
        <f t="shared" si="3"/>
        <v>65131749</v>
      </c>
      <c r="AB68" s="44">
        <f t="shared" si="1"/>
        <v>0</v>
      </c>
    </row>
    <row r="69" spans="1:32" ht="12.75" customHeight="1">
      <c r="A69" s="46" t="s">
        <v>87</v>
      </c>
      <c r="B69" s="46"/>
      <c r="C69" s="46" t="s">
        <v>88</v>
      </c>
      <c r="D69" s="44"/>
      <c r="E69" s="44">
        <f t="shared" si="2"/>
        <v>2734123</v>
      </c>
      <c r="G69" s="44">
        <f>476660+2587991</f>
        <v>3064651</v>
      </c>
      <c r="I69" s="44">
        <v>0</v>
      </c>
      <c r="K69" s="44">
        <v>5798774</v>
      </c>
      <c r="M69" s="44">
        <f t="shared" si="0"/>
        <v>831879</v>
      </c>
      <c r="O69" s="44">
        <v>275344</v>
      </c>
      <c r="Q69" s="44">
        <v>1107223</v>
      </c>
      <c r="S69" s="44">
        <v>3005011</v>
      </c>
      <c r="U69" s="44">
        <f>17437+880598</f>
        <v>898035</v>
      </c>
      <c r="W69" s="44">
        <v>788505</v>
      </c>
      <c r="Y69" s="44">
        <f t="shared" si="3"/>
        <v>4691551</v>
      </c>
      <c r="AB69" s="44">
        <f t="shared" si="1"/>
        <v>0</v>
      </c>
    </row>
    <row r="70" spans="1:32" ht="12.75" customHeight="1">
      <c r="A70" s="44" t="s">
        <v>394</v>
      </c>
      <c r="B70" s="44"/>
      <c r="C70" s="44" t="s">
        <v>89</v>
      </c>
      <c r="D70" s="44"/>
      <c r="E70" s="44">
        <f t="shared" si="2"/>
        <v>6260425</v>
      </c>
      <c r="G70" s="44">
        <f>1624289+15178653</f>
        <v>16802942</v>
      </c>
      <c r="I70" s="44">
        <v>0</v>
      </c>
      <c r="K70" s="44">
        <v>23063367</v>
      </c>
      <c r="M70" s="44">
        <f t="shared" si="0"/>
        <v>2383889</v>
      </c>
      <c r="O70" s="44">
        <v>3626892</v>
      </c>
      <c r="Q70" s="44">
        <v>6010781</v>
      </c>
      <c r="S70" s="44">
        <v>14602942</v>
      </c>
      <c r="U70" s="44">
        <f>632997+115661+250831+422639+2737+38511+1514623</f>
        <v>2977999</v>
      </c>
      <c r="W70" s="44">
        <v>-528355</v>
      </c>
      <c r="Y70" s="44">
        <f t="shared" ref="Y70:Y71" si="6">S70+U70+W70</f>
        <v>17052586</v>
      </c>
      <c r="AB70" s="44">
        <f t="shared" si="1"/>
        <v>0</v>
      </c>
    </row>
    <row r="71" spans="1:32" ht="12.75" customHeight="1">
      <c r="A71" s="44" t="s">
        <v>90</v>
      </c>
      <c r="C71" s="44" t="s">
        <v>43</v>
      </c>
      <c r="E71" s="44">
        <f t="shared" si="2"/>
        <v>102445488</v>
      </c>
      <c r="G71" s="44">
        <f>261451698+124351913</f>
        <v>385803611</v>
      </c>
      <c r="I71" s="44">
        <v>398376</v>
      </c>
      <c r="K71" s="44">
        <v>488647475</v>
      </c>
      <c r="M71" s="44">
        <f t="shared" si="0"/>
        <v>31160167</v>
      </c>
      <c r="O71" s="44">
        <v>51033210</v>
      </c>
      <c r="Q71" s="44">
        <v>82193377</v>
      </c>
      <c r="S71" s="44">
        <v>333958869</v>
      </c>
      <c r="U71" s="44">
        <f>5230588+1735480+432750</f>
        <v>7398818</v>
      </c>
      <c r="W71" s="44">
        <v>65096411</v>
      </c>
      <c r="Y71" s="44">
        <f t="shared" si="6"/>
        <v>406454098</v>
      </c>
      <c r="AB71" s="44">
        <f t="shared" si="1"/>
        <v>0</v>
      </c>
    </row>
    <row r="72" spans="1:32" ht="12.75" customHeight="1">
      <c r="A72" s="47" t="s">
        <v>488</v>
      </c>
      <c r="C72" s="47" t="s">
        <v>27</v>
      </c>
      <c r="E72" s="44">
        <f t="shared" ref="E72:E130" si="7">+K72-G72-I72</f>
        <v>14727347</v>
      </c>
      <c r="G72" s="44">
        <f>1737621+12290703</f>
        <v>14028324</v>
      </c>
      <c r="I72" s="44">
        <v>0</v>
      </c>
      <c r="K72" s="44">
        <v>28755671</v>
      </c>
      <c r="M72" s="44">
        <f t="shared" ref="M72:M130" si="8">+Q72-O72</f>
        <v>5387884</v>
      </c>
      <c r="O72" s="44">
        <v>6587205</v>
      </c>
      <c r="Q72" s="44">
        <v>11975089</v>
      </c>
      <c r="S72" s="44">
        <v>10058068</v>
      </c>
      <c r="U72" s="44">
        <f>1706036+218451+450637+1162711+208204</f>
        <v>3746039</v>
      </c>
      <c r="W72" s="44">
        <v>2976475</v>
      </c>
      <c r="Y72" s="44">
        <f t="shared" ref="Y72:Y130" si="9">S72+U72+W72</f>
        <v>16780582</v>
      </c>
      <c r="AB72" s="44">
        <f t="shared" si="1"/>
        <v>0</v>
      </c>
    </row>
    <row r="73" spans="1:32" ht="12.75" customHeight="1">
      <c r="A73" s="44" t="s">
        <v>93</v>
      </c>
      <c r="C73" s="44" t="s">
        <v>94</v>
      </c>
      <c r="E73" s="44">
        <f t="shared" si="7"/>
        <v>4134319</v>
      </c>
      <c r="G73" s="44">
        <f>585404+5934137</f>
        <v>6519541</v>
      </c>
      <c r="I73" s="44">
        <v>0</v>
      </c>
      <c r="K73" s="44">
        <v>10653860</v>
      </c>
      <c r="M73" s="44">
        <f t="shared" si="8"/>
        <v>1776545</v>
      </c>
      <c r="O73" s="44">
        <v>2471856</v>
      </c>
      <c r="Q73" s="44">
        <v>4248401</v>
      </c>
      <c r="S73" s="44">
        <v>4984512</v>
      </c>
      <c r="U73" s="44">
        <f>372963+80645+497407+685368</f>
        <v>1636383</v>
      </c>
      <c r="W73" s="44">
        <v>-215436</v>
      </c>
      <c r="Y73" s="44">
        <f t="shared" si="9"/>
        <v>6405459</v>
      </c>
      <c r="AB73" s="44">
        <f t="shared" ref="AB73:AB80" si="10">+K73-Q73-Y73</f>
        <v>0</v>
      </c>
    </row>
    <row r="74" spans="1:32" s="46" customFormat="1" ht="12.75" customHeight="1">
      <c r="A74" s="46" t="s">
        <v>95</v>
      </c>
      <c r="C74" s="46" t="s">
        <v>94</v>
      </c>
      <c r="E74" s="44">
        <f t="shared" si="7"/>
        <v>1937047</v>
      </c>
      <c r="F74" s="44"/>
      <c r="G74" s="44">
        <v>5115546</v>
      </c>
      <c r="H74" s="44"/>
      <c r="I74" s="44">
        <v>0</v>
      </c>
      <c r="J74" s="44"/>
      <c r="K74" s="44">
        <v>7052593</v>
      </c>
      <c r="L74" s="44"/>
      <c r="M74" s="44">
        <f t="shared" si="8"/>
        <v>708503</v>
      </c>
      <c r="N74" s="44"/>
      <c r="O74" s="44">
        <v>1024112</v>
      </c>
      <c r="P74" s="44"/>
      <c r="Q74" s="44">
        <v>1732615</v>
      </c>
      <c r="R74" s="44"/>
      <c r="S74" s="44">
        <v>4056217</v>
      </c>
      <c r="T74" s="44"/>
      <c r="U74" s="44">
        <f>19038+3747207</f>
        <v>3766245</v>
      </c>
      <c r="V74" s="44"/>
      <c r="W74" s="44">
        <v>-2502484</v>
      </c>
      <c r="X74" s="44"/>
      <c r="Y74" s="44">
        <f t="shared" si="9"/>
        <v>5319978</v>
      </c>
      <c r="Z74" s="44"/>
      <c r="AA74" s="44"/>
      <c r="AB74" s="44">
        <f t="shared" si="10"/>
        <v>0</v>
      </c>
      <c r="AF74" s="44"/>
    </row>
    <row r="75" spans="1:32" ht="12.75" customHeight="1">
      <c r="A75" s="44" t="s">
        <v>91</v>
      </c>
      <c r="C75" s="44" t="s">
        <v>92</v>
      </c>
      <c r="E75" s="44">
        <f t="shared" si="7"/>
        <v>16940376</v>
      </c>
      <c r="G75" s="44">
        <f>7718119+30446560</f>
        <v>38164679</v>
      </c>
      <c r="I75" s="44">
        <v>0</v>
      </c>
      <c r="K75" s="44">
        <v>55105055</v>
      </c>
      <c r="M75" s="44">
        <f t="shared" si="8"/>
        <v>7115091</v>
      </c>
      <c r="O75" s="44">
        <v>18086290</v>
      </c>
      <c r="Q75" s="44">
        <v>25201381</v>
      </c>
      <c r="S75" s="44">
        <v>21545693</v>
      </c>
      <c r="U75" s="44">
        <v>2752851</v>
      </c>
      <c r="W75" s="44">
        <v>5605130</v>
      </c>
      <c r="Y75" s="44">
        <f t="shared" si="9"/>
        <v>29903674</v>
      </c>
      <c r="AB75" s="44">
        <f t="shared" si="10"/>
        <v>0</v>
      </c>
    </row>
    <row r="76" spans="1:32" ht="12.75" customHeight="1">
      <c r="A76" s="44" t="s">
        <v>96</v>
      </c>
      <c r="C76" s="44" t="s">
        <v>97</v>
      </c>
      <c r="E76" s="44">
        <f t="shared" si="7"/>
        <v>7940543</v>
      </c>
      <c r="G76" s="44">
        <f>820439+111584+7149509</f>
        <v>8081532</v>
      </c>
      <c r="I76" s="44">
        <v>0</v>
      </c>
      <c r="K76" s="44">
        <v>16022075</v>
      </c>
      <c r="M76" s="44">
        <f t="shared" si="8"/>
        <v>1420203</v>
      </c>
      <c r="O76" s="44">
        <v>2285514</v>
      </c>
      <c r="Q76" s="44">
        <v>3705717</v>
      </c>
      <c r="S76" s="44">
        <v>5943323</v>
      </c>
      <c r="U76" s="44">
        <f>842000+29647+5789+149790+388146+2830773+10000</f>
        <v>4256145</v>
      </c>
      <c r="W76" s="44">
        <v>2116890</v>
      </c>
      <c r="Y76" s="44">
        <f t="shared" si="9"/>
        <v>12316358</v>
      </c>
      <c r="AB76" s="44">
        <f t="shared" si="10"/>
        <v>0</v>
      </c>
    </row>
    <row r="77" spans="1:32" ht="12.75" customHeight="1">
      <c r="A77" s="44" t="s">
        <v>98</v>
      </c>
      <c r="C77" s="44" t="s">
        <v>17</v>
      </c>
      <c r="E77" s="44">
        <f t="shared" si="7"/>
        <v>24220548</v>
      </c>
      <c r="G77" s="44">
        <f>6361257+26954151+3639232+5307846+44658995+3341112+350492</f>
        <v>90613085</v>
      </c>
      <c r="I77" s="44">
        <v>215606</v>
      </c>
      <c r="K77" s="44">
        <v>115049239</v>
      </c>
      <c r="M77" s="44">
        <f t="shared" si="8"/>
        <v>15663037</v>
      </c>
      <c r="O77" s="44">
        <v>36112769</v>
      </c>
      <c r="Q77" s="44">
        <v>51775806</v>
      </c>
      <c r="S77" s="44">
        <v>52728068</v>
      </c>
      <c r="U77" s="44">
        <f>856433+347516+4388641+1007160+691077+2571197+460731</f>
        <v>10322755</v>
      </c>
      <c r="W77" s="44">
        <v>222610</v>
      </c>
      <c r="Y77" s="44">
        <f t="shared" si="9"/>
        <v>63273433</v>
      </c>
      <c r="AB77" s="44">
        <f t="shared" si="10"/>
        <v>0</v>
      </c>
    </row>
    <row r="78" spans="1:32" ht="12.75" customHeight="1">
      <c r="A78" s="44" t="s">
        <v>99</v>
      </c>
      <c r="C78" s="44" t="s">
        <v>66</v>
      </c>
      <c r="E78" s="44">
        <f t="shared" si="7"/>
        <v>15998305</v>
      </c>
      <c r="G78" s="44">
        <f>4574466+33283792</f>
        <v>37858258</v>
      </c>
      <c r="I78" s="44">
        <v>0</v>
      </c>
      <c r="K78" s="44">
        <v>53856563</v>
      </c>
      <c r="M78" s="44">
        <f t="shared" si="8"/>
        <v>2085143</v>
      </c>
      <c r="O78" s="44">
        <v>164635</v>
      </c>
      <c r="Q78" s="44">
        <v>2249778</v>
      </c>
      <c r="S78" s="44">
        <v>37858258</v>
      </c>
      <c r="U78" s="44">
        <f>5653308+6069+1571092+795188+835265</f>
        <v>8860922</v>
      </c>
      <c r="W78" s="44">
        <v>4887605</v>
      </c>
      <c r="Y78" s="44">
        <f t="shared" si="9"/>
        <v>51606785</v>
      </c>
      <c r="AB78" s="44">
        <f t="shared" si="10"/>
        <v>0</v>
      </c>
    </row>
    <row r="79" spans="1:32" ht="12.75" customHeight="1">
      <c r="A79" s="44" t="s">
        <v>100</v>
      </c>
      <c r="C79" s="44" t="s">
        <v>27</v>
      </c>
      <c r="E79" s="44">
        <f t="shared" si="7"/>
        <v>30940336</v>
      </c>
      <c r="G79" s="44">
        <f>12693814+56362162</f>
        <v>69055976</v>
      </c>
      <c r="I79" s="44">
        <f>646992+20502</f>
        <v>667494</v>
      </c>
      <c r="K79" s="44">
        <v>100663806</v>
      </c>
      <c r="M79" s="44">
        <f t="shared" si="8"/>
        <v>16465191</v>
      </c>
      <c r="O79" s="44">
        <v>34886456</v>
      </c>
      <c r="Q79" s="44">
        <v>51351647</v>
      </c>
      <c r="S79" s="44">
        <v>37644890</v>
      </c>
      <c r="U79" s="44">
        <f>5396059+1754303+1156848</f>
        <v>8307210</v>
      </c>
      <c r="W79" s="44">
        <v>3360059</v>
      </c>
      <c r="Y79" s="44">
        <f t="shared" si="9"/>
        <v>49312159</v>
      </c>
      <c r="AB79" s="44">
        <f t="shared" si="10"/>
        <v>0</v>
      </c>
    </row>
    <row r="80" spans="1:32" ht="12.75" customHeight="1">
      <c r="A80" s="44" t="s">
        <v>101</v>
      </c>
      <c r="C80" s="44" t="s">
        <v>30</v>
      </c>
      <c r="E80" s="44">
        <f t="shared" si="7"/>
        <v>25394365</v>
      </c>
      <c r="G80" s="44">
        <f>14007447+54921910</f>
        <v>68929357</v>
      </c>
      <c r="I80" s="44">
        <v>0</v>
      </c>
      <c r="K80" s="44">
        <v>94323722</v>
      </c>
      <c r="M80" s="44">
        <f t="shared" si="8"/>
        <v>11358146</v>
      </c>
      <c r="O80" s="44">
        <v>8082830</v>
      </c>
      <c r="Q80" s="44">
        <v>19440976</v>
      </c>
      <c r="S80" s="44">
        <v>57492409</v>
      </c>
      <c r="U80" s="44">
        <f>1999957+2826283+974361+40737+4494037+183686+1036609</f>
        <v>11555670</v>
      </c>
      <c r="W80" s="44">
        <v>5834667</v>
      </c>
      <c r="Y80" s="44">
        <f t="shared" si="9"/>
        <v>74882746</v>
      </c>
      <c r="AB80" s="44">
        <f t="shared" si="10"/>
        <v>0</v>
      </c>
    </row>
    <row r="81" spans="1:28" ht="12.75" customHeight="1">
      <c r="A81" s="44" t="s">
        <v>102</v>
      </c>
      <c r="C81" s="44" t="s">
        <v>103</v>
      </c>
      <c r="E81" s="44">
        <f t="shared" si="7"/>
        <v>35749328</v>
      </c>
      <c r="G81" s="44">
        <f>18639560+64516264</f>
        <v>83155824</v>
      </c>
      <c r="I81" s="44">
        <v>71717</v>
      </c>
      <c r="K81" s="44">
        <v>118976869</v>
      </c>
      <c r="M81" s="44">
        <f t="shared" si="8"/>
        <v>8998195</v>
      </c>
      <c r="O81" s="44">
        <v>19311476</v>
      </c>
      <c r="Q81" s="44">
        <v>28309671</v>
      </c>
      <c r="S81" s="44">
        <v>65966427</v>
      </c>
      <c r="U81" s="44">
        <f>1451329+8237757+5068905</f>
        <v>14757991</v>
      </c>
      <c r="W81" s="44">
        <v>9942780</v>
      </c>
      <c r="Y81" s="44">
        <f t="shared" si="9"/>
        <v>90667198</v>
      </c>
      <c r="AB81" s="44">
        <f t="shared" ref="AB81:AB146" si="11">+K81-Q81-Y81</f>
        <v>0</v>
      </c>
    </row>
    <row r="82" spans="1:28" ht="12.75" customHeight="1">
      <c r="A82" s="44" t="s">
        <v>104</v>
      </c>
      <c r="C82" s="44" t="s">
        <v>13</v>
      </c>
      <c r="E82" s="44">
        <f t="shared" si="7"/>
        <v>16884184</v>
      </c>
      <c r="G82" s="44">
        <f>4205995+61880321</f>
        <v>66086316</v>
      </c>
      <c r="I82" s="44">
        <v>0</v>
      </c>
      <c r="K82" s="44">
        <v>82970500</v>
      </c>
      <c r="M82" s="44">
        <f t="shared" si="8"/>
        <v>4488600</v>
      </c>
      <c r="O82" s="44">
        <v>7561734</v>
      </c>
      <c r="Q82" s="44">
        <v>12050334</v>
      </c>
      <c r="S82" s="44">
        <v>58554464</v>
      </c>
      <c r="U82" s="44">
        <f>3274719+809979+587742+734859+1019+119837</f>
        <v>5528155</v>
      </c>
      <c r="W82" s="44">
        <v>6837547</v>
      </c>
      <c r="Y82" s="44">
        <f t="shared" si="9"/>
        <v>70920166</v>
      </c>
      <c r="AB82" s="44">
        <f t="shared" si="11"/>
        <v>0</v>
      </c>
    </row>
    <row r="83" spans="1:28" ht="12.75" customHeight="1">
      <c r="A83" s="44" t="s">
        <v>105</v>
      </c>
      <c r="C83" s="44" t="s">
        <v>27</v>
      </c>
      <c r="E83" s="44">
        <f t="shared" si="7"/>
        <v>14103222</v>
      </c>
      <c r="G83" s="44">
        <f>1050943+51545837</f>
        <v>52596780</v>
      </c>
      <c r="I83" s="44">
        <v>245457</v>
      </c>
      <c r="K83" s="44">
        <v>66945459</v>
      </c>
      <c r="M83" s="44">
        <f t="shared" si="8"/>
        <v>6442126</v>
      </c>
      <c r="O83" s="44">
        <v>27146176</v>
      </c>
      <c r="Q83" s="44">
        <v>33588302</v>
      </c>
      <c r="S83" s="44">
        <v>27891765</v>
      </c>
      <c r="U83" s="44">
        <f>1823311+250000+617968+214680+367274+289899+1290375+300213</f>
        <v>5153720</v>
      </c>
      <c r="W83" s="44">
        <v>311672</v>
      </c>
      <c r="Y83" s="44">
        <f t="shared" si="9"/>
        <v>33357157</v>
      </c>
      <c r="AB83" s="44">
        <f t="shared" si="11"/>
        <v>0</v>
      </c>
    </row>
    <row r="84" spans="1:28" ht="12.75" customHeight="1">
      <c r="A84" s="44" t="s">
        <v>106</v>
      </c>
      <c r="C84" s="44" t="s">
        <v>107</v>
      </c>
      <c r="E84" s="44">
        <f t="shared" si="7"/>
        <v>20318331</v>
      </c>
      <c r="G84" s="44">
        <f>12816565+70045074</f>
        <v>82861639</v>
      </c>
      <c r="I84" s="44">
        <v>0</v>
      </c>
      <c r="K84" s="44">
        <v>103179970</v>
      </c>
      <c r="M84" s="44">
        <f t="shared" si="8"/>
        <v>7850410</v>
      </c>
      <c r="O84" s="44">
        <v>12578146</v>
      </c>
      <c r="Q84" s="44">
        <v>20428556</v>
      </c>
      <c r="S84" s="44">
        <v>72632017</v>
      </c>
      <c r="U84" s="44">
        <f>796169+120155+377200+1256482+3270228+949428+99+1153077+243317+100000</f>
        <v>8266155</v>
      </c>
      <c r="W84" s="44">
        <v>1853242</v>
      </c>
      <c r="Y84" s="44">
        <f t="shared" si="9"/>
        <v>82751414</v>
      </c>
      <c r="AB84" s="44">
        <f>+K84-Q84-Y84</f>
        <v>0</v>
      </c>
    </row>
    <row r="85" spans="1:28" ht="12.75" customHeight="1">
      <c r="A85" s="44" t="s">
        <v>108</v>
      </c>
      <c r="C85" s="44" t="s">
        <v>45</v>
      </c>
      <c r="E85" s="44">
        <f t="shared" si="7"/>
        <v>19898654</v>
      </c>
      <c r="G85" s="44">
        <f>12969414+24804873</f>
        <v>37774287</v>
      </c>
      <c r="I85" s="44">
        <v>0</v>
      </c>
      <c r="K85" s="44">
        <v>57672941</v>
      </c>
      <c r="M85" s="44">
        <f t="shared" si="8"/>
        <v>7985877</v>
      </c>
      <c r="O85" s="44">
        <v>2700873</v>
      </c>
      <c r="Q85" s="44">
        <v>10686750</v>
      </c>
      <c r="S85" s="44">
        <v>32699754</v>
      </c>
      <c r="U85" s="44">
        <f>45723+7779655</f>
        <v>7825378</v>
      </c>
      <c r="W85" s="44">
        <v>6461059</v>
      </c>
      <c r="Y85" s="44">
        <f t="shared" si="9"/>
        <v>46986191</v>
      </c>
      <c r="AB85" s="44">
        <f>+K85-Q85-Y85</f>
        <v>0</v>
      </c>
    </row>
    <row r="86" spans="1:28" ht="12.75" customHeight="1">
      <c r="A86" s="44" t="s">
        <v>109</v>
      </c>
      <c r="B86" s="44"/>
      <c r="C86" s="44" t="s">
        <v>110</v>
      </c>
      <c r="D86" s="44"/>
      <c r="E86" s="44">
        <f t="shared" si="7"/>
        <v>8054123</v>
      </c>
      <c r="G86" s="44">
        <f>2762472+7146251</f>
        <v>9908723</v>
      </c>
      <c r="I86" s="44">
        <v>0</v>
      </c>
      <c r="K86" s="44">
        <v>17962846</v>
      </c>
      <c r="M86" s="44">
        <f t="shared" si="8"/>
        <v>1873582</v>
      </c>
      <c r="O86" s="44">
        <v>1405867</v>
      </c>
      <c r="Q86" s="44">
        <v>3279449</v>
      </c>
      <c r="S86" s="44">
        <v>9378167</v>
      </c>
      <c r="U86" s="44">
        <f>1108926+22886+81083+1199417+2001878+111390+176072+25012+3699+20000+231049</f>
        <v>4981412</v>
      </c>
      <c r="W86" s="44">
        <v>323818</v>
      </c>
      <c r="Y86" s="44">
        <f t="shared" si="9"/>
        <v>14683397</v>
      </c>
      <c r="AB86" s="44">
        <f t="shared" si="11"/>
        <v>0</v>
      </c>
    </row>
    <row r="87" spans="1:28" ht="12.75" customHeight="1">
      <c r="A87" s="44" t="s">
        <v>43</v>
      </c>
      <c r="C87" s="44" t="s">
        <v>111</v>
      </c>
      <c r="E87" s="44">
        <f t="shared" si="7"/>
        <v>13776353</v>
      </c>
      <c r="G87" s="44">
        <f>19175661+30912591</f>
        <v>50088252</v>
      </c>
      <c r="I87" s="44">
        <v>19390</v>
      </c>
      <c r="K87" s="44">
        <v>63883995</v>
      </c>
      <c r="M87" s="44">
        <f t="shared" si="8"/>
        <v>5338777</v>
      </c>
      <c r="O87" s="44">
        <v>9519573</v>
      </c>
      <c r="Q87" s="44">
        <v>14858350</v>
      </c>
      <c r="S87" s="44">
        <v>40499186</v>
      </c>
      <c r="U87" s="44">
        <f>49025645-40499186-1615731</f>
        <v>6910728</v>
      </c>
      <c r="W87" s="44">
        <v>1615731</v>
      </c>
      <c r="Y87" s="44">
        <f t="shared" si="9"/>
        <v>49025645</v>
      </c>
      <c r="AB87" s="44">
        <f t="shared" si="11"/>
        <v>0</v>
      </c>
    </row>
    <row r="88" spans="1:28" ht="12.75" customHeight="1">
      <c r="A88" s="44" t="s">
        <v>112</v>
      </c>
      <c r="C88" s="44" t="s">
        <v>76</v>
      </c>
      <c r="E88" s="44">
        <f t="shared" si="7"/>
        <v>16575875</v>
      </c>
      <c r="G88" s="44">
        <f>835298+22592441</f>
        <v>23427739</v>
      </c>
      <c r="I88" s="44">
        <v>0</v>
      </c>
      <c r="K88" s="44">
        <v>40003614</v>
      </c>
      <c r="M88" s="44">
        <f t="shared" si="8"/>
        <v>1936745</v>
      </c>
      <c r="O88" s="44">
        <v>4227246</v>
      </c>
      <c r="Q88" s="44">
        <v>6163991</v>
      </c>
      <c r="S88" s="44">
        <v>20428984</v>
      </c>
      <c r="U88" s="44">
        <f>271326+1130144+1824128</f>
        <v>3225598</v>
      </c>
      <c r="W88" s="44">
        <v>10185041</v>
      </c>
      <c r="Y88" s="44">
        <f t="shared" si="9"/>
        <v>33839623</v>
      </c>
      <c r="AB88" s="44">
        <f t="shared" si="11"/>
        <v>0</v>
      </c>
    </row>
    <row r="89" spans="1:28" ht="12.75" customHeight="1">
      <c r="A89" s="44" t="s">
        <v>113</v>
      </c>
      <c r="C89" s="44" t="s">
        <v>43</v>
      </c>
      <c r="E89" s="44">
        <f t="shared" si="7"/>
        <v>44466117</v>
      </c>
      <c r="G89" s="44">
        <f>25410687+57170637</f>
        <v>82581324</v>
      </c>
      <c r="I89" s="44">
        <v>182911</v>
      </c>
      <c r="K89" s="44">
        <v>127230352</v>
      </c>
      <c r="M89" s="44">
        <f t="shared" si="8"/>
        <v>5894936</v>
      </c>
      <c r="O89" s="44">
        <v>22130711</v>
      </c>
      <c r="Q89" s="44">
        <v>28025647</v>
      </c>
      <c r="S89" s="44">
        <v>61737182</v>
      </c>
      <c r="U89" s="44">
        <f>99204705-61737182-21997293</f>
        <v>15470230</v>
      </c>
      <c r="W89" s="44">
        <v>21997293</v>
      </c>
      <c r="Y89" s="44">
        <f t="shared" si="9"/>
        <v>99204705</v>
      </c>
      <c r="AB89" s="44">
        <f t="shared" si="11"/>
        <v>0</v>
      </c>
    </row>
    <row r="90" spans="1:28" ht="12.75" customHeight="1">
      <c r="A90" s="44" t="s">
        <v>489</v>
      </c>
      <c r="C90" s="44" t="s">
        <v>57</v>
      </c>
      <c r="E90" s="44">
        <f t="shared" si="7"/>
        <v>7834968</v>
      </c>
      <c r="G90" s="44">
        <f>3787568+12863372</f>
        <v>16650940</v>
      </c>
      <c r="I90" s="44">
        <v>0</v>
      </c>
      <c r="K90" s="44">
        <v>24485908</v>
      </c>
      <c r="M90" s="44">
        <f t="shared" si="8"/>
        <v>2741211</v>
      </c>
      <c r="O90" s="44">
        <v>2017968</v>
      </c>
      <c r="Q90" s="44">
        <v>4759179</v>
      </c>
      <c r="S90" s="44">
        <v>14176261</v>
      </c>
      <c r="U90" s="44">
        <f>352947+62303+348456+988005+481381</f>
        <v>2233092</v>
      </c>
      <c r="W90" s="44">
        <v>3317376</v>
      </c>
      <c r="Y90" s="44">
        <f t="shared" si="9"/>
        <v>19726729</v>
      </c>
      <c r="AB90" s="44">
        <f t="shared" si="11"/>
        <v>0</v>
      </c>
    </row>
    <row r="91" spans="1:28" ht="12.75" customHeight="1">
      <c r="A91" s="44" t="s">
        <v>114</v>
      </c>
      <c r="C91" s="44" t="s">
        <v>27</v>
      </c>
      <c r="E91" s="44">
        <f t="shared" si="7"/>
        <v>19816195</v>
      </c>
      <c r="G91" s="44">
        <f>2332288+32401037</f>
        <v>34733325</v>
      </c>
      <c r="I91" s="44">
        <v>289422</v>
      </c>
      <c r="K91" s="44">
        <v>54838942</v>
      </c>
      <c r="M91" s="44">
        <f t="shared" si="8"/>
        <v>19598015</v>
      </c>
      <c r="O91" s="44">
        <v>35121688</v>
      </c>
      <c r="Q91" s="44">
        <v>54719703</v>
      </c>
      <c r="S91" s="44">
        <v>12474388</v>
      </c>
      <c r="U91" s="44">
        <f>610918+1413663+221840+86821+858057</f>
        <v>3191299</v>
      </c>
      <c r="W91" s="44">
        <v>-15546448</v>
      </c>
      <c r="Y91" s="44">
        <f t="shared" si="9"/>
        <v>119239</v>
      </c>
      <c r="AB91" s="44">
        <f t="shared" si="11"/>
        <v>0</v>
      </c>
    </row>
    <row r="92" spans="1:28" ht="12.75" customHeight="1">
      <c r="A92" s="44" t="s">
        <v>115</v>
      </c>
      <c r="C92" s="44" t="s">
        <v>19</v>
      </c>
      <c r="E92" s="44">
        <f t="shared" si="7"/>
        <v>5592463</v>
      </c>
      <c r="G92" s="44">
        <f>1373579+13588175</f>
        <v>14961754</v>
      </c>
      <c r="I92" s="44">
        <v>0</v>
      </c>
      <c r="K92" s="44">
        <v>20554217</v>
      </c>
      <c r="M92" s="44">
        <f t="shared" si="8"/>
        <v>1332505</v>
      </c>
      <c r="O92" s="44">
        <v>2905979</v>
      </c>
      <c r="Q92" s="44">
        <v>4238484</v>
      </c>
      <c r="S92" s="44">
        <v>12365695</v>
      </c>
      <c r="U92" s="44">
        <f>200572+379025+1069247</f>
        <v>1648844</v>
      </c>
      <c r="W92" s="44">
        <v>2301194</v>
      </c>
      <c r="Y92" s="44">
        <f t="shared" si="9"/>
        <v>16315733</v>
      </c>
      <c r="AB92" s="44">
        <f t="shared" si="11"/>
        <v>0</v>
      </c>
    </row>
    <row r="93" spans="1:28" ht="12.75" customHeight="1">
      <c r="A93" s="44" t="s">
        <v>116</v>
      </c>
      <c r="C93" s="44" t="s">
        <v>80</v>
      </c>
      <c r="E93" s="44">
        <f t="shared" si="7"/>
        <v>4671402</v>
      </c>
      <c r="G93" s="44">
        <f>1073640+30536495</f>
        <v>31610135</v>
      </c>
      <c r="I93" s="44">
        <v>0</v>
      </c>
      <c r="K93" s="44">
        <v>36281537</v>
      </c>
      <c r="M93" s="44">
        <f t="shared" si="8"/>
        <v>6130543</v>
      </c>
      <c r="O93" s="44">
        <v>864206</v>
      </c>
      <c r="Q93" s="44">
        <v>6994749</v>
      </c>
      <c r="S93" s="44">
        <v>27219571</v>
      </c>
      <c r="U93" s="44">
        <f>29286788-27219571-441222</f>
        <v>1625995</v>
      </c>
      <c r="W93" s="44">
        <v>441222</v>
      </c>
      <c r="Y93" s="44">
        <f t="shared" si="9"/>
        <v>29286788</v>
      </c>
      <c r="AB93" s="44">
        <f t="shared" si="11"/>
        <v>0</v>
      </c>
    </row>
    <row r="94" spans="1:28" ht="12.75" customHeight="1">
      <c r="A94" s="47" t="s">
        <v>117</v>
      </c>
      <c r="C94" s="47" t="s">
        <v>43</v>
      </c>
      <c r="E94" s="44">
        <f t="shared" si="7"/>
        <v>7934108</v>
      </c>
      <c r="G94" s="44">
        <f>803740+5114017</f>
        <v>5917757</v>
      </c>
      <c r="I94" s="44">
        <v>0</v>
      </c>
      <c r="K94" s="44">
        <v>13851865</v>
      </c>
      <c r="M94" s="44">
        <f t="shared" si="8"/>
        <v>2751421</v>
      </c>
      <c r="O94" s="44">
        <v>1572809</v>
      </c>
      <c r="Q94" s="44">
        <v>4324230</v>
      </c>
      <c r="S94" s="44">
        <v>4551855</v>
      </c>
      <c r="U94" s="44">
        <f>9527635-4551855-3683901</f>
        <v>1291879</v>
      </c>
      <c r="W94" s="44">
        <v>3683901</v>
      </c>
      <c r="Y94" s="44">
        <f t="shared" si="9"/>
        <v>9527635</v>
      </c>
      <c r="AB94" s="44">
        <f t="shared" si="11"/>
        <v>0</v>
      </c>
    </row>
    <row r="95" spans="1:28" ht="12.75" customHeight="1">
      <c r="A95" s="44" t="s">
        <v>118</v>
      </c>
      <c r="C95" s="44" t="s">
        <v>13</v>
      </c>
      <c r="E95" s="44">
        <f t="shared" si="7"/>
        <v>62426117</v>
      </c>
      <c r="G95" s="44">
        <f>40419147+54455503</f>
        <v>94874650</v>
      </c>
      <c r="I95" s="44">
        <v>0</v>
      </c>
      <c r="K95" s="44">
        <v>157300767</v>
      </c>
      <c r="M95" s="44">
        <f t="shared" si="8"/>
        <v>24006850</v>
      </c>
      <c r="O95" s="44">
        <v>37512119</v>
      </c>
      <c r="Q95" s="44">
        <v>61518969</v>
      </c>
      <c r="S95" s="44">
        <v>52703033</v>
      </c>
      <c r="U95" s="44">
        <f>95781798-52703033-11253964</f>
        <v>31824801</v>
      </c>
      <c r="W95" s="44">
        <v>11253964</v>
      </c>
      <c r="Y95" s="44">
        <f t="shared" si="9"/>
        <v>95781798</v>
      </c>
      <c r="AB95" s="44">
        <f t="shared" si="11"/>
        <v>0</v>
      </c>
    </row>
    <row r="96" spans="1:28" ht="12.75" customHeight="1">
      <c r="A96" s="44" t="s">
        <v>120</v>
      </c>
      <c r="C96" s="44" t="s">
        <v>121</v>
      </c>
      <c r="E96" s="44">
        <f t="shared" si="7"/>
        <v>9959735</v>
      </c>
      <c r="G96" s="44">
        <f>1336091+14909453</f>
        <v>16245544</v>
      </c>
      <c r="I96" s="44">
        <v>0</v>
      </c>
      <c r="K96" s="44">
        <v>26205279</v>
      </c>
      <c r="M96" s="44">
        <f t="shared" si="8"/>
        <v>2889260</v>
      </c>
      <c r="O96" s="44">
        <v>3579581</v>
      </c>
      <c r="Q96" s="44">
        <v>6468841</v>
      </c>
      <c r="S96" s="44">
        <v>12810129</v>
      </c>
      <c r="U96" s="44">
        <f>350670+419180+1403395+147910</f>
        <v>2321155</v>
      </c>
      <c r="W96" s="44">
        <v>4605154</v>
      </c>
      <c r="Y96" s="44">
        <f t="shared" si="9"/>
        <v>19736438</v>
      </c>
      <c r="AB96" s="44">
        <f t="shared" si="11"/>
        <v>0</v>
      </c>
    </row>
    <row r="97" spans="1:28" ht="12.75" customHeight="1">
      <c r="A97" s="44" t="s">
        <v>122</v>
      </c>
      <c r="C97" s="44" t="s">
        <v>43</v>
      </c>
      <c r="E97" s="44">
        <f t="shared" si="7"/>
        <v>50260664</v>
      </c>
      <c r="G97" s="44">
        <f>44717826+158344706</f>
        <v>203062532</v>
      </c>
      <c r="I97" s="44">
        <v>464680</v>
      </c>
      <c r="K97" s="44">
        <v>253787876</v>
      </c>
      <c r="M97" s="44">
        <f t="shared" si="8"/>
        <v>12074692</v>
      </c>
      <c r="O97" s="44">
        <v>37505690</v>
      </c>
      <c r="Q97" s="44">
        <v>49580382</v>
      </c>
      <c r="S97" s="44">
        <v>167386352</v>
      </c>
      <c r="U97" s="44">
        <f>204207494-167386352-21423364</f>
        <v>15397778</v>
      </c>
      <c r="W97" s="44">
        <v>21423364</v>
      </c>
      <c r="Y97" s="44">
        <f t="shared" si="9"/>
        <v>204207494</v>
      </c>
      <c r="AB97" s="44">
        <f t="shared" si="11"/>
        <v>0</v>
      </c>
    </row>
    <row r="98" spans="1:28" ht="12.75" customHeight="1">
      <c r="A98" s="44" t="s">
        <v>45</v>
      </c>
      <c r="C98" s="44" t="s">
        <v>103</v>
      </c>
      <c r="E98" s="44">
        <f t="shared" si="7"/>
        <v>37290197</v>
      </c>
      <c r="G98" s="44">
        <f>33284374+57703414</f>
        <v>90987788</v>
      </c>
      <c r="I98" s="44">
        <v>361997</v>
      </c>
      <c r="K98" s="44">
        <v>128639982</v>
      </c>
      <c r="M98" s="44">
        <f t="shared" si="8"/>
        <v>17331646</v>
      </c>
      <c r="O98" s="44">
        <v>36148498</v>
      </c>
      <c r="Q98" s="44">
        <v>53480144</v>
      </c>
      <c r="S98" s="44">
        <v>61258050</v>
      </c>
      <c r="U98" s="44">
        <f>75159838-61258050+711156</f>
        <v>14612944</v>
      </c>
      <c r="W98" s="44">
        <v>-711156</v>
      </c>
      <c r="Y98" s="44">
        <f t="shared" si="9"/>
        <v>75159838</v>
      </c>
      <c r="AB98" s="44">
        <f t="shared" si="11"/>
        <v>0</v>
      </c>
    </row>
    <row r="99" spans="1:28" ht="12.75" customHeight="1">
      <c r="A99" s="44" t="s">
        <v>123</v>
      </c>
      <c r="C99" s="44" t="s">
        <v>45</v>
      </c>
      <c r="E99" s="44">
        <f t="shared" si="7"/>
        <v>7911282</v>
      </c>
      <c r="G99" s="44">
        <f>5215445+9362024</f>
        <v>14577469</v>
      </c>
      <c r="I99" s="44">
        <v>100484</v>
      </c>
      <c r="K99" s="44">
        <v>22589235</v>
      </c>
      <c r="M99" s="44">
        <f t="shared" si="8"/>
        <v>3782217</v>
      </c>
      <c r="O99" s="44">
        <v>6539547</v>
      </c>
      <c r="Q99" s="44">
        <v>10321764</v>
      </c>
      <c r="S99" s="44">
        <v>8700582</v>
      </c>
      <c r="U99" s="44">
        <f>12267471-8700582-1258771</f>
        <v>2308118</v>
      </c>
      <c r="W99" s="44">
        <v>1258771</v>
      </c>
      <c r="Y99" s="44">
        <f t="shared" si="9"/>
        <v>12267471</v>
      </c>
      <c r="AB99" s="44">
        <f t="shared" si="11"/>
        <v>0</v>
      </c>
    </row>
    <row r="100" spans="1:28" ht="12.75" customHeight="1">
      <c r="A100" s="44" t="s">
        <v>124</v>
      </c>
      <c r="C100" s="44" t="s">
        <v>125</v>
      </c>
      <c r="E100" s="44">
        <f t="shared" si="7"/>
        <v>10581250</v>
      </c>
      <c r="G100" s="44">
        <f>10604768+18192044</f>
        <v>28796812</v>
      </c>
      <c r="I100" s="44">
        <v>0</v>
      </c>
      <c r="K100" s="44">
        <v>39378062</v>
      </c>
      <c r="M100" s="44">
        <f t="shared" si="8"/>
        <v>2402342</v>
      </c>
      <c r="O100" s="44">
        <v>4433590</v>
      </c>
      <c r="Q100" s="44">
        <v>6835932</v>
      </c>
      <c r="S100" s="44">
        <v>24757330</v>
      </c>
      <c r="U100" s="44">
        <f>3158970+156814+342050+779421+3407</f>
        <v>4440662</v>
      </c>
      <c r="W100" s="44">
        <v>3344138</v>
      </c>
      <c r="Y100" s="44">
        <f t="shared" si="9"/>
        <v>32542130</v>
      </c>
      <c r="AB100" s="44">
        <f>+K100-Q100-Y100</f>
        <v>0</v>
      </c>
    </row>
    <row r="101" spans="1:28" ht="12.75" customHeight="1">
      <c r="A101" s="44" t="s">
        <v>126</v>
      </c>
      <c r="C101" s="44" t="s">
        <v>27</v>
      </c>
      <c r="E101" s="44">
        <f t="shared" si="7"/>
        <v>17935173</v>
      </c>
      <c r="G101" s="44">
        <f>3363984+44534618</f>
        <v>47898602</v>
      </c>
      <c r="I101" s="44">
        <v>62583</v>
      </c>
      <c r="K101" s="44">
        <v>65896358</v>
      </c>
      <c r="M101" s="44">
        <f t="shared" si="8"/>
        <v>3839794</v>
      </c>
      <c r="O101" s="44">
        <v>13808076</v>
      </c>
      <c r="Q101" s="44">
        <v>17647870</v>
      </c>
      <c r="S101" s="44">
        <v>33595689</v>
      </c>
      <c r="U101" s="44">
        <f>7510995+56935+523053+165954</f>
        <v>8256937</v>
      </c>
      <c r="W101" s="44">
        <v>6395862</v>
      </c>
      <c r="Y101" s="44">
        <f t="shared" si="9"/>
        <v>48248488</v>
      </c>
      <c r="AB101" s="44">
        <f t="shared" si="11"/>
        <v>0</v>
      </c>
    </row>
    <row r="102" spans="1:28" ht="12.75" customHeight="1">
      <c r="A102" s="44" t="s">
        <v>127</v>
      </c>
      <c r="C102" s="44" t="s">
        <v>43</v>
      </c>
      <c r="E102" s="44">
        <f t="shared" si="7"/>
        <v>24983611</v>
      </c>
      <c r="G102" s="44">
        <f>7953351+396565776-147455850</f>
        <v>257063277</v>
      </c>
      <c r="I102" s="44">
        <v>818626</v>
      </c>
      <c r="K102" s="44">
        <v>282865514</v>
      </c>
      <c r="M102" s="44">
        <f t="shared" si="8"/>
        <v>7337053</v>
      </c>
      <c r="O102" s="44">
        <v>59866094</v>
      </c>
      <c r="Q102" s="44">
        <v>67203147</v>
      </c>
      <c r="S102" s="44">
        <v>197699834</v>
      </c>
      <c r="U102" s="44">
        <f>4352561+1630137+2797963+5793314</f>
        <v>14573975</v>
      </c>
      <c r="W102" s="44">
        <v>3388558</v>
      </c>
      <c r="Y102" s="44">
        <f t="shared" si="9"/>
        <v>215662367</v>
      </c>
      <c r="AB102" s="44">
        <f t="shared" si="11"/>
        <v>0</v>
      </c>
    </row>
    <row r="103" spans="1:28" ht="12.75" customHeight="1">
      <c r="A103" s="44" t="s">
        <v>128</v>
      </c>
      <c r="C103" s="44" t="s">
        <v>119</v>
      </c>
      <c r="E103" s="44">
        <f t="shared" si="7"/>
        <v>5386202</v>
      </c>
      <c r="G103" s="44">
        <f>2084368+12231367</f>
        <v>14315735</v>
      </c>
      <c r="I103" s="44">
        <v>0</v>
      </c>
      <c r="K103" s="44">
        <v>19701937</v>
      </c>
      <c r="M103" s="44">
        <f t="shared" si="8"/>
        <v>1141694</v>
      </c>
      <c r="O103" s="44">
        <v>3595403</v>
      </c>
      <c r="Q103" s="44">
        <v>4737097</v>
      </c>
      <c r="S103" s="44">
        <v>10873096</v>
      </c>
      <c r="U103" s="44">
        <f>340551+62509+544765+817613</f>
        <v>1765438</v>
      </c>
      <c r="W103" s="44">
        <v>2326306</v>
      </c>
      <c r="Y103" s="44">
        <f t="shared" si="9"/>
        <v>14964840</v>
      </c>
      <c r="AB103" s="44">
        <f>+K103-Q103-Y103</f>
        <v>0</v>
      </c>
    </row>
    <row r="104" spans="1:28" ht="12.75" customHeight="1">
      <c r="A104" s="44" t="s">
        <v>129</v>
      </c>
      <c r="C104" s="44" t="s">
        <v>80</v>
      </c>
      <c r="E104" s="44">
        <f t="shared" si="7"/>
        <v>2043183</v>
      </c>
      <c r="G104" s="44">
        <v>4968632</v>
      </c>
      <c r="I104" s="44">
        <v>79755</v>
      </c>
      <c r="K104" s="44">
        <v>7091570</v>
      </c>
      <c r="M104" s="44">
        <f t="shared" si="8"/>
        <v>1196142</v>
      </c>
      <c r="O104" s="44">
        <v>3377204</v>
      </c>
      <c r="Q104" s="44">
        <v>4573346</v>
      </c>
      <c r="S104" s="44">
        <v>1296622</v>
      </c>
      <c r="U104" s="44">
        <f>2518224-1296622-726241</f>
        <v>495361</v>
      </c>
      <c r="W104" s="44">
        <v>726241</v>
      </c>
      <c r="Y104" s="44">
        <f t="shared" si="9"/>
        <v>2518224</v>
      </c>
      <c r="AB104" s="44">
        <f t="shared" si="11"/>
        <v>0</v>
      </c>
    </row>
    <row r="105" spans="1:28" ht="12.75" customHeight="1">
      <c r="A105" s="44" t="s">
        <v>130</v>
      </c>
      <c r="C105" s="44" t="s">
        <v>66</v>
      </c>
      <c r="E105" s="44">
        <f t="shared" si="7"/>
        <v>53504409</v>
      </c>
      <c r="G105" s="44">
        <f>22216904+72251721</f>
        <v>94468625</v>
      </c>
      <c r="I105" s="44">
        <v>126295</v>
      </c>
      <c r="K105" s="44">
        <v>148099329</v>
      </c>
      <c r="M105" s="44">
        <f t="shared" si="8"/>
        <v>10081947</v>
      </c>
      <c r="O105" s="44">
        <v>22370773</v>
      </c>
      <c r="Q105" s="44">
        <v>32452720</v>
      </c>
      <c r="S105" s="44">
        <v>70020847</v>
      </c>
      <c r="U105" s="44">
        <f>3668064+138140+7161885+18740980+4143157</f>
        <v>33852226</v>
      </c>
      <c r="W105" s="44">
        <v>11773536</v>
      </c>
      <c r="Y105" s="44">
        <f t="shared" si="9"/>
        <v>115646609</v>
      </c>
      <c r="AB105" s="44">
        <f t="shared" si="11"/>
        <v>0</v>
      </c>
    </row>
    <row r="106" spans="1:28" ht="12.75" customHeight="1">
      <c r="A106" s="44" t="s">
        <v>131</v>
      </c>
      <c r="C106" s="44" t="s">
        <v>13</v>
      </c>
      <c r="E106" s="44">
        <f t="shared" si="7"/>
        <v>39728292</v>
      </c>
      <c r="G106" s="44">
        <f>21881981+85950215</f>
        <v>107832196</v>
      </c>
      <c r="I106" s="44">
        <v>152053</v>
      </c>
      <c r="K106" s="44">
        <v>147712541</v>
      </c>
      <c r="M106" s="44">
        <f t="shared" si="8"/>
        <v>23191504</v>
      </c>
      <c r="O106" s="44">
        <v>24887656</v>
      </c>
      <c r="Q106" s="44">
        <v>48079160</v>
      </c>
      <c r="S106" s="44">
        <v>77816901</v>
      </c>
      <c r="U106" s="44">
        <f>1294188+712574+5893689+38772</f>
        <v>7939223</v>
      </c>
      <c r="W106" s="44">
        <v>13877257</v>
      </c>
      <c r="Y106" s="44">
        <f t="shared" si="9"/>
        <v>99633381</v>
      </c>
      <c r="AB106" s="44">
        <f>+K106-Q106-Y106</f>
        <v>0</v>
      </c>
    </row>
    <row r="107" spans="1:28" ht="12.75" customHeight="1">
      <c r="A107" s="44" t="s">
        <v>38</v>
      </c>
      <c r="C107" s="44" t="s">
        <v>132</v>
      </c>
      <c r="E107" s="44">
        <f t="shared" si="7"/>
        <v>4612199</v>
      </c>
      <c r="G107" s="44">
        <f>664026+3637170</f>
        <v>4301196</v>
      </c>
      <c r="I107" s="44">
        <v>180870</v>
      </c>
      <c r="K107" s="44">
        <v>9094265</v>
      </c>
      <c r="M107" s="44">
        <f t="shared" si="8"/>
        <v>1856620</v>
      </c>
      <c r="O107" s="44">
        <v>2485060</v>
      </c>
      <c r="Q107" s="44">
        <v>4341680</v>
      </c>
      <c r="S107" s="44">
        <v>2036113</v>
      </c>
      <c r="U107" s="44">
        <f>572148+27387+1134175</f>
        <v>1733710</v>
      </c>
      <c r="W107" s="44">
        <v>982762</v>
      </c>
      <c r="Y107" s="44">
        <f t="shared" si="9"/>
        <v>4752585</v>
      </c>
      <c r="AB107" s="44">
        <f t="shared" si="11"/>
        <v>0</v>
      </c>
    </row>
    <row r="108" spans="1:28" ht="12.75" customHeight="1">
      <c r="A108" s="44" t="s">
        <v>133</v>
      </c>
      <c r="C108" s="44" t="s">
        <v>27</v>
      </c>
      <c r="E108" s="44">
        <f t="shared" si="7"/>
        <v>22138314</v>
      </c>
      <c r="G108" s="44">
        <f>16522993+76107413</f>
        <v>92630406</v>
      </c>
      <c r="I108" s="44">
        <v>334730</v>
      </c>
      <c r="K108" s="44">
        <v>115103450</v>
      </c>
      <c r="M108" s="44">
        <f t="shared" si="8"/>
        <v>6709006</v>
      </c>
      <c r="O108" s="44">
        <v>31138793</v>
      </c>
      <c r="Q108" s="44">
        <v>37847799</v>
      </c>
      <c r="S108" s="44">
        <v>60671712</v>
      </c>
      <c r="U108" s="44">
        <f>5106336+160172+370883+638719</f>
        <v>6276110</v>
      </c>
      <c r="W108" s="44">
        <v>10307829</v>
      </c>
      <c r="Y108" s="44">
        <f t="shared" si="9"/>
        <v>77255651</v>
      </c>
      <c r="AB108" s="44">
        <f t="shared" si="11"/>
        <v>0</v>
      </c>
    </row>
    <row r="109" spans="1:28" ht="12.75" hidden="1" customHeight="1">
      <c r="A109" s="44" t="s">
        <v>482</v>
      </c>
      <c r="C109" s="44" t="s">
        <v>45</v>
      </c>
      <c r="E109" s="44">
        <f t="shared" si="7"/>
        <v>0</v>
      </c>
      <c r="G109" s="44">
        <v>0</v>
      </c>
      <c r="I109" s="44">
        <v>0</v>
      </c>
      <c r="K109" s="44">
        <v>0</v>
      </c>
      <c r="M109" s="44">
        <f t="shared" si="8"/>
        <v>0</v>
      </c>
      <c r="O109" s="44">
        <v>0</v>
      </c>
      <c r="Q109" s="44">
        <v>0</v>
      </c>
      <c r="S109" s="44">
        <v>0</v>
      </c>
      <c r="U109" s="44">
        <v>0</v>
      </c>
      <c r="W109" s="44">
        <v>0</v>
      </c>
      <c r="Y109" s="44">
        <f t="shared" si="9"/>
        <v>0</v>
      </c>
      <c r="AB109" s="44">
        <f t="shared" si="11"/>
        <v>0</v>
      </c>
    </row>
    <row r="110" spans="1:28" ht="12.75" customHeight="1">
      <c r="A110" s="44" t="s">
        <v>136</v>
      </c>
      <c r="C110" s="44" t="s">
        <v>136</v>
      </c>
      <c r="E110" s="44">
        <f t="shared" si="7"/>
        <v>6648584</v>
      </c>
      <c r="G110" s="44">
        <f>1171968+6514127</f>
        <v>7686095</v>
      </c>
      <c r="I110" s="44">
        <v>0</v>
      </c>
      <c r="K110" s="44">
        <v>14334679</v>
      </c>
      <c r="M110" s="44">
        <f t="shared" si="8"/>
        <v>1068585</v>
      </c>
      <c r="O110" s="44">
        <v>938944</v>
      </c>
      <c r="Q110" s="44">
        <v>2007529</v>
      </c>
      <c r="S110" s="44">
        <v>7135417</v>
      </c>
      <c r="U110" s="44">
        <f>12327150-7135417-1629992</f>
        <v>3561741</v>
      </c>
      <c r="W110" s="44">
        <v>1629992</v>
      </c>
      <c r="Y110" s="44">
        <f t="shared" si="9"/>
        <v>12327150</v>
      </c>
      <c r="AB110" s="44">
        <f>+K110-Q110-Y110</f>
        <v>0</v>
      </c>
    </row>
    <row r="111" spans="1:28" ht="12.75" customHeight="1">
      <c r="A111" s="44" t="s">
        <v>137</v>
      </c>
      <c r="C111" s="44" t="s">
        <v>22</v>
      </c>
      <c r="E111" s="44">
        <f t="shared" si="7"/>
        <v>31279301</v>
      </c>
      <c r="G111" s="44">
        <f>14239816+24725472</f>
        <v>38965288</v>
      </c>
      <c r="I111" s="44">
        <v>0</v>
      </c>
      <c r="K111" s="44">
        <v>70244589</v>
      </c>
      <c r="M111" s="44">
        <f t="shared" si="8"/>
        <v>8170210</v>
      </c>
      <c r="O111" s="44">
        <v>2403577</v>
      </c>
      <c r="Q111" s="44">
        <v>10573787</v>
      </c>
      <c r="S111" s="44">
        <v>32644284</v>
      </c>
      <c r="U111" s="44">
        <f>59670802-32644284-15581099</f>
        <v>11445419</v>
      </c>
      <c r="W111" s="44">
        <v>15581099</v>
      </c>
      <c r="Y111" s="44">
        <f t="shared" si="9"/>
        <v>59670802</v>
      </c>
      <c r="AB111" s="44">
        <f t="shared" si="11"/>
        <v>0</v>
      </c>
    </row>
    <row r="112" spans="1:28" ht="12.75" hidden="1" customHeight="1">
      <c r="A112" s="44" t="s">
        <v>491</v>
      </c>
      <c r="C112" s="44" t="s">
        <v>139</v>
      </c>
      <c r="E112" s="44">
        <f t="shared" si="7"/>
        <v>0</v>
      </c>
      <c r="G112" s="44">
        <v>0</v>
      </c>
      <c r="I112" s="44">
        <v>0</v>
      </c>
      <c r="K112" s="44">
        <v>0</v>
      </c>
      <c r="M112" s="44">
        <f t="shared" si="8"/>
        <v>0</v>
      </c>
      <c r="O112" s="44">
        <v>0</v>
      </c>
      <c r="Q112" s="44">
        <v>0</v>
      </c>
      <c r="S112" s="44">
        <v>0</v>
      </c>
      <c r="U112" s="44">
        <v>0</v>
      </c>
      <c r="W112" s="44">
        <v>0</v>
      </c>
      <c r="Y112" s="44">
        <f t="shared" si="9"/>
        <v>0</v>
      </c>
      <c r="AB112" s="44">
        <f t="shared" si="11"/>
        <v>0</v>
      </c>
    </row>
    <row r="113" spans="1:34" ht="12.75" customHeight="1">
      <c r="A113" s="44" t="s">
        <v>140</v>
      </c>
      <c r="C113" s="44" t="s">
        <v>66</v>
      </c>
      <c r="E113" s="44">
        <f t="shared" si="7"/>
        <v>91211912</v>
      </c>
      <c r="G113" s="44">
        <f>10517496+113036507</f>
        <v>123554003</v>
      </c>
      <c r="I113" s="44">
        <v>0</v>
      </c>
      <c r="K113" s="44">
        <v>214765915</v>
      </c>
      <c r="M113" s="44">
        <f t="shared" si="8"/>
        <v>19748477</v>
      </c>
      <c r="O113" s="44">
        <v>19206138</v>
      </c>
      <c r="Q113" s="44">
        <v>38954615</v>
      </c>
      <c r="S113" s="44">
        <v>105196955</v>
      </c>
      <c r="U113" s="44">
        <f>175811302-105196955-46312490</f>
        <v>24301857</v>
      </c>
      <c r="W113" s="44">
        <v>46312488</v>
      </c>
      <c r="Y113" s="44">
        <f t="shared" si="9"/>
        <v>175811300</v>
      </c>
      <c r="AB113" s="44">
        <f>+K113-Q113-Y113</f>
        <v>0</v>
      </c>
      <c r="AC113" s="44">
        <f>992+200+892+329+341+101+650+739+536+132+496+507</f>
        <v>5915</v>
      </c>
      <c r="AD113" s="44">
        <f>6+3+6+4+8+8</f>
        <v>35</v>
      </c>
      <c r="AE113" s="44">
        <f>2+2+9+1+1+9+6+2+6+7</f>
        <v>45</v>
      </c>
      <c r="AF113" s="44">
        <f>7+4+7+3+3+3</f>
        <v>27</v>
      </c>
      <c r="AG113" s="44">
        <f>715127+1691954+8422177+171133+12064953+1236513</f>
        <v>24301857</v>
      </c>
      <c r="AH113" s="44">
        <f>24301857+105196955+46312490</f>
        <v>175811302</v>
      </c>
    </row>
    <row r="114" spans="1:34" ht="12.75" customHeight="1">
      <c r="A114" s="44" t="s">
        <v>478</v>
      </c>
      <c r="C114" s="44" t="s">
        <v>92</v>
      </c>
      <c r="E114" s="44">
        <f t="shared" si="7"/>
        <v>4947308</v>
      </c>
      <c r="G114" s="44">
        <f>1364602+16888751</f>
        <v>18253353</v>
      </c>
      <c r="I114" s="44">
        <v>57862</v>
      </c>
      <c r="K114" s="44">
        <v>23258523</v>
      </c>
      <c r="M114" s="44">
        <f t="shared" si="8"/>
        <v>4008118</v>
      </c>
      <c r="O114" s="44">
        <v>3149161</v>
      </c>
      <c r="Q114" s="44">
        <v>7157279</v>
      </c>
      <c r="S114" s="44">
        <v>13376893</v>
      </c>
      <c r="U114" s="44">
        <f>946862+89009+184362+205644+249748</f>
        <v>1675625</v>
      </c>
      <c r="W114" s="44">
        <v>1048726</v>
      </c>
      <c r="Y114" s="44">
        <f t="shared" si="9"/>
        <v>16101244</v>
      </c>
      <c r="AB114" s="44">
        <f t="shared" si="11"/>
        <v>0</v>
      </c>
      <c r="AC114" s="44">
        <f>976+63+206+814+418+138</f>
        <v>2615</v>
      </c>
    </row>
    <row r="115" spans="1:34" ht="12.75" customHeight="1">
      <c r="Y115" s="48" t="s">
        <v>484</v>
      </c>
    </row>
    <row r="116" spans="1:34" s="46" customFormat="1" ht="12.75" customHeight="1">
      <c r="A116" s="46" t="s">
        <v>141</v>
      </c>
      <c r="C116" s="46" t="s">
        <v>27</v>
      </c>
      <c r="E116" s="46">
        <f t="shared" si="7"/>
        <v>38832047</v>
      </c>
      <c r="G116" s="46">
        <f>7331735+59537811</f>
        <v>66869546</v>
      </c>
      <c r="I116" s="46">
        <v>679644</v>
      </c>
      <c r="K116" s="46">
        <v>106381237</v>
      </c>
      <c r="M116" s="46">
        <f>+Q116-O116</f>
        <v>21789283</v>
      </c>
      <c r="O116" s="46">
        <v>44866763</v>
      </c>
      <c r="Q116" s="46">
        <v>66656046</v>
      </c>
      <c r="S116" s="46">
        <v>23844800</v>
      </c>
      <c r="U116" s="46">
        <f>39725191-23844800-8499990</f>
        <v>7380401</v>
      </c>
      <c r="W116" s="46">
        <v>8499990</v>
      </c>
      <c r="Y116" s="46">
        <f t="shared" si="9"/>
        <v>39725191</v>
      </c>
      <c r="AB116" s="46">
        <f t="shared" si="11"/>
        <v>0</v>
      </c>
      <c r="AC116" s="46">
        <f>955+127+954+177+133+953+513+490</f>
        <v>4302</v>
      </c>
    </row>
    <row r="117" spans="1:34" ht="12.75" customHeight="1">
      <c r="A117" s="44" t="s">
        <v>142</v>
      </c>
      <c r="C117" s="44" t="s">
        <v>102</v>
      </c>
      <c r="E117" s="44">
        <f t="shared" si="7"/>
        <v>25724329</v>
      </c>
      <c r="G117" s="44">
        <f>18950860+19994460</f>
        <v>38945320</v>
      </c>
      <c r="I117" s="44">
        <v>0</v>
      </c>
      <c r="K117" s="44">
        <v>64669649</v>
      </c>
      <c r="M117" s="44">
        <f>+Q117-O117</f>
        <v>14480591</v>
      </c>
      <c r="O117" s="44">
        <v>9178506</v>
      </c>
      <c r="Q117" s="44">
        <v>23659097</v>
      </c>
      <c r="S117" s="44">
        <v>28981277</v>
      </c>
      <c r="U117" s="44">
        <f>41010552-28981277-1784583</f>
        <v>10244692</v>
      </c>
      <c r="W117" s="44">
        <v>1784583</v>
      </c>
      <c r="Y117" s="44">
        <f t="shared" si="9"/>
        <v>41010552</v>
      </c>
      <c r="AB117" s="44">
        <f t="shared" si="11"/>
        <v>0</v>
      </c>
      <c r="AC117" s="44">
        <f>10517496+113036507</f>
        <v>123554003</v>
      </c>
    </row>
    <row r="118" spans="1:34" ht="12.75" customHeight="1">
      <c r="A118" s="44" t="s">
        <v>143</v>
      </c>
      <c r="C118" s="44" t="s">
        <v>111</v>
      </c>
      <c r="E118" s="44">
        <f t="shared" si="7"/>
        <v>26791354</v>
      </c>
      <c r="G118" s="44">
        <f>14260291+31444042</f>
        <v>45704333</v>
      </c>
      <c r="I118" s="44">
        <v>132087</v>
      </c>
      <c r="K118" s="44">
        <v>72627774</v>
      </c>
      <c r="M118" s="44">
        <f t="shared" si="8"/>
        <v>6220885</v>
      </c>
      <c r="O118" s="44">
        <v>7047496</v>
      </c>
      <c r="Q118" s="44">
        <v>13268381</v>
      </c>
      <c r="S118" s="44">
        <v>39072022</v>
      </c>
      <c r="U118" s="44">
        <f>59359393-39072022-7601885</f>
        <v>12685486</v>
      </c>
      <c r="W118" s="44">
        <v>7601885</v>
      </c>
      <c r="Y118" s="44">
        <f t="shared" si="9"/>
        <v>59359393</v>
      </c>
      <c r="AB118" s="44">
        <f t="shared" si="11"/>
        <v>0</v>
      </c>
    </row>
    <row r="119" spans="1:34" ht="12.75" customHeight="1">
      <c r="A119" s="44" t="s">
        <v>144</v>
      </c>
      <c r="C119" s="44" t="s">
        <v>88</v>
      </c>
      <c r="E119" s="44">
        <f t="shared" si="7"/>
        <v>44834103</v>
      </c>
      <c r="G119" s="44">
        <f>8189221+36172377</f>
        <v>44361598</v>
      </c>
      <c r="I119" s="44">
        <v>6828</v>
      </c>
      <c r="K119" s="44">
        <v>89202529</v>
      </c>
      <c r="M119" s="44">
        <f t="shared" si="8"/>
        <v>27955464</v>
      </c>
      <c r="O119" s="44">
        <v>3388066</v>
      </c>
      <c r="Q119" s="44">
        <v>31343530</v>
      </c>
      <c r="S119" s="44">
        <v>42550565</v>
      </c>
      <c r="U119" s="44">
        <f>527038+1348083+5921551</f>
        <v>7796672</v>
      </c>
      <c r="W119" s="44">
        <v>7511762</v>
      </c>
      <c r="Y119" s="44">
        <f t="shared" si="9"/>
        <v>57858999</v>
      </c>
      <c r="AB119" s="44">
        <f t="shared" si="11"/>
        <v>0</v>
      </c>
    </row>
    <row r="120" spans="1:34" ht="12.75" customHeight="1">
      <c r="A120" s="44" t="s">
        <v>36</v>
      </c>
      <c r="C120" s="44" t="s">
        <v>145</v>
      </c>
      <c r="E120" s="44">
        <f t="shared" si="7"/>
        <v>3807911</v>
      </c>
      <c r="G120" s="44">
        <f>982863+5821726</f>
        <v>6804589</v>
      </c>
      <c r="I120" s="44">
        <v>0</v>
      </c>
      <c r="K120" s="44">
        <v>10612500</v>
      </c>
      <c r="M120" s="44">
        <f t="shared" si="8"/>
        <v>875260</v>
      </c>
      <c r="O120" s="44">
        <v>500080</v>
      </c>
      <c r="Q120" s="44">
        <v>1375340</v>
      </c>
      <c r="S120" s="44">
        <v>6427199</v>
      </c>
      <c r="U120" s="44">
        <f>65034+42897+100246+176594+13457+354981+724955</f>
        <v>1478164</v>
      </c>
      <c r="W120" s="44">
        <v>1331797</v>
      </c>
      <c r="Y120" s="44">
        <f t="shared" si="9"/>
        <v>9237160</v>
      </c>
      <c r="AB120" s="44">
        <f t="shared" si="11"/>
        <v>0</v>
      </c>
    </row>
    <row r="121" spans="1:34" ht="12.75" customHeight="1">
      <c r="A121" s="44" t="s">
        <v>146</v>
      </c>
      <c r="C121" s="44" t="s">
        <v>147</v>
      </c>
      <c r="E121" s="44">
        <f t="shared" si="7"/>
        <v>6228870</v>
      </c>
      <c r="G121" s="44">
        <f>1001467+14615029</f>
        <v>15616496</v>
      </c>
      <c r="I121" s="44">
        <v>0</v>
      </c>
      <c r="K121" s="44">
        <v>21845366</v>
      </c>
      <c r="M121" s="44">
        <f t="shared" si="8"/>
        <v>2176615</v>
      </c>
      <c r="O121" s="44">
        <v>1385599</v>
      </c>
      <c r="Q121" s="44">
        <v>3562214</v>
      </c>
      <c r="S121" s="44">
        <v>14425971</v>
      </c>
      <c r="U121" s="44">
        <v>1393997</v>
      </c>
      <c r="W121" s="44">
        <v>2463184</v>
      </c>
      <c r="Y121" s="44">
        <f t="shared" si="9"/>
        <v>18283152</v>
      </c>
      <c r="AB121" s="44">
        <f t="shared" si="11"/>
        <v>0</v>
      </c>
    </row>
    <row r="122" spans="1:34" ht="12.75" customHeight="1">
      <c r="A122" s="44" t="s">
        <v>17</v>
      </c>
      <c r="C122" s="44" t="s">
        <v>17</v>
      </c>
      <c r="E122" s="44">
        <f t="shared" si="7"/>
        <v>38081754</v>
      </c>
      <c r="G122" s="44">
        <f>21600732+100059137</f>
        <v>121659869</v>
      </c>
      <c r="I122" s="44">
        <v>840431</v>
      </c>
      <c r="K122" s="44">
        <v>160582054</v>
      </c>
      <c r="M122" s="44">
        <f t="shared" si="8"/>
        <v>14939649</v>
      </c>
      <c r="O122" s="44">
        <v>49411393</v>
      </c>
      <c r="Q122" s="44">
        <v>64351042</v>
      </c>
      <c r="S122" s="44">
        <v>77419157</v>
      </c>
      <c r="U122" s="44">
        <f>747170+999595+21696627+694098</f>
        <v>24137490</v>
      </c>
      <c r="W122" s="44">
        <v>-5325635</v>
      </c>
      <c r="Y122" s="44">
        <f t="shared" si="9"/>
        <v>96231012</v>
      </c>
      <c r="AB122" s="44">
        <f t="shared" si="11"/>
        <v>0</v>
      </c>
    </row>
    <row r="123" spans="1:34" ht="12.75" customHeight="1">
      <c r="A123" s="44" t="s">
        <v>148</v>
      </c>
      <c r="C123" s="44" t="s">
        <v>15</v>
      </c>
      <c r="E123" s="44">
        <f t="shared" si="7"/>
        <v>3635898</v>
      </c>
      <c r="G123" s="44">
        <f>1073458+2536820</f>
        <v>3610278</v>
      </c>
      <c r="I123" s="44">
        <v>0</v>
      </c>
      <c r="K123" s="44">
        <v>7246176</v>
      </c>
      <c r="M123" s="44">
        <f t="shared" si="8"/>
        <v>1099591</v>
      </c>
      <c r="O123" s="44">
        <v>373664</v>
      </c>
      <c r="Q123" s="44">
        <v>1473255</v>
      </c>
      <c r="S123" s="44">
        <v>3251988</v>
      </c>
      <c r="U123" s="44">
        <f>139975+15358+236742+278331+11676</f>
        <v>682082</v>
      </c>
      <c r="W123" s="44">
        <v>1838851</v>
      </c>
      <c r="Y123" s="44">
        <f t="shared" si="9"/>
        <v>5772921</v>
      </c>
      <c r="AB123" s="44">
        <f t="shared" si="11"/>
        <v>0</v>
      </c>
    </row>
    <row r="124" spans="1:34" ht="12.75" customHeight="1">
      <c r="A124" s="44" t="s">
        <v>149</v>
      </c>
      <c r="B124" s="44"/>
      <c r="C124" s="44" t="s">
        <v>45</v>
      </c>
      <c r="D124" s="44"/>
      <c r="E124" s="44">
        <f t="shared" si="7"/>
        <v>7702857</v>
      </c>
      <c r="G124" s="44">
        <f>3842680+18111046</f>
        <v>21953726</v>
      </c>
      <c r="I124" s="44">
        <v>2519341</v>
      </c>
      <c r="K124" s="44">
        <v>32175924</v>
      </c>
      <c r="M124" s="44">
        <f t="shared" si="8"/>
        <v>6534928</v>
      </c>
      <c r="O124" s="44">
        <v>6581504</v>
      </c>
      <c r="Q124" s="44">
        <v>13116432</v>
      </c>
      <c r="S124" s="44">
        <v>15447982</v>
      </c>
      <c r="U124" s="44">
        <f>855394+15188+805820</f>
        <v>1676402</v>
      </c>
      <c r="W124" s="44">
        <v>1935108</v>
      </c>
      <c r="Y124" s="44">
        <f t="shared" si="9"/>
        <v>19059492</v>
      </c>
      <c r="AB124" s="44">
        <f t="shared" si="11"/>
        <v>0</v>
      </c>
    </row>
    <row r="125" spans="1:34" ht="12.75" customHeight="1">
      <c r="A125" s="44" t="s">
        <v>150</v>
      </c>
      <c r="C125" s="44" t="s">
        <v>27</v>
      </c>
      <c r="E125" s="44">
        <f t="shared" si="7"/>
        <v>26198738</v>
      </c>
      <c r="G125" s="44">
        <f>1005815+73664468</f>
        <v>74670283</v>
      </c>
      <c r="I125" s="44">
        <v>0</v>
      </c>
      <c r="K125" s="44">
        <v>100869021</v>
      </c>
      <c r="M125" s="44">
        <f t="shared" si="8"/>
        <v>7867876</v>
      </c>
      <c r="O125" s="44">
        <v>2613949</v>
      </c>
      <c r="Q125" s="44">
        <v>10481825</v>
      </c>
      <c r="S125" s="44">
        <v>71314071</v>
      </c>
      <c r="U125" s="44">
        <f>7031522+2071859+4234157</f>
        <v>13337538</v>
      </c>
      <c r="W125" s="44">
        <v>5735587</v>
      </c>
      <c r="Y125" s="44">
        <f t="shared" si="9"/>
        <v>90387196</v>
      </c>
      <c r="AB125" s="44">
        <f t="shared" si="11"/>
        <v>0</v>
      </c>
    </row>
    <row r="126" spans="1:34" ht="12.75" customHeight="1">
      <c r="A126" s="44" t="s">
        <v>151</v>
      </c>
      <c r="C126" s="44" t="s">
        <v>13</v>
      </c>
      <c r="E126" s="44">
        <f t="shared" si="7"/>
        <v>10277716</v>
      </c>
      <c r="G126" s="44">
        <f>10193288+35564607</f>
        <v>45757895</v>
      </c>
      <c r="I126" s="44">
        <v>14399</v>
      </c>
      <c r="K126" s="44">
        <v>56050010</v>
      </c>
      <c r="M126" s="44">
        <f t="shared" si="8"/>
        <v>6418303</v>
      </c>
      <c r="O126" s="44">
        <v>13296736</v>
      </c>
      <c r="Q126" s="44">
        <v>19715039</v>
      </c>
      <c r="S126" s="44">
        <v>29538669</v>
      </c>
      <c r="U126" s="44">
        <f>36334971-29538669-2839451</f>
        <v>3956851</v>
      </c>
      <c r="W126" s="44">
        <v>2839451</v>
      </c>
      <c r="Y126" s="44">
        <f t="shared" si="9"/>
        <v>36334971</v>
      </c>
      <c r="AB126" s="44">
        <f t="shared" si="11"/>
        <v>0</v>
      </c>
    </row>
    <row r="127" spans="1:34" ht="12.75" customHeight="1">
      <c r="A127" s="44" t="s">
        <v>481</v>
      </c>
      <c r="C127" s="44" t="s">
        <v>45</v>
      </c>
      <c r="E127" s="44">
        <f t="shared" si="7"/>
        <v>6236479</v>
      </c>
      <c r="G127" s="44">
        <f>645000+5926802</f>
        <v>6571802</v>
      </c>
      <c r="I127" s="44">
        <v>0</v>
      </c>
      <c r="K127" s="44">
        <v>12808281</v>
      </c>
      <c r="M127" s="44">
        <f t="shared" si="8"/>
        <v>3877272</v>
      </c>
      <c r="O127" s="44">
        <v>326049</v>
      </c>
      <c r="Q127" s="44">
        <v>4203321</v>
      </c>
      <c r="S127" s="44">
        <v>6016802</v>
      </c>
      <c r="U127" s="44">
        <v>24735</v>
      </c>
      <c r="W127" s="44">
        <v>2563423</v>
      </c>
      <c r="Y127" s="44">
        <f t="shared" si="9"/>
        <v>8604960</v>
      </c>
      <c r="AB127" s="44">
        <f t="shared" si="11"/>
        <v>0</v>
      </c>
    </row>
    <row r="128" spans="1:34" ht="12.75" customHeight="1">
      <c r="A128" s="44" t="s">
        <v>152</v>
      </c>
      <c r="C128" s="44" t="s">
        <v>153</v>
      </c>
      <c r="E128" s="44">
        <f t="shared" si="7"/>
        <v>22610965</v>
      </c>
      <c r="G128" s="44">
        <f>5539317+45610015</f>
        <v>51149332</v>
      </c>
      <c r="I128" s="44">
        <v>0</v>
      </c>
      <c r="K128" s="44">
        <v>73760297</v>
      </c>
      <c r="M128" s="44">
        <f t="shared" si="8"/>
        <v>5596061</v>
      </c>
      <c r="O128" s="44">
        <v>12217480</v>
      </c>
      <c r="Q128" s="44">
        <v>17813541</v>
      </c>
      <c r="S128" s="44">
        <v>53118457</v>
      </c>
      <c r="U128" s="44">
        <f>55946756-53118457+680246</f>
        <v>3508545</v>
      </c>
      <c r="W128" s="44">
        <v>-680246</v>
      </c>
      <c r="Y128" s="44">
        <f t="shared" si="9"/>
        <v>55946756</v>
      </c>
      <c r="AB128" s="44">
        <f t="shared" si="11"/>
        <v>0</v>
      </c>
    </row>
    <row r="129" spans="1:28" ht="12.75" customHeight="1">
      <c r="A129" s="44" t="s">
        <v>154</v>
      </c>
      <c r="C129" s="44" t="s">
        <v>27</v>
      </c>
      <c r="E129" s="44">
        <f t="shared" si="7"/>
        <v>19424537</v>
      </c>
      <c r="G129" s="44">
        <f>1563369+43740698</f>
        <v>45304067</v>
      </c>
      <c r="I129" s="44">
        <v>64327</v>
      </c>
      <c r="K129" s="44">
        <v>64792931</v>
      </c>
      <c r="M129" s="44">
        <f t="shared" si="8"/>
        <v>10241547</v>
      </c>
      <c r="O129" s="44">
        <v>14532699</v>
      </c>
      <c r="Q129" s="44">
        <v>24774246</v>
      </c>
      <c r="S129" s="44">
        <v>32771011</v>
      </c>
      <c r="U129" s="44">
        <f>572283+174573+457170+414161+3137332</f>
        <v>4755519</v>
      </c>
      <c r="W129" s="44">
        <v>2492155</v>
      </c>
      <c r="Y129" s="44">
        <f t="shared" si="9"/>
        <v>40018685</v>
      </c>
      <c r="AB129" s="44">
        <f t="shared" si="11"/>
        <v>0</v>
      </c>
    </row>
    <row r="130" spans="1:28" ht="12.75" customHeight="1">
      <c r="A130" s="44" t="s">
        <v>155</v>
      </c>
      <c r="C130" s="44" t="s">
        <v>40</v>
      </c>
      <c r="E130" s="44">
        <f t="shared" si="7"/>
        <v>10780833</v>
      </c>
      <c r="G130" s="44">
        <f>7049601+14481622</f>
        <v>21531223</v>
      </c>
      <c r="I130" s="44">
        <v>0</v>
      </c>
      <c r="K130" s="44">
        <v>32312056</v>
      </c>
      <c r="M130" s="44">
        <f t="shared" si="8"/>
        <v>2686157</v>
      </c>
      <c r="O130" s="44">
        <v>2055873</v>
      </c>
      <c r="Q130" s="44">
        <v>4742030</v>
      </c>
      <c r="S130" s="44">
        <v>20244548</v>
      </c>
      <c r="U130" s="44">
        <f>27570026-20244548-1225683</f>
        <v>6099795</v>
      </c>
      <c r="W130" s="44">
        <v>1225683</v>
      </c>
      <c r="Y130" s="44">
        <f t="shared" si="9"/>
        <v>27570026</v>
      </c>
      <c r="AB130" s="44">
        <f t="shared" si="11"/>
        <v>0</v>
      </c>
    </row>
    <row r="131" spans="1:28" ht="12.75" customHeight="1">
      <c r="A131" s="44" t="s">
        <v>156</v>
      </c>
      <c r="C131" s="44" t="s">
        <v>156</v>
      </c>
      <c r="E131" s="44">
        <f t="shared" ref="E131:E146" si="12">+K131-G131-I131</f>
        <v>16082695</v>
      </c>
      <c r="G131" s="44">
        <f>10284493+46529265</f>
        <v>56813758</v>
      </c>
      <c r="I131" s="44">
        <v>0</v>
      </c>
      <c r="K131" s="44">
        <v>72896453</v>
      </c>
      <c r="M131" s="44">
        <f t="shared" ref="M131:M146" si="13">+Q131-O131</f>
        <v>10109901</v>
      </c>
      <c r="O131" s="44">
        <v>5619078</v>
      </c>
      <c r="Q131" s="44">
        <v>15728979</v>
      </c>
      <c r="S131" s="44">
        <v>50618078</v>
      </c>
      <c r="U131" s="44">
        <f>3528+2572584+2268376</f>
        <v>4844488</v>
      </c>
      <c r="W131" s="44">
        <v>1704908</v>
      </c>
      <c r="Y131" s="44">
        <f t="shared" ref="Y131:Y144" si="14">S131+U131+W131</f>
        <v>57167474</v>
      </c>
      <c r="Z131" s="46"/>
      <c r="AA131" s="46"/>
      <c r="AB131" s="46">
        <f t="shared" si="11"/>
        <v>0</v>
      </c>
    </row>
    <row r="132" spans="1:28" ht="12.75" customHeight="1">
      <c r="A132" s="44" t="s">
        <v>157</v>
      </c>
      <c r="B132" s="44"/>
      <c r="C132" s="44" t="s">
        <v>33</v>
      </c>
      <c r="D132" s="44"/>
      <c r="E132" s="44">
        <f t="shared" si="12"/>
        <v>4073824</v>
      </c>
      <c r="G132" s="44">
        <f>1051873+2173836</f>
        <v>3225709</v>
      </c>
      <c r="I132" s="44">
        <v>0</v>
      </c>
      <c r="K132" s="44">
        <v>7299533</v>
      </c>
      <c r="M132" s="44">
        <f t="shared" si="13"/>
        <v>712640</v>
      </c>
      <c r="O132" s="44">
        <v>394390</v>
      </c>
      <c r="Q132" s="44">
        <v>1107030</v>
      </c>
      <c r="S132" s="44">
        <v>2895942</v>
      </c>
      <c r="U132" s="44">
        <f>1278548+1303282</f>
        <v>2581830</v>
      </c>
      <c r="W132" s="44">
        <v>714731</v>
      </c>
      <c r="Y132" s="44">
        <f t="shared" si="14"/>
        <v>6192503</v>
      </c>
      <c r="AB132" s="44">
        <f t="shared" si="11"/>
        <v>0</v>
      </c>
    </row>
    <row r="133" spans="1:28" ht="12.75" customHeight="1">
      <c r="A133" s="44" t="s">
        <v>158</v>
      </c>
      <c r="C133" s="44" t="s">
        <v>159</v>
      </c>
      <c r="E133" s="44">
        <f t="shared" si="12"/>
        <v>12593750</v>
      </c>
      <c r="G133" s="44">
        <f>1272981+7099412+34334308</f>
        <v>42706701</v>
      </c>
      <c r="I133" s="44">
        <v>0</v>
      </c>
      <c r="K133" s="44">
        <v>55300451</v>
      </c>
      <c r="M133" s="44">
        <f t="shared" si="13"/>
        <v>5196748</v>
      </c>
      <c r="O133" s="44">
        <v>20103823</v>
      </c>
      <c r="Q133" s="44">
        <v>25300571</v>
      </c>
      <c r="S133" s="44">
        <v>22141194</v>
      </c>
      <c r="U133" s="44">
        <f>212355+341942+2774620</f>
        <v>3328917</v>
      </c>
      <c r="W133" s="44">
        <v>4529769</v>
      </c>
      <c r="Y133" s="44">
        <f t="shared" si="14"/>
        <v>29999880</v>
      </c>
      <c r="AB133" s="44">
        <f t="shared" si="11"/>
        <v>0</v>
      </c>
    </row>
    <row r="134" spans="1:28" s="46" customFormat="1" ht="12.75" customHeight="1">
      <c r="A134" s="46" t="s">
        <v>160</v>
      </c>
      <c r="C134" s="46" t="s">
        <v>111</v>
      </c>
      <c r="E134" s="44">
        <f t="shared" si="12"/>
        <v>55904098</v>
      </c>
      <c r="F134" s="44"/>
      <c r="G134" s="44">
        <f>66736386+96774984</f>
        <v>163511370</v>
      </c>
      <c r="H134" s="44"/>
      <c r="I134" s="44">
        <v>381505</v>
      </c>
      <c r="J134" s="44"/>
      <c r="K134" s="44">
        <v>219796973</v>
      </c>
      <c r="L134" s="44"/>
      <c r="M134" s="44">
        <f t="shared" si="13"/>
        <v>18030729</v>
      </c>
      <c r="N134" s="44"/>
      <c r="O134" s="44">
        <v>39741807</v>
      </c>
      <c r="P134" s="44"/>
      <c r="Q134" s="44">
        <v>57772536</v>
      </c>
      <c r="R134" s="44"/>
      <c r="S134" s="44">
        <v>117869403</v>
      </c>
      <c r="T134" s="44"/>
      <c r="U134" s="44">
        <f>2706642+762544+14776703</f>
        <v>18245889</v>
      </c>
      <c r="V134" s="44"/>
      <c r="W134" s="44">
        <v>25909145</v>
      </c>
      <c r="X134" s="44"/>
      <c r="Y134" s="44">
        <f t="shared" si="14"/>
        <v>162024437</v>
      </c>
      <c r="Z134" s="44"/>
      <c r="AA134" s="44"/>
      <c r="AB134" s="44">
        <f t="shared" si="11"/>
        <v>0</v>
      </c>
    </row>
    <row r="135" spans="1:28" ht="12.75" customHeight="1">
      <c r="A135" s="44" t="s">
        <v>161</v>
      </c>
      <c r="C135" s="44" t="s">
        <v>15</v>
      </c>
      <c r="E135" s="44">
        <f t="shared" si="12"/>
        <v>14970876</v>
      </c>
      <c r="G135" s="44">
        <f>8791004+33262093</f>
        <v>42053097</v>
      </c>
      <c r="I135" s="44">
        <v>0</v>
      </c>
      <c r="K135" s="44">
        <v>57023973</v>
      </c>
      <c r="M135" s="44">
        <f t="shared" si="13"/>
        <v>5001497</v>
      </c>
      <c r="O135" s="44">
        <v>24422133</v>
      </c>
      <c r="Q135" s="44">
        <v>29423630</v>
      </c>
      <c r="S135" s="44">
        <v>23662893</v>
      </c>
      <c r="U135" s="44">
        <f>27600343-23662893+2203172</f>
        <v>6140622</v>
      </c>
      <c r="W135" s="44">
        <v>-2203172</v>
      </c>
      <c r="Y135" s="44">
        <f t="shared" si="14"/>
        <v>27600343</v>
      </c>
      <c r="AB135" s="44">
        <f t="shared" si="11"/>
        <v>0</v>
      </c>
    </row>
    <row r="136" spans="1:28" ht="12.75" customHeight="1">
      <c r="A136" s="44" t="s">
        <v>162</v>
      </c>
      <c r="C136" s="44" t="s">
        <v>163</v>
      </c>
      <c r="E136" s="44">
        <f t="shared" si="12"/>
        <v>37403549</v>
      </c>
      <c r="G136" s="44">
        <f>9002554+63639392</f>
        <v>72641946</v>
      </c>
      <c r="I136" s="44">
        <v>0</v>
      </c>
      <c r="K136" s="44">
        <v>110045495</v>
      </c>
      <c r="M136" s="44">
        <f t="shared" si="13"/>
        <v>4993526</v>
      </c>
      <c r="O136" s="44">
        <v>23354061</v>
      </c>
      <c r="Q136" s="44">
        <v>28347587</v>
      </c>
      <c r="S136" s="44">
        <v>54404196</v>
      </c>
      <c r="U136" s="44">
        <f>81697908-54404196-21470206</f>
        <v>5823506</v>
      </c>
      <c r="W136" s="44">
        <v>21470206</v>
      </c>
      <c r="Y136" s="44">
        <f t="shared" si="14"/>
        <v>81697908</v>
      </c>
      <c r="AB136" s="44">
        <f t="shared" si="11"/>
        <v>0</v>
      </c>
    </row>
    <row r="137" spans="1:28" ht="12.75" customHeight="1">
      <c r="A137" s="44" t="s">
        <v>164</v>
      </c>
      <c r="C137" s="44" t="s">
        <v>27</v>
      </c>
      <c r="E137" s="44">
        <f t="shared" si="12"/>
        <v>28146952</v>
      </c>
      <c r="G137" s="44">
        <f>9360135+26615590</f>
        <v>35975725</v>
      </c>
      <c r="I137" s="44">
        <v>0</v>
      </c>
      <c r="K137" s="44">
        <v>64122677</v>
      </c>
      <c r="M137" s="44">
        <f t="shared" si="13"/>
        <v>7034904</v>
      </c>
      <c r="O137" s="44">
        <v>7970527</v>
      </c>
      <c r="Q137" s="44">
        <v>15005431</v>
      </c>
      <c r="S137" s="44">
        <v>31054678</v>
      </c>
      <c r="U137" s="44">
        <v>528078</v>
      </c>
      <c r="W137" s="44">
        <v>17534490</v>
      </c>
      <c r="Y137" s="44">
        <f t="shared" si="14"/>
        <v>49117246</v>
      </c>
      <c r="AB137" s="44">
        <f t="shared" si="11"/>
        <v>0</v>
      </c>
    </row>
    <row r="138" spans="1:28" ht="12.75" customHeight="1">
      <c r="A138" s="44" t="s">
        <v>53</v>
      </c>
      <c r="C138" s="44" t="s">
        <v>53</v>
      </c>
      <c r="E138" s="44">
        <f t="shared" si="12"/>
        <v>41431401</v>
      </c>
      <c r="G138" s="44">
        <f>3985027+42671515</f>
        <v>46656542</v>
      </c>
      <c r="I138" s="44">
        <v>0</v>
      </c>
      <c r="K138" s="44">
        <v>88087943</v>
      </c>
      <c r="M138" s="44">
        <f t="shared" si="13"/>
        <v>5698065</v>
      </c>
      <c r="O138" s="44">
        <v>1594874</v>
      </c>
      <c r="Q138" s="44">
        <v>7292939</v>
      </c>
      <c r="S138" s="44">
        <v>44755896</v>
      </c>
      <c r="U138" s="44">
        <f>80795004-44755896-15266025</f>
        <v>20773083</v>
      </c>
      <c r="W138" s="44">
        <v>15266025</v>
      </c>
      <c r="Y138" s="44">
        <f t="shared" si="14"/>
        <v>80795004</v>
      </c>
      <c r="AB138" s="44">
        <f t="shared" si="11"/>
        <v>0</v>
      </c>
    </row>
    <row r="139" spans="1:28" ht="12.75" customHeight="1">
      <c r="A139" s="44" t="s">
        <v>165</v>
      </c>
      <c r="C139" s="44" t="s">
        <v>92</v>
      </c>
      <c r="E139" s="44">
        <f t="shared" si="12"/>
        <v>56992197</v>
      </c>
      <c r="G139" s="44">
        <f>64086862+112314606</f>
        <v>176401468</v>
      </c>
      <c r="I139" s="44">
        <f>234084+138000</f>
        <v>372084</v>
      </c>
      <c r="K139" s="44">
        <v>233765749</v>
      </c>
      <c r="M139" s="44">
        <f t="shared" si="13"/>
        <v>11539971</v>
      </c>
      <c r="O139" s="44">
        <v>32503574</v>
      </c>
      <c r="Q139" s="44">
        <v>44043545</v>
      </c>
      <c r="S139" s="44">
        <v>143332857</v>
      </c>
      <c r="U139" s="44">
        <f>20799179+5272319</f>
        <v>26071498</v>
      </c>
      <c r="W139" s="44">
        <v>20317849</v>
      </c>
      <c r="Y139" s="44">
        <f t="shared" si="14"/>
        <v>189722204</v>
      </c>
      <c r="AB139" s="44">
        <f t="shared" si="11"/>
        <v>0</v>
      </c>
    </row>
    <row r="140" spans="1:28" ht="12.75" customHeight="1">
      <c r="A140" s="44" t="s">
        <v>166</v>
      </c>
      <c r="C140" s="44" t="s">
        <v>92</v>
      </c>
      <c r="E140" s="44">
        <f t="shared" si="12"/>
        <v>5189962</v>
      </c>
      <c r="G140" s="44">
        <f>4434751+2773712</f>
        <v>7208463</v>
      </c>
      <c r="I140" s="44">
        <v>0</v>
      </c>
      <c r="K140" s="44">
        <v>12398425</v>
      </c>
      <c r="M140" s="44">
        <f t="shared" si="13"/>
        <v>3103973</v>
      </c>
      <c r="O140" s="44">
        <v>3013509</v>
      </c>
      <c r="Q140" s="44">
        <v>6117482</v>
      </c>
      <c r="S140" s="44">
        <v>3357891</v>
      </c>
      <c r="U140" s="44">
        <f>35578+1930979+183001+299718+84444</f>
        <v>2533720</v>
      </c>
      <c r="W140" s="44">
        <v>389332</v>
      </c>
      <c r="Y140" s="44">
        <f t="shared" si="14"/>
        <v>6280943</v>
      </c>
      <c r="AB140" s="44">
        <f t="shared" si="11"/>
        <v>0</v>
      </c>
    </row>
    <row r="141" spans="1:28" ht="12.75" customHeight="1">
      <c r="A141" s="44" t="s">
        <v>167</v>
      </c>
      <c r="C141" s="44" t="s">
        <v>66</v>
      </c>
      <c r="E141" s="44">
        <f t="shared" si="12"/>
        <v>19390360</v>
      </c>
      <c r="G141" s="44">
        <f>15366611+23590135</f>
        <v>38956746</v>
      </c>
      <c r="I141" s="44">
        <v>0</v>
      </c>
      <c r="K141" s="44">
        <v>58347106</v>
      </c>
      <c r="M141" s="44">
        <f t="shared" si="13"/>
        <v>9855250</v>
      </c>
      <c r="O141" s="44">
        <v>3347829</v>
      </c>
      <c r="Q141" s="44">
        <v>13203079</v>
      </c>
      <c r="S141" s="44">
        <v>36691746</v>
      </c>
      <c r="U141" s="44">
        <f>5468041+81112+193297+2250569</f>
        <v>7993019</v>
      </c>
      <c r="W141" s="44">
        <v>459262</v>
      </c>
      <c r="Y141" s="44">
        <f t="shared" si="14"/>
        <v>45144027</v>
      </c>
      <c r="AB141" s="44">
        <f t="shared" si="11"/>
        <v>0</v>
      </c>
    </row>
    <row r="142" spans="1:28" ht="12.75" customHeight="1">
      <c r="A142" s="44" t="s">
        <v>168</v>
      </c>
      <c r="C142" s="44" t="s">
        <v>27</v>
      </c>
      <c r="E142" s="44">
        <f t="shared" si="12"/>
        <v>16860229</v>
      </c>
      <c r="G142" s="44">
        <f>10831347+45611307</f>
        <v>56442654</v>
      </c>
      <c r="I142" s="44">
        <v>187830</v>
      </c>
      <c r="K142" s="44">
        <v>73490713</v>
      </c>
      <c r="M142" s="44">
        <f t="shared" si="13"/>
        <v>7828435</v>
      </c>
      <c r="O142" s="44">
        <v>11983065</v>
      </c>
      <c r="Q142" s="44">
        <v>19811500</v>
      </c>
      <c r="S142" s="44">
        <v>43670819</v>
      </c>
      <c r="U142" s="44">
        <f>849193+2870466+492426</f>
        <v>4212085</v>
      </c>
      <c r="W142" s="44">
        <v>5796309</v>
      </c>
      <c r="Y142" s="44">
        <f t="shared" si="14"/>
        <v>53679213</v>
      </c>
      <c r="AB142" s="44">
        <f t="shared" si="11"/>
        <v>0</v>
      </c>
    </row>
    <row r="143" spans="1:28" ht="12.75" customHeight="1">
      <c r="A143" s="44" t="s">
        <v>169</v>
      </c>
      <c r="C143" s="44" t="s">
        <v>103</v>
      </c>
      <c r="E143" s="44">
        <f t="shared" si="12"/>
        <v>57791491</v>
      </c>
      <c r="G143" s="44">
        <f>12682625+77812467</f>
        <v>90495092</v>
      </c>
      <c r="I143" s="44">
        <v>824853</v>
      </c>
      <c r="K143" s="44">
        <v>149111436</v>
      </c>
      <c r="M143" s="44">
        <f t="shared" si="13"/>
        <v>14384981</v>
      </c>
      <c r="O143" s="44">
        <v>32920502</v>
      </c>
      <c r="Q143" s="44">
        <v>47305483</v>
      </c>
      <c r="S143" s="44">
        <v>59504084</v>
      </c>
      <c r="U143" s="44">
        <f>101805953-59504084-10493619</f>
        <v>31808250</v>
      </c>
      <c r="W143" s="44">
        <v>10493619</v>
      </c>
      <c r="Y143" s="44">
        <f t="shared" si="14"/>
        <v>101805953</v>
      </c>
      <c r="AB143" s="44">
        <f t="shared" si="11"/>
        <v>0</v>
      </c>
    </row>
    <row r="144" spans="1:28" ht="12.75" customHeight="1">
      <c r="A144" s="44" t="s">
        <v>170</v>
      </c>
      <c r="C144" s="44" t="s">
        <v>171</v>
      </c>
      <c r="E144" s="44">
        <f t="shared" si="12"/>
        <v>10566066</v>
      </c>
      <c r="G144" s="44">
        <f>1874087+61364+4013720+1322399+2257211-3368981</f>
        <v>6159800</v>
      </c>
      <c r="I144" s="44">
        <v>114903</v>
      </c>
      <c r="K144" s="44">
        <v>16840769</v>
      </c>
      <c r="M144" s="44">
        <f t="shared" si="13"/>
        <v>3164896</v>
      </c>
      <c r="O144" s="44">
        <v>3065608</v>
      </c>
      <c r="Q144" s="44">
        <v>6230504</v>
      </c>
      <c r="S144" s="44">
        <v>2920732</v>
      </c>
      <c r="U144" s="44">
        <f>528938+632668+685767+368824+964938</f>
        <v>3181135</v>
      </c>
      <c r="W144" s="44">
        <v>4508398</v>
      </c>
      <c r="Y144" s="44">
        <f t="shared" si="14"/>
        <v>10610265</v>
      </c>
      <c r="AB144" s="44">
        <f t="shared" si="11"/>
        <v>0</v>
      </c>
    </row>
    <row r="145" spans="1:28" ht="12.75" customHeight="1">
      <c r="A145" s="44" t="s">
        <v>172</v>
      </c>
      <c r="C145" s="44" t="s">
        <v>103</v>
      </c>
      <c r="E145" s="44">
        <f t="shared" si="12"/>
        <v>34087360</v>
      </c>
      <c r="G145" s="44">
        <f>2768123+54994871</f>
        <v>57762994</v>
      </c>
      <c r="I145" s="44">
        <v>156652</v>
      </c>
      <c r="K145" s="44">
        <v>92007006</v>
      </c>
      <c r="M145" s="44">
        <f t="shared" si="13"/>
        <v>11914537</v>
      </c>
      <c r="O145" s="44">
        <v>7812285</v>
      </c>
      <c r="Q145" s="44">
        <v>19726822</v>
      </c>
      <c r="S145" s="44">
        <v>43279636</v>
      </c>
      <c r="U145" s="44">
        <f>72280184-43279636-27704367</f>
        <v>1296181</v>
      </c>
      <c r="W145" s="44">
        <v>27704367</v>
      </c>
      <c r="Y145" s="44">
        <f t="shared" ref="Y145:Y195" si="15">S145+U145+W145</f>
        <v>72280184</v>
      </c>
      <c r="AB145" s="44">
        <f t="shared" si="11"/>
        <v>0</v>
      </c>
    </row>
    <row r="146" spans="1:28" ht="12.75" customHeight="1">
      <c r="A146" s="44" t="s">
        <v>66</v>
      </c>
      <c r="C146" s="44" t="s">
        <v>45</v>
      </c>
      <c r="E146" s="44">
        <f t="shared" si="12"/>
        <v>35712886</v>
      </c>
      <c r="G146" s="44">
        <f>15285724+23283404</f>
        <v>38569128</v>
      </c>
      <c r="I146" s="44">
        <v>0</v>
      </c>
      <c r="K146" s="44">
        <v>74282014</v>
      </c>
      <c r="M146" s="44">
        <f t="shared" si="13"/>
        <v>5195884</v>
      </c>
      <c r="O146" s="44">
        <v>4272796</v>
      </c>
      <c r="Q146" s="44">
        <v>9468680</v>
      </c>
      <c r="S146" s="44">
        <v>34123582</v>
      </c>
      <c r="U146" s="44">
        <f>64813334-34123582-15583740</f>
        <v>15106012</v>
      </c>
      <c r="W146" s="44">
        <v>15583740</v>
      </c>
      <c r="Y146" s="44">
        <f t="shared" si="15"/>
        <v>64813334</v>
      </c>
      <c r="AB146" s="44">
        <f t="shared" si="11"/>
        <v>0</v>
      </c>
    </row>
    <row r="147" spans="1:28" ht="12.75" customHeight="1">
      <c r="A147" s="44" t="s">
        <v>173</v>
      </c>
      <c r="C147" s="44" t="s">
        <v>66</v>
      </c>
      <c r="E147" s="44">
        <f t="shared" ref="E147:E195" si="16">+K147-G147-I147</f>
        <v>23040774</v>
      </c>
      <c r="G147" s="44">
        <v>36523122</v>
      </c>
      <c r="I147" s="44">
        <v>0</v>
      </c>
      <c r="K147" s="44">
        <v>59563896</v>
      </c>
      <c r="M147" s="44">
        <f t="shared" ref="M147:M195" si="17">+Q147-O147</f>
        <v>7813508</v>
      </c>
      <c r="O147" s="44">
        <v>3594143</v>
      </c>
      <c r="Q147" s="44">
        <v>11407651</v>
      </c>
      <c r="S147" s="44">
        <v>27094198</v>
      </c>
      <c r="U147" s="44">
        <f>146836+1990993+2848133</f>
        <v>4985962</v>
      </c>
      <c r="W147" s="44">
        <v>16076085</v>
      </c>
      <c r="Y147" s="44">
        <f t="shared" si="15"/>
        <v>48156245</v>
      </c>
      <c r="AB147" s="44">
        <f t="shared" ref="AB147:AB213" si="18">+K147-Q147-Y147</f>
        <v>0</v>
      </c>
    </row>
    <row r="148" spans="1:28" ht="12.75" customHeight="1">
      <c r="A148" s="44" t="s">
        <v>174</v>
      </c>
      <c r="C148" s="44" t="s">
        <v>45</v>
      </c>
      <c r="E148" s="44">
        <f t="shared" si="16"/>
        <v>2613174</v>
      </c>
      <c r="G148" s="44">
        <f>488830+3610172</f>
        <v>4099002</v>
      </c>
      <c r="I148" s="44">
        <v>0</v>
      </c>
      <c r="K148" s="44">
        <v>6712176</v>
      </c>
      <c r="M148" s="44">
        <f t="shared" si="17"/>
        <v>1891380</v>
      </c>
      <c r="O148" s="44">
        <v>1518254</v>
      </c>
      <c r="Q148" s="44">
        <v>3409634</v>
      </c>
      <c r="S148" s="44">
        <v>2603038</v>
      </c>
      <c r="U148" s="44">
        <f>269521+110743+55882+33</f>
        <v>436179</v>
      </c>
      <c r="W148" s="44">
        <v>263325</v>
      </c>
      <c r="Y148" s="44">
        <f t="shared" si="15"/>
        <v>3302542</v>
      </c>
      <c r="AB148" s="44">
        <f t="shared" si="18"/>
        <v>0</v>
      </c>
    </row>
    <row r="149" spans="1:28" ht="12.75" customHeight="1">
      <c r="A149" s="44" t="s">
        <v>175</v>
      </c>
      <c r="C149" s="44" t="s">
        <v>176</v>
      </c>
      <c r="E149" s="44">
        <f t="shared" si="16"/>
        <v>18731898</v>
      </c>
      <c r="G149" s="44">
        <f>11894758+34758771</f>
        <v>46653529</v>
      </c>
      <c r="I149" s="44">
        <v>0</v>
      </c>
      <c r="K149" s="44">
        <v>65385427</v>
      </c>
      <c r="M149" s="44">
        <f t="shared" si="17"/>
        <v>5898953</v>
      </c>
      <c r="O149" s="44">
        <v>8393755</v>
      </c>
      <c r="Q149" s="44">
        <v>14292708</v>
      </c>
      <c r="S149" s="44">
        <v>38939693</v>
      </c>
      <c r="U149" s="44">
        <f>51092719-38939693-6241067</f>
        <v>5911959</v>
      </c>
      <c r="W149" s="44">
        <v>6241067</v>
      </c>
      <c r="Y149" s="44">
        <f t="shared" si="15"/>
        <v>51092719</v>
      </c>
      <c r="AB149" s="44">
        <f t="shared" si="18"/>
        <v>0</v>
      </c>
    </row>
    <row r="150" spans="1:28" ht="12.75" customHeight="1">
      <c r="A150" s="44" t="s">
        <v>177</v>
      </c>
      <c r="C150" s="44" t="s">
        <v>13</v>
      </c>
      <c r="E150" s="44">
        <f t="shared" si="16"/>
        <v>5129789</v>
      </c>
      <c r="G150" s="44">
        <f>1653686+4788888</f>
        <v>6442574</v>
      </c>
      <c r="I150" s="44">
        <v>0</v>
      </c>
      <c r="K150" s="44">
        <v>11572363</v>
      </c>
      <c r="M150" s="44">
        <f t="shared" si="17"/>
        <v>1295152</v>
      </c>
      <c r="O150" s="44">
        <v>1183324</v>
      </c>
      <c r="Q150" s="44">
        <v>2478476</v>
      </c>
      <c r="S150" s="44">
        <v>5307726</v>
      </c>
      <c r="U150" s="44">
        <f>9093887-5307726-1640495</f>
        <v>2145666</v>
      </c>
      <c r="W150" s="44">
        <v>1640495</v>
      </c>
      <c r="Y150" s="44">
        <f t="shared" si="15"/>
        <v>9093887</v>
      </c>
      <c r="AB150" s="44">
        <f t="shared" si="18"/>
        <v>0</v>
      </c>
    </row>
    <row r="151" spans="1:28" ht="12.75" customHeight="1">
      <c r="A151" s="44" t="s">
        <v>178</v>
      </c>
      <c r="C151" s="44" t="s">
        <v>179</v>
      </c>
      <c r="E151" s="44">
        <f t="shared" si="16"/>
        <v>7892595</v>
      </c>
      <c r="G151" s="44">
        <f>11789889+19528293</f>
        <v>31318182</v>
      </c>
      <c r="I151" s="44">
        <v>0</v>
      </c>
      <c r="K151" s="44">
        <v>39210777</v>
      </c>
      <c r="M151" s="44">
        <f t="shared" si="17"/>
        <v>2072734</v>
      </c>
      <c r="O151" s="44">
        <v>1338000</v>
      </c>
      <c r="Q151" s="44">
        <v>3410734</v>
      </c>
      <c r="S151" s="44">
        <v>29555216</v>
      </c>
      <c r="U151" s="44">
        <f>35800043-29555216-1948134</f>
        <v>4296693</v>
      </c>
      <c r="W151" s="44">
        <v>1948134</v>
      </c>
      <c r="Y151" s="44">
        <f t="shared" si="15"/>
        <v>35800043</v>
      </c>
      <c r="AB151" s="44">
        <f t="shared" si="18"/>
        <v>0</v>
      </c>
    </row>
    <row r="152" spans="1:28" ht="12.75" customHeight="1">
      <c r="A152" s="44" t="s">
        <v>180</v>
      </c>
      <c r="C152" s="44" t="s">
        <v>20</v>
      </c>
      <c r="E152" s="44">
        <f t="shared" si="16"/>
        <v>4583548</v>
      </c>
      <c r="G152" s="44">
        <f>407263+11115841</f>
        <v>11523104</v>
      </c>
      <c r="I152" s="44">
        <v>0</v>
      </c>
      <c r="K152" s="44">
        <v>16106652</v>
      </c>
      <c r="M152" s="44">
        <f t="shared" si="17"/>
        <v>700101</v>
      </c>
      <c r="O152" s="44">
        <v>880080</v>
      </c>
      <c r="Q152" s="44">
        <v>1580181</v>
      </c>
      <c r="S152" s="44">
        <v>10522852</v>
      </c>
      <c r="U152" s="44">
        <f>16528+304143+335458+1110812+155911</f>
        <v>1922852</v>
      </c>
      <c r="W152" s="44">
        <v>2080767</v>
      </c>
      <c r="Y152" s="44">
        <f t="shared" si="15"/>
        <v>14526471</v>
      </c>
      <c r="AB152" s="44">
        <f t="shared" si="18"/>
        <v>0</v>
      </c>
    </row>
    <row r="153" spans="1:28" ht="12.75" customHeight="1">
      <c r="A153" s="44" t="s">
        <v>182</v>
      </c>
      <c r="C153" s="44" t="s">
        <v>183</v>
      </c>
      <c r="E153" s="44">
        <f t="shared" si="16"/>
        <v>4235241</v>
      </c>
      <c r="G153" s="44">
        <f>856334+2733636</f>
        <v>3589970</v>
      </c>
      <c r="I153" s="44">
        <v>0</v>
      </c>
      <c r="K153" s="44">
        <v>7825211</v>
      </c>
      <c r="M153" s="44">
        <f t="shared" si="17"/>
        <v>1542782</v>
      </c>
      <c r="O153" s="44">
        <v>1834062</v>
      </c>
      <c r="Q153" s="44">
        <v>3376844</v>
      </c>
      <c r="S153" s="44">
        <v>1015100</v>
      </c>
      <c r="U153" s="44">
        <f>1518645+222511+685640+170624</f>
        <v>2597420</v>
      </c>
      <c r="W153" s="44">
        <v>835847</v>
      </c>
      <c r="Y153" s="44">
        <f t="shared" si="15"/>
        <v>4448367</v>
      </c>
      <c r="AB153" s="44">
        <f t="shared" si="18"/>
        <v>0</v>
      </c>
    </row>
    <row r="154" spans="1:28" ht="12.75" customHeight="1">
      <c r="A154" s="44" t="s">
        <v>487</v>
      </c>
      <c r="C154" s="44" t="s">
        <v>13</v>
      </c>
      <c r="E154" s="44">
        <f t="shared" si="16"/>
        <v>8298449</v>
      </c>
      <c r="G154" s="44">
        <f>739496+2916922</f>
        <v>3656418</v>
      </c>
      <c r="I154" s="44">
        <v>0</v>
      </c>
      <c r="K154" s="44">
        <v>11954867</v>
      </c>
      <c r="M154" s="44">
        <f t="shared" si="17"/>
        <v>3152184</v>
      </c>
      <c r="O154" s="44">
        <v>692631</v>
      </c>
      <c r="Q154" s="44">
        <v>3844815</v>
      </c>
      <c r="S154" s="44">
        <v>3544928</v>
      </c>
      <c r="U154" s="44">
        <f>8110052-3544928-2344450</f>
        <v>2220674</v>
      </c>
      <c r="W154" s="44">
        <v>2344450</v>
      </c>
      <c r="Y154" s="44">
        <f t="shared" si="15"/>
        <v>8110052</v>
      </c>
      <c r="AB154" s="44">
        <f>+K154-Q154-Y154</f>
        <v>0</v>
      </c>
    </row>
    <row r="155" spans="1:28" ht="12.75" customHeight="1">
      <c r="A155" s="44" t="s">
        <v>184</v>
      </c>
      <c r="C155" s="44" t="s">
        <v>89</v>
      </c>
      <c r="E155" s="44">
        <f t="shared" si="16"/>
        <v>9933025</v>
      </c>
      <c r="G155" s="44">
        <f>991818+25140665</f>
        <v>26132483</v>
      </c>
      <c r="I155" s="44">
        <v>0</v>
      </c>
      <c r="K155" s="44">
        <v>36065508</v>
      </c>
      <c r="M155" s="44">
        <f t="shared" si="17"/>
        <v>2391991</v>
      </c>
      <c r="O155" s="44">
        <v>2650353</v>
      </c>
      <c r="Q155" s="44">
        <v>5042344</v>
      </c>
      <c r="S155" s="44">
        <v>24145158</v>
      </c>
      <c r="U155" s="44">
        <f>148477+2477697+1025697</f>
        <v>3651871</v>
      </c>
      <c r="W155" s="44">
        <v>3226135</v>
      </c>
      <c r="Y155" s="44">
        <f t="shared" si="15"/>
        <v>31023164</v>
      </c>
      <c r="AB155" s="44">
        <f t="shared" si="18"/>
        <v>0</v>
      </c>
    </row>
    <row r="156" spans="1:28" ht="12.75" customHeight="1">
      <c r="A156" s="44" t="s">
        <v>181</v>
      </c>
      <c r="C156" s="44" t="s">
        <v>125</v>
      </c>
      <c r="E156" s="44">
        <f t="shared" si="16"/>
        <v>26628452</v>
      </c>
      <c r="G156" s="44">
        <f>17723722+42587817</f>
        <v>60311539</v>
      </c>
      <c r="I156" s="44">
        <v>0</v>
      </c>
      <c r="K156" s="44">
        <v>86939991</v>
      </c>
      <c r="M156" s="44">
        <f t="shared" si="17"/>
        <v>10245688</v>
      </c>
      <c r="O156" s="44">
        <v>19562109</v>
      </c>
      <c r="Q156" s="44">
        <v>29807797</v>
      </c>
      <c r="S156" s="44">
        <v>41316426</v>
      </c>
      <c r="U156" s="44">
        <f>57132194-41316426-5535025</f>
        <v>10280743</v>
      </c>
      <c r="W156" s="44">
        <v>5535025</v>
      </c>
      <c r="Y156" s="44">
        <f t="shared" si="15"/>
        <v>57132194</v>
      </c>
      <c r="AB156" s="44">
        <f t="shared" si="18"/>
        <v>0</v>
      </c>
    </row>
    <row r="157" spans="1:28" ht="12.75" customHeight="1">
      <c r="A157" s="44" t="s">
        <v>185</v>
      </c>
      <c r="C157" s="44" t="s">
        <v>80</v>
      </c>
      <c r="E157" s="44">
        <f t="shared" si="16"/>
        <v>21630095</v>
      </c>
      <c r="G157" s="44">
        <f>106300+13190517</f>
        <v>13296817</v>
      </c>
      <c r="I157" s="44">
        <v>0</v>
      </c>
      <c r="K157" s="44">
        <v>34926912</v>
      </c>
      <c r="M157" s="44">
        <f t="shared" si="17"/>
        <v>5747715</v>
      </c>
      <c r="O157" s="44">
        <v>1420310</v>
      </c>
      <c r="Q157" s="44">
        <v>7168025</v>
      </c>
      <c r="S157" s="44">
        <v>9889774</v>
      </c>
      <c r="U157" s="44">
        <f>159699+1985929+1386503+96694</f>
        <v>3628825</v>
      </c>
      <c r="W157" s="44">
        <v>14240288</v>
      </c>
      <c r="Y157" s="44">
        <f t="shared" si="15"/>
        <v>27758887</v>
      </c>
      <c r="AB157" s="44">
        <f t="shared" si="18"/>
        <v>0</v>
      </c>
    </row>
    <row r="158" spans="1:28" ht="12.75" customHeight="1">
      <c r="A158" s="44" t="s">
        <v>186</v>
      </c>
      <c r="C158" s="44" t="s">
        <v>15</v>
      </c>
      <c r="E158" s="44">
        <f t="shared" si="16"/>
        <v>10738729</v>
      </c>
      <c r="G158" s="44">
        <f>7367532+21628948</f>
        <v>28996480</v>
      </c>
      <c r="I158" s="44">
        <v>0</v>
      </c>
      <c r="K158" s="44">
        <v>39735209</v>
      </c>
      <c r="M158" s="44">
        <f t="shared" si="17"/>
        <v>4203301</v>
      </c>
      <c r="O158" s="44">
        <v>1926222</v>
      </c>
      <c r="Q158" s="44">
        <v>6129523</v>
      </c>
      <c r="S158" s="44">
        <v>28598354</v>
      </c>
      <c r="U158" s="44">
        <f>33605686-28598354-2053244</f>
        <v>2954088</v>
      </c>
      <c r="W158" s="44">
        <v>2053244</v>
      </c>
      <c r="Y158" s="44">
        <f t="shared" si="15"/>
        <v>33605686</v>
      </c>
      <c r="AB158" s="44">
        <f t="shared" si="18"/>
        <v>0</v>
      </c>
    </row>
    <row r="159" spans="1:28" ht="12.75" customHeight="1">
      <c r="A159" s="44" t="s">
        <v>187</v>
      </c>
      <c r="B159" s="44"/>
      <c r="C159" s="44" t="s">
        <v>27</v>
      </c>
      <c r="D159" s="44"/>
      <c r="E159" s="44">
        <f t="shared" si="16"/>
        <v>30268159</v>
      </c>
      <c r="G159" s="44">
        <f>4232061+62650475</f>
        <v>66882536</v>
      </c>
      <c r="I159" s="44">
        <v>122545</v>
      </c>
      <c r="K159" s="44">
        <v>97273240</v>
      </c>
      <c r="M159" s="44">
        <f t="shared" si="17"/>
        <v>17573662</v>
      </c>
      <c r="O159" s="44">
        <v>33633244</v>
      </c>
      <c r="Q159" s="44">
        <v>51206906</v>
      </c>
      <c r="S159" s="44">
        <v>32357653</v>
      </c>
      <c r="U159" s="44">
        <f>46066334-32357653-1596678</f>
        <v>12112003</v>
      </c>
      <c r="W159" s="44">
        <v>1596678</v>
      </c>
      <c r="Y159" s="44">
        <f t="shared" si="15"/>
        <v>46066334</v>
      </c>
      <c r="AB159" s="44">
        <f>+K159-Q159-Y159</f>
        <v>0</v>
      </c>
    </row>
    <row r="160" spans="1:28" ht="12.75" customHeight="1">
      <c r="A160" s="44" t="s">
        <v>189</v>
      </c>
      <c r="C160" s="44" t="s">
        <v>17</v>
      </c>
      <c r="E160" s="44">
        <f t="shared" si="16"/>
        <v>22743071</v>
      </c>
      <c r="G160" s="44">
        <f>3451065+62059128</f>
        <v>65510193</v>
      </c>
      <c r="I160" s="44">
        <v>0</v>
      </c>
      <c r="K160" s="44">
        <v>88253264</v>
      </c>
      <c r="M160" s="44">
        <f t="shared" si="17"/>
        <v>12100335</v>
      </c>
      <c r="O160" s="44">
        <v>9137145</v>
      </c>
      <c r="Q160" s="44">
        <v>21237480</v>
      </c>
      <c r="S160" s="44">
        <v>56582855</v>
      </c>
      <c r="U160" s="44">
        <f>67015784-56582855-4855626</f>
        <v>5577303</v>
      </c>
      <c r="W160" s="44">
        <v>4855626</v>
      </c>
      <c r="Y160" s="44">
        <f t="shared" si="15"/>
        <v>67015784</v>
      </c>
      <c r="AB160" s="44">
        <f t="shared" si="18"/>
        <v>0</v>
      </c>
    </row>
    <row r="161" spans="1:29" ht="12.75" customHeight="1">
      <c r="A161" s="44" t="s">
        <v>188</v>
      </c>
      <c r="C161" s="44" t="s">
        <v>27</v>
      </c>
      <c r="E161" s="44">
        <f t="shared" si="16"/>
        <v>24636430</v>
      </c>
      <c r="G161" s="44">
        <f>4546664+106624778</f>
        <v>111171442</v>
      </c>
      <c r="I161" s="44">
        <v>17590</v>
      </c>
      <c r="K161" s="44">
        <v>135825462</v>
      </c>
      <c r="M161" s="44">
        <f t="shared" si="17"/>
        <v>8550575</v>
      </c>
      <c r="O161" s="44">
        <v>18657108</v>
      </c>
      <c r="Q161" s="44">
        <v>27207683</v>
      </c>
      <c r="S161" s="44">
        <v>100098704</v>
      </c>
      <c r="U161" s="44">
        <v>0</v>
      </c>
      <c r="W161" s="44">
        <v>8519075</v>
      </c>
      <c r="Y161" s="44">
        <f t="shared" si="15"/>
        <v>108617779</v>
      </c>
      <c r="AB161" s="44">
        <f>+K161-Q161-Y161</f>
        <v>0</v>
      </c>
    </row>
    <row r="162" spans="1:29" ht="12.75" customHeight="1">
      <c r="A162" s="44" t="s">
        <v>190</v>
      </c>
      <c r="C162" s="44" t="s">
        <v>47</v>
      </c>
      <c r="E162" s="44">
        <f t="shared" si="16"/>
        <v>5639811</v>
      </c>
      <c r="G162" s="44">
        <f>407945+8212810</f>
        <v>8620755</v>
      </c>
      <c r="I162" s="44">
        <v>0</v>
      </c>
      <c r="K162" s="44">
        <v>14260566</v>
      </c>
      <c r="M162" s="44">
        <f t="shared" si="17"/>
        <v>891796</v>
      </c>
      <c r="O162" s="44">
        <v>2953996</v>
      </c>
      <c r="Q162" s="44">
        <v>3845792</v>
      </c>
      <c r="S162" s="44">
        <v>8091559</v>
      </c>
      <c r="U162" s="44">
        <f>2707539+421578+485572+307860+104759</f>
        <v>4027308</v>
      </c>
      <c r="W162" s="44">
        <v>-1704093</v>
      </c>
      <c r="Y162" s="44">
        <f t="shared" si="15"/>
        <v>10414774</v>
      </c>
      <c r="AB162" s="44">
        <f t="shared" si="18"/>
        <v>0</v>
      </c>
    </row>
    <row r="163" spans="1:29" ht="12.75" customHeight="1">
      <c r="A163" s="44" t="s">
        <v>191</v>
      </c>
      <c r="C163" s="44" t="s">
        <v>13</v>
      </c>
      <c r="E163" s="44">
        <f t="shared" si="16"/>
        <v>11064418</v>
      </c>
      <c r="G163" s="44">
        <f>4908490+13641684</f>
        <v>18550174</v>
      </c>
      <c r="I163" s="44">
        <v>0</v>
      </c>
      <c r="K163" s="44">
        <v>29614592</v>
      </c>
      <c r="M163" s="44">
        <f t="shared" si="17"/>
        <v>6343294</v>
      </c>
      <c r="O163" s="44">
        <v>3442598</v>
      </c>
      <c r="Q163" s="44">
        <v>9785892</v>
      </c>
      <c r="S163" s="44">
        <v>12983587</v>
      </c>
      <c r="U163" s="44">
        <f>19828700-12983587-1781688</f>
        <v>5063425</v>
      </c>
      <c r="W163" s="44">
        <v>1781688</v>
      </c>
      <c r="Y163" s="44">
        <f t="shared" si="15"/>
        <v>19828700</v>
      </c>
      <c r="AB163" s="44">
        <f t="shared" si="18"/>
        <v>0</v>
      </c>
    </row>
    <row r="164" spans="1:29" ht="12.75" customHeight="1">
      <c r="A164" s="44" t="s">
        <v>192</v>
      </c>
      <c r="C164" s="44" t="s">
        <v>38</v>
      </c>
      <c r="E164" s="44">
        <f t="shared" si="16"/>
        <v>15533392</v>
      </c>
      <c r="G164" s="44">
        <f>2028143+16864056</f>
        <v>18892199</v>
      </c>
      <c r="I164" s="44">
        <v>0</v>
      </c>
      <c r="K164" s="44">
        <v>34425591</v>
      </c>
      <c r="M164" s="44">
        <f t="shared" si="17"/>
        <v>3117616</v>
      </c>
      <c r="O164" s="44">
        <v>2586676</v>
      </c>
      <c r="Q164" s="44">
        <v>5704292</v>
      </c>
      <c r="S164" s="44">
        <v>17215201</v>
      </c>
      <c r="U164" s="44">
        <f>28721299-17215201-1852772</f>
        <v>9653326</v>
      </c>
      <c r="W164" s="44">
        <v>1852772</v>
      </c>
      <c r="Y164" s="44">
        <f t="shared" si="15"/>
        <v>28721299</v>
      </c>
      <c r="AB164" s="44">
        <f t="shared" si="18"/>
        <v>0</v>
      </c>
    </row>
    <row r="165" spans="1:29" ht="12.75" customHeight="1">
      <c r="A165" s="44" t="s">
        <v>193</v>
      </c>
      <c r="C165" s="44" t="s">
        <v>45</v>
      </c>
      <c r="E165" s="44">
        <f t="shared" si="16"/>
        <v>17760454</v>
      </c>
      <c r="G165" s="44">
        <f>6376146+1482809+4485149+2223622+4136807+16853331-822530-2272915-1235216-2516451-8266835</f>
        <v>20443917</v>
      </c>
      <c r="I165" s="44">
        <v>21073</v>
      </c>
      <c r="K165" s="44">
        <v>38225444</v>
      </c>
      <c r="M165" s="44">
        <f t="shared" si="17"/>
        <v>8673332</v>
      </c>
      <c r="O165" s="44">
        <v>25044231</v>
      </c>
      <c r="Q165" s="44">
        <v>33717563</v>
      </c>
      <c r="S165" s="44">
        <v>8986477</v>
      </c>
      <c r="U165" s="44">
        <f>3806183+417509+1885384</f>
        <v>6109076</v>
      </c>
      <c r="W165" s="44">
        <v>-10587672</v>
      </c>
      <c r="Y165" s="44">
        <f t="shared" si="15"/>
        <v>4507881</v>
      </c>
      <c r="AB165" s="44">
        <f t="shared" si="18"/>
        <v>0</v>
      </c>
    </row>
    <row r="166" spans="1:29" ht="12.75" customHeight="1">
      <c r="A166" s="44" t="s">
        <v>194</v>
      </c>
      <c r="B166" s="44"/>
      <c r="C166" s="44" t="s">
        <v>66</v>
      </c>
      <c r="D166" s="44"/>
      <c r="E166" s="44">
        <f t="shared" si="16"/>
        <v>20296319</v>
      </c>
      <c r="G166" s="44">
        <f>7514084+33553287</f>
        <v>41067371</v>
      </c>
      <c r="I166" s="44">
        <v>0</v>
      </c>
      <c r="K166" s="44">
        <v>61363690</v>
      </c>
      <c r="M166" s="44">
        <f t="shared" si="17"/>
        <v>5620349</v>
      </c>
      <c r="O166" s="44">
        <v>1521475</v>
      </c>
      <c r="Q166" s="44">
        <v>7141824</v>
      </c>
      <c r="S166" s="44">
        <v>37917371</v>
      </c>
      <c r="U166" s="44">
        <f>124779+1219776+50000+11109</f>
        <v>1405664</v>
      </c>
      <c r="W166" s="44">
        <v>14898831</v>
      </c>
      <c r="Y166" s="44">
        <f t="shared" si="15"/>
        <v>54221866</v>
      </c>
      <c r="AB166" s="44">
        <f t="shared" si="18"/>
        <v>0</v>
      </c>
    </row>
    <row r="167" spans="1:29" ht="12.75" customHeight="1">
      <c r="Y167" s="48" t="s">
        <v>484</v>
      </c>
    </row>
    <row r="168" spans="1:29" s="46" customFormat="1" ht="12.75" customHeight="1">
      <c r="A168" s="46" t="s">
        <v>195</v>
      </c>
      <c r="C168" s="46" t="s">
        <v>17</v>
      </c>
      <c r="E168" s="46">
        <f t="shared" si="16"/>
        <v>18732822</v>
      </c>
      <c r="G168" s="46">
        <f>4236424+27984440</f>
        <v>32220864</v>
      </c>
      <c r="I168" s="46">
        <v>0</v>
      </c>
      <c r="K168" s="46">
        <v>50953686</v>
      </c>
      <c r="M168" s="46">
        <f t="shared" si="17"/>
        <v>7560631</v>
      </c>
      <c r="O168" s="46">
        <v>4748373</v>
      </c>
      <c r="Q168" s="46">
        <v>12309004</v>
      </c>
      <c r="S168" s="46">
        <v>27751135</v>
      </c>
      <c r="U168" s="46">
        <f>1465171+380729+1061958</f>
        <v>2907858</v>
      </c>
      <c r="W168" s="46">
        <v>7985689</v>
      </c>
      <c r="Y168" s="46">
        <f t="shared" si="15"/>
        <v>38644682</v>
      </c>
      <c r="AB168" s="46">
        <f>+K168-Q168-Y168</f>
        <v>0</v>
      </c>
    </row>
    <row r="169" spans="1:29" s="121" customFormat="1" ht="12.75" hidden="1" customHeight="1">
      <c r="A169" s="44" t="s">
        <v>492</v>
      </c>
      <c r="B169" s="47"/>
      <c r="C169" s="44" t="s">
        <v>27</v>
      </c>
      <c r="D169" s="47"/>
      <c r="E169" s="44">
        <f t="shared" si="16"/>
        <v>0</v>
      </c>
      <c r="F169" s="44"/>
      <c r="G169" s="44">
        <v>0</v>
      </c>
      <c r="H169" s="44"/>
      <c r="I169" s="44">
        <v>0</v>
      </c>
      <c r="J169" s="44"/>
      <c r="K169" s="44">
        <v>0</v>
      </c>
      <c r="L169" s="44"/>
      <c r="M169" s="44">
        <f t="shared" si="17"/>
        <v>0</v>
      </c>
      <c r="N169" s="44"/>
      <c r="O169" s="44">
        <v>0</v>
      </c>
      <c r="P169" s="44"/>
      <c r="Q169" s="44">
        <v>0</v>
      </c>
      <c r="R169" s="44"/>
      <c r="S169" s="44">
        <v>0</v>
      </c>
      <c r="T169" s="44"/>
      <c r="U169" s="44">
        <v>0</v>
      </c>
      <c r="V169" s="44"/>
      <c r="W169" s="44">
        <v>0</v>
      </c>
      <c r="X169" s="44"/>
      <c r="Y169" s="44">
        <f t="shared" si="15"/>
        <v>0</v>
      </c>
      <c r="Z169" s="44"/>
      <c r="AA169" s="44"/>
      <c r="AB169" s="44">
        <f t="shared" si="18"/>
        <v>0</v>
      </c>
    </row>
    <row r="170" spans="1:29" s="121" customFormat="1" ht="12.75" customHeight="1">
      <c r="A170" s="44" t="s">
        <v>402</v>
      </c>
      <c r="B170" s="47"/>
      <c r="C170" s="44" t="s">
        <v>153</v>
      </c>
      <c r="D170" s="47"/>
      <c r="E170" s="44">
        <f t="shared" si="16"/>
        <v>7231977</v>
      </c>
      <c r="F170" s="44"/>
      <c r="G170" s="44">
        <v>21179653</v>
      </c>
      <c r="H170" s="44"/>
      <c r="I170" s="44">
        <v>169801</v>
      </c>
      <c r="J170" s="44"/>
      <c r="K170" s="44">
        <v>28581431</v>
      </c>
      <c r="L170" s="44"/>
      <c r="M170" s="44">
        <f t="shared" si="17"/>
        <v>959099</v>
      </c>
      <c r="N170" s="44"/>
      <c r="O170" s="44">
        <v>2092118</v>
      </c>
      <c r="P170" s="44"/>
      <c r="Q170" s="44">
        <v>3051217</v>
      </c>
      <c r="R170" s="44"/>
      <c r="S170" s="44">
        <v>19176376</v>
      </c>
      <c r="T170" s="44"/>
      <c r="U170" s="44">
        <f>25530214-19176376-2463911</f>
        <v>3889927</v>
      </c>
      <c r="V170" s="44"/>
      <c r="W170" s="44">
        <v>2463911</v>
      </c>
      <c r="X170" s="44"/>
      <c r="Y170" s="44">
        <f t="shared" si="15"/>
        <v>25530214</v>
      </c>
      <c r="Z170" s="44"/>
      <c r="AA170" s="44"/>
      <c r="AB170" s="44">
        <f t="shared" si="18"/>
        <v>0</v>
      </c>
    </row>
    <row r="171" spans="1:29" ht="12.75" customHeight="1">
      <c r="A171" s="44" t="s">
        <v>197</v>
      </c>
      <c r="C171" s="44" t="s">
        <v>163</v>
      </c>
      <c r="E171" s="44">
        <f t="shared" si="16"/>
        <v>46878355</v>
      </c>
      <c r="G171" s="44">
        <f>7570260+28474172</f>
        <v>36044432</v>
      </c>
      <c r="I171" s="44">
        <v>0</v>
      </c>
      <c r="K171" s="44">
        <v>82922787</v>
      </c>
      <c r="M171" s="44">
        <f t="shared" si="17"/>
        <v>10581208</v>
      </c>
      <c r="O171" s="44">
        <v>15518552</v>
      </c>
      <c r="Q171" s="44">
        <v>26099760</v>
      </c>
      <c r="S171" s="44">
        <v>15093790</v>
      </c>
      <c r="U171" s="44">
        <f>56823027-15093790-24025683</f>
        <v>17703554</v>
      </c>
      <c r="W171" s="44">
        <v>24025683</v>
      </c>
      <c r="Y171" s="44">
        <f t="shared" si="15"/>
        <v>56823027</v>
      </c>
      <c r="AB171" s="44">
        <f>+K171-Q171-Y171</f>
        <v>0</v>
      </c>
    </row>
    <row r="172" spans="1:29" ht="12.75" customHeight="1">
      <c r="A172" s="44" t="s">
        <v>198</v>
      </c>
      <c r="C172" s="44" t="s">
        <v>199</v>
      </c>
      <c r="E172" s="44">
        <v>6667565</v>
      </c>
      <c r="G172" s="44">
        <v>43777746</v>
      </c>
      <c r="I172" s="44">
        <v>0</v>
      </c>
      <c r="K172" s="44">
        <v>50445311</v>
      </c>
      <c r="M172" s="44">
        <v>916696</v>
      </c>
      <c r="O172" s="44">
        <v>107334</v>
      </c>
      <c r="Q172" s="44">
        <v>1024030</v>
      </c>
      <c r="S172" s="44">
        <v>43659336</v>
      </c>
      <c r="U172" s="44">
        <v>1892202</v>
      </c>
      <c r="W172" s="44">
        <v>3869743</v>
      </c>
      <c r="Y172" s="44">
        <f t="shared" si="15"/>
        <v>49421281</v>
      </c>
      <c r="AB172" s="44">
        <f t="shared" si="18"/>
        <v>0</v>
      </c>
    </row>
    <row r="173" spans="1:29" ht="12.75" customHeight="1">
      <c r="A173" s="44" t="s">
        <v>200</v>
      </c>
      <c r="C173" s="44" t="s">
        <v>103</v>
      </c>
      <c r="E173" s="44">
        <f t="shared" si="16"/>
        <v>17533754</v>
      </c>
      <c r="G173" s="44">
        <f>6865246+29101194</f>
        <v>35966440</v>
      </c>
      <c r="I173" s="44">
        <v>42559</v>
      </c>
      <c r="K173" s="44">
        <v>53542753</v>
      </c>
      <c r="M173" s="44">
        <f t="shared" si="17"/>
        <v>2860916</v>
      </c>
      <c r="O173" s="44">
        <v>3640077</v>
      </c>
      <c r="Q173" s="44">
        <v>6500993</v>
      </c>
      <c r="S173" s="44">
        <v>31896702</v>
      </c>
      <c r="U173" s="44">
        <f>6820527+1289017</f>
        <v>8109544</v>
      </c>
      <c r="W173" s="44">
        <v>7035514</v>
      </c>
      <c r="Y173" s="44">
        <f t="shared" si="15"/>
        <v>47041760</v>
      </c>
      <c r="AB173" s="44">
        <f t="shared" si="18"/>
        <v>0</v>
      </c>
    </row>
    <row r="174" spans="1:29" ht="12.75" customHeight="1">
      <c r="A174" s="44" t="s">
        <v>201</v>
      </c>
      <c r="C174" s="44" t="s">
        <v>92</v>
      </c>
      <c r="E174" s="44">
        <f t="shared" si="16"/>
        <v>18227607</v>
      </c>
      <c r="G174" s="44">
        <f>8889029+26070502</f>
        <v>34959531</v>
      </c>
      <c r="I174" s="44">
        <v>0</v>
      </c>
      <c r="K174" s="44">
        <v>53187138</v>
      </c>
      <c r="M174" s="44">
        <f t="shared" si="17"/>
        <v>7295994</v>
      </c>
      <c r="O174" s="44">
        <v>4592983</v>
      </c>
      <c r="Q174" s="44">
        <v>11888977</v>
      </c>
      <c r="S174" s="44">
        <v>27984311</v>
      </c>
      <c r="U174" s="44">
        <f>41298161-27984311-10894890</f>
        <v>2418960</v>
      </c>
      <c r="W174" s="44">
        <v>10894890</v>
      </c>
      <c r="Y174" s="44">
        <f t="shared" si="15"/>
        <v>41298161</v>
      </c>
      <c r="AB174" s="44">
        <f>+K174-Q174-Y174</f>
        <v>0</v>
      </c>
    </row>
    <row r="175" spans="1:29" ht="12.75" customHeight="1">
      <c r="A175" s="44" t="s">
        <v>202</v>
      </c>
      <c r="C175" s="44" t="s">
        <v>27</v>
      </c>
      <c r="E175" s="44">
        <f t="shared" si="16"/>
        <v>34353857</v>
      </c>
      <c r="G175" s="44">
        <f>7166623+76541746</f>
        <v>83708369</v>
      </c>
      <c r="I175" s="44">
        <v>0</v>
      </c>
      <c r="K175" s="44">
        <v>118062226</v>
      </c>
      <c r="M175" s="44">
        <f t="shared" si="17"/>
        <v>14752446</v>
      </c>
      <c r="O175" s="44">
        <v>30284195</v>
      </c>
      <c r="Q175" s="44">
        <v>45036641</v>
      </c>
      <c r="S175" s="44">
        <v>53639070</v>
      </c>
      <c r="U175" s="44">
        <f>972034+3383970+1351208+1147090+784099+2250178</f>
        <v>9888579</v>
      </c>
      <c r="W175" s="44">
        <v>9497936</v>
      </c>
      <c r="Y175" s="44">
        <f t="shared" si="15"/>
        <v>73025585</v>
      </c>
      <c r="AB175" s="44">
        <f>+K175-Q175-Y175</f>
        <v>0</v>
      </c>
      <c r="AC175" s="44" t="s">
        <v>498</v>
      </c>
    </row>
    <row r="176" spans="1:29" ht="12.75" customHeight="1">
      <c r="A176" s="44" t="s">
        <v>203</v>
      </c>
      <c r="C176" s="44" t="s">
        <v>27</v>
      </c>
      <c r="E176" s="44">
        <f t="shared" si="16"/>
        <v>15007162</v>
      </c>
      <c r="G176" s="44">
        <f>3313436+25700926</f>
        <v>29014362</v>
      </c>
      <c r="I176" s="44">
        <v>0</v>
      </c>
      <c r="K176" s="44">
        <v>44021524</v>
      </c>
      <c r="M176" s="44">
        <f t="shared" si="17"/>
        <v>10056778</v>
      </c>
      <c r="O176" s="44">
        <v>7128475</v>
      </c>
      <c r="Q176" s="44">
        <v>17185253</v>
      </c>
      <c r="S176" s="44">
        <v>21828793</v>
      </c>
      <c r="U176" s="44">
        <f>26836271-21828793+433788</f>
        <v>5441266</v>
      </c>
      <c r="W176" s="44">
        <v>-433788</v>
      </c>
      <c r="Y176" s="44">
        <f t="shared" si="15"/>
        <v>26836271</v>
      </c>
      <c r="AB176" s="44">
        <f t="shared" si="18"/>
        <v>0</v>
      </c>
    </row>
    <row r="177" spans="1:28" ht="12.75" customHeight="1">
      <c r="A177" s="44" t="s">
        <v>204</v>
      </c>
      <c r="C177" s="44" t="s">
        <v>125</v>
      </c>
      <c r="E177" s="44">
        <f t="shared" si="16"/>
        <v>5944138</v>
      </c>
      <c r="G177" s="44">
        <f>1470683+5425596</f>
        <v>6896279</v>
      </c>
      <c r="I177" s="44">
        <v>0</v>
      </c>
      <c r="K177" s="44">
        <v>12840417</v>
      </c>
      <c r="M177" s="44">
        <f t="shared" si="17"/>
        <v>2841885</v>
      </c>
      <c r="O177" s="44">
        <v>919418</v>
      </c>
      <c r="Q177" s="44">
        <v>3761303</v>
      </c>
      <c r="S177" s="44">
        <v>5768494</v>
      </c>
      <c r="U177" s="44">
        <f>9079114-5768494-1168314</f>
        <v>2142306</v>
      </c>
      <c r="W177" s="44">
        <v>1168314</v>
      </c>
      <c r="Y177" s="44">
        <f t="shared" si="15"/>
        <v>9079114</v>
      </c>
      <c r="AB177" s="44">
        <f t="shared" si="18"/>
        <v>0</v>
      </c>
    </row>
    <row r="178" spans="1:28" ht="12.75" customHeight="1">
      <c r="A178" s="44" t="s">
        <v>205</v>
      </c>
      <c r="C178" s="44" t="s">
        <v>27</v>
      </c>
      <c r="E178" s="44">
        <f t="shared" si="16"/>
        <v>7479095</v>
      </c>
      <c r="G178" s="44">
        <f>3272586+18687963</f>
        <v>21960549</v>
      </c>
      <c r="I178" s="44">
        <v>0</v>
      </c>
      <c r="K178" s="44">
        <v>29439644</v>
      </c>
      <c r="M178" s="44">
        <f t="shared" si="17"/>
        <v>5156478</v>
      </c>
      <c r="O178" s="44">
        <v>9524906</v>
      </c>
      <c r="Q178" s="44">
        <v>14681384</v>
      </c>
      <c r="S178" s="44">
        <v>12668746</v>
      </c>
      <c r="U178" s="44">
        <f>300547+683387</f>
        <v>983934</v>
      </c>
      <c r="W178" s="44">
        <v>1105580</v>
      </c>
      <c r="Y178" s="44">
        <f t="shared" si="15"/>
        <v>14758260</v>
      </c>
      <c r="AB178" s="44">
        <f t="shared" si="18"/>
        <v>0</v>
      </c>
    </row>
    <row r="179" spans="1:28" ht="12.75" customHeight="1">
      <c r="A179" s="44" t="s">
        <v>206</v>
      </c>
      <c r="C179" s="44" t="s">
        <v>47</v>
      </c>
      <c r="E179" s="44">
        <f t="shared" si="16"/>
        <v>16577816</v>
      </c>
      <c r="G179" s="44">
        <f>16344743+59641096</f>
        <v>75985839</v>
      </c>
      <c r="I179" s="44">
        <v>0</v>
      </c>
      <c r="K179" s="44">
        <v>92563655</v>
      </c>
      <c r="M179" s="44">
        <f t="shared" si="17"/>
        <v>12512818</v>
      </c>
      <c r="O179" s="44">
        <v>547927</v>
      </c>
      <c r="Q179" s="44">
        <v>13060745</v>
      </c>
      <c r="S179" s="44">
        <v>68445839</v>
      </c>
      <c r="U179" s="44">
        <f>20694+3674785</f>
        <v>3695479</v>
      </c>
      <c r="W179" s="44">
        <v>7361592</v>
      </c>
      <c r="Y179" s="44">
        <f t="shared" si="15"/>
        <v>79502910</v>
      </c>
      <c r="AB179" s="44">
        <f t="shared" si="18"/>
        <v>0</v>
      </c>
    </row>
    <row r="180" spans="1:28" ht="12.75" customHeight="1">
      <c r="A180" s="44" t="s">
        <v>207</v>
      </c>
      <c r="C180" s="44" t="s">
        <v>102</v>
      </c>
      <c r="E180" s="44">
        <f t="shared" si="16"/>
        <v>10462904</v>
      </c>
      <c r="G180" s="44">
        <f>22931468+37562347</f>
        <v>60493815</v>
      </c>
      <c r="I180" s="44">
        <v>19415</v>
      </c>
      <c r="K180" s="44">
        <v>70976134</v>
      </c>
      <c r="M180" s="44">
        <f t="shared" si="17"/>
        <v>7301612</v>
      </c>
      <c r="O180" s="44">
        <v>13563725</v>
      </c>
      <c r="Q180" s="44">
        <v>20865337</v>
      </c>
      <c r="S180" s="44">
        <v>43252878</v>
      </c>
      <c r="U180" s="44">
        <f>2050326+198648+765398+278252</f>
        <v>3292624</v>
      </c>
      <c r="W180" s="44">
        <v>3565295</v>
      </c>
      <c r="Y180" s="44">
        <f t="shared" si="15"/>
        <v>50110797</v>
      </c>
      <c r="AB180" s="44">
        <f t="shared" si="18"/>
        <v>0</v>
      </c>
    </row>
    <row r="181" spans="1:28" ht="12.75" customHeight="1">
      <c r="A181" s="44" t="s">
        <v>208</v>
      </c>
      <c r="C181" s="44" t="s">
        <v>209</v>
      </c>
      <c r="E181" s="44">
        <f t="shared" si="16"/>
        <v>31972029</v>
      </c>
      <c r="G181" s="44">
        <f>7138115+36164423</f>
        <v>43302538</v>
      </c>
      <c r="I181" s="44">
        <v>0</v>
      </c>
      <c r="K181" s="44">
        <v>75274567</v>
      </c>
      <c r="M181" s="44">
        <f t="shared" si="17"/>
        <v>4254152</v>
      </c>
      <c r="O181" s="44">
        <v>4814839</v>
      </c>
      <c r="Q181" s="44">
        <v>9068991</v>
      </c>
      <c r="S181" s="44">
        <v>41217679</v>
      </c>
      <c r="U181" s="44">
        <f>20665+387228</f>
        <v>407893</v>
      </c>
      <c r="W181" s="44">
        <v>24580004</v>
      </c>
      <c r="Y181" s="44">
        <f t="shared" si="15"/>
        <v>66205576</v>
      </c>
      <c r="AB181" s="44">
        <f t="shared" si="18"/>
        <v>0</v>
      </c>
    </row>
    <row r="182" spans="1:28" ht="12.75" customHeight="1">
      <c r="A182" s="44" t="s">
        <v>210</v>
      </c>
      <c r="C182" s="44" t="s">
        <v>211</v>
      </c>
      <c r="E182" s="44">
        <f t="shared" si="16"/>
        <v>5068103</v>
      </c>
      <c r="G182" s="44">
        <f>935446+5903002</f>
        <v>6838448</v>
      </c>
      <c r="I182" s="44">
        <v>0</v>
      </c>
      <c r="K182" s="44">
        <v>11906551</v>
      </c>
      <c r="M182" s="44">
        <f t="shared" si="17"/>
        <v>1638036</v>
      </c>
      <c r="O182" s="44">
        <v>569502</v>
      </c>
      <c r="Q182" s="44">
        <v>2207538</v>
      </c>
      <c r="S182" s="44">
        <v>6324710</v>
      </c>
      <c r="U182" s="44">
        <f>9699013-6324710-1491295</f>
        <v>1883008</v>
      </c>
      <c r="W182" s="44">
        <v>1491295</v>
      </c>
      <c r="Y182" s="44">
        <f t="shared" si="15"/>
        <v>9699013</v>
      </c>
      <c r="AB182" s="44">
        <f>+K182-Q182-Y182</f>
        <v>0</v>
      </c>
    </row>
    <row r="183" spans="1:28" ht="12.75" customHeight="1">
      <c r="A183" s="44" t="s">
        <v>212</v>
      </c>
      <c r="C183" s="44" t="s">
        <v>213</v>
      </c>
      <c r="E183" s="44">
        <f t="shared" si="16"/>
        <v>12250336</v>
      </c>
      <c r="G183" s="44">
        <f>1826884+16994526</f>
        <v>18821410</v>
      </c>
      <c r="I183" s="44">
        <v>0</v>
      </c>
      <c r="K183" s="44">
        <v>31071746</v>
      </c>
      <c r="M183" s="44">
        <f t="shared" si="17"/>
        <v>4294820</v>
      </c>
      <c r="O183" s="44">
        <v>2919858</v>
      </c>
      <c r="Q183" s="44">
        <v>7214678</v>
      </c>
      <c r="S183" s="44">
        <v>17772546</v>
      </c>
      <c r="U183" s="44">
        <f>23857068-17772546+338079</f>
        <v>6422601</v>
      </c>
      <c r="W183" s="44">
        <v>-338079</v>
      </c>
      <c r="Y183" s="44">
        <f t="shared" si="15"/>
        <v>23857068</v>
      </c>
      <c r="AB183" s="44">
        <f t="shared" si="18"/>
        <v>0</v>
      </c>
    </row>
    <row r="184" spans="1:28" ht="12.75" customHeight="1">
      <c r="A184" s="44" t="s">
        <v>214</v>
      </c>
      <c r="C184" s="44" t="s">
        <v>86</v>
      </c>
      <c r="E184" s="44">
        <f t="shared" si="16"/>
        <v>12284336</v>
      </c>
      <c r="G184" s="44">
        <f>3852659+126166+38938876</f>
        <v>42917701</v>
      </c>
      <c r="I184" s="44">
        <v>85829</v>
      </c>
      <c r="K184" s="44">
        <v>55287866</v>
      </c>
      <c r="M184" s="44">
        <f t="shared" si="17"/>
        <v>3805454</v>
      </c>
      <c r="O184" s="44">
        <f>149425+23111779</f>
        <v>23261204</v>
      </c>
      <c r="Q184" s="44">
        <v>27066658</v>
      </c>
      <c r="S184" s="44">
        <v>24882701</v>
      </c>
      <c r="U184" s="44">
        <f>1220375+475119+110766+181262+188938</f>
        <v>2176460</v>
      </c>
      <c r="W184" s="44">
        <v>1162047</v>
      </c>
      <c r="Y184" s="44">
        <f t="shared" si="15"/>
        <v>28221208</v>
      </c>
      <c r="AB184" s="44">
        <f t="shared" si="18"/>
        <v>0</v>
      </c>
    </row>
    <row r="185" spans="1:28" ht="12.75" customHeight="1">
      <c r="A185" s="44" t="s">
        <v>215</v>
      </c>
      <c r="C185" s="44" t="s">
        <v>22</v>
      </c>
      <c r="E185" s="44">
        <f t="shared" si="16"/>
        <v>16196777</v>
      </c>
      <c r="G185" s="44">
        <f>1297800+39668865</f>
        <v>40966665</v>
      </c>
      <c r="I185" s="44">
        <v>0</v>
      </c>
      <c r="K185" s="44">
        <v>57163442</v>
      </c>
      <c r="M185" s="44">
        <f t="shared" si="17"/>
        <v>1906840</v>
      </c>
      <c r="O185" s="44">
        <v>7017534</v>
      </c>
      <c r="Q185" s="44">
        <v>8924374</v>
      </c>
      <c r="S185" s="44">
        <v>39155952</v>
      </c>
      <c r="U185" s="44">
        <f>1169120+196766+7071743+1100495+604218+750487</f>
        <v>10892829</v>
      </c>
      <c r="W185" s="44">
        <v>-1809713</v>
      </c>
      <c r="Y185" s="44">
        <f t="shared" si="15"/>
        <v>48239068</v>
      </c>
      <c r="AB185" s="44">
        <f t="shared" si="18"/>
        <v>0</v>
      </c>
    </row>
    <row r="186" spans="1:28" ht="12.75" customHeight="1">
      <c r="A186" s="44" t="s">
        <v>216</v>
      </c>
      <c r="C186" s="44" t="s">
        <v>45</v>
      </c>
      <c r="E186" s="44">
        <f t="shared" si="16"/>
        <v>6013778</v>
      </c>
      <c r="G186" s="44">
        <f>1337171+3856760</f>
        <v>5193931</v>
      </c>
      <c r="I186" s="44">
        <v>0</v>
      </c>
      <c r="K186" s="44">
        <v>11207709</v>
      </c>
      <c r="M186" s="44">
        <f t="shared" si="17"/>
        <v>2615749</v>
      </c>
      <c r="O186" s="44">
        <v>1980890</v>
      </c>
      <c r="Q186" s="44">
        <v>4596639</v>
      </c>
      <c r="S186" s="44">
        <v>4054174</v>
      </c>
      <c r="U186" s="44">
        <f>1529018+1085212</f>
        <v>2614230</v>
      </c>
      <c r="W186" s="44">
        <v>-57334</v>
      </c>
      <c r="Y186" s="44">
        <f t="shared" si="15"/>
        <v>6611070</v>
      </c>
      <c r="AB186" s="44">
        <f t="shared" si="18"/>
        <v>0</v>
      </c>
    </row>
    <row r="187" spans="1:28" ht="12.75" customHeight="1">
      <c r="A187" s="44" t="s">
        <v>217</v>
      </c>
      <c r="C187" s="44" t="s">
        <v>43</v>
      </c>
      <c r="E187" s="44">
        <f t="shared" si="16"/>
        <v>22875930</v>
      </c>
      <c r="G187" s="44">
        <f>19779463+35951757</f>
        <v>55731220</v>
      </c>
      <c r="I187" s="44">
        <v>275713</v>
      </c>
      <c r="K187" s="44">
        <v>78882863</v>
      </c>
      <c r="M187" s="44">
        <f t="shared" si="17"/>
        <v>3999194</v>
      </c>
      <c r="O187" s="44">
        <v>25558734</v>
      </c>
      <c r="Q187" s="44">
        <v>29557928</v>
      </c>
      <c r="S187" s="44">
        <v>28869219</v>
      </c>
      <c r="U187" s="44">
        <f>49324935-28869219-9136452</f>
        <v>11319264</v>
      </c>
      <c r="W187" s="44">
        <v>9136452</v>
      </c>
      <c r="Y187" s="44">
        <f t="shared" si="15"/>
        <v>49324935</v>
      </c>
      <c r="AB187" s="44">
        <f>+K187-Q187-Y187</f>
        <v>0</v>
      </c>
    </row>
    <row r="188" spans="1:28" ht="12.75" hidden="1" customHeight="1">
      <c r="A188" s="44" t="s">
        <v>218</v>
      </c>
      <c r="C188" s="44" t="s">
        <v>27</v>
      </c>
      <c r="E188" s="44">
        <f t="shared" si="16"/>
        <v>0</v>
      </c>
      <c r="G188" s="44">
        <v>0</v>
      </c>
      <c r="I188" s="44">
        <v>0</v>
      </c>
      <c r="K188" s="44">
        <v>0</v>
      </c>
      <c r="M188" s="44">
        <f t="shared" si="17"/>
        <v>0</v>
      </c>
      <c r="O188" s="44">
        <v>0</v>
      </c>
      <c r="Q188" s="44">
        <v>0</v>
      </c>
      <c r="S188" s="44">
        <v>0</v>
      </c>
      <c r="U188" s="44">
        <v>0</v>
      </c>
      <c r="W188" s="44">
        <v>0</v>
      </c>
      <c r="Y188" s="44">
        <f t="shared" si="15"/>
        <v>0</v>
      </c>
      <c r="AB188" s="44">
        <f>+K188-Q188-Y188</f>
        <v>0</v>
      </c>
    </row>
    <row r="189" spans="1:28" ht="12.75" customHeight="1">
      <c r="A189" s="44" t="s">
        <v>219</v>
      </c>
      <c r="C189" s="44" t="s">
        <v>199</v>
      </c>
      <c r="E189" s="44">
        <f t="shared" si="16"/>
        <v>3644889</v>
      </c>
      <c r="G189" s="44">
        <f>14018+6267073</f>
        <v>6281091</v>
      </c>
      <c r="I189" s="44">
        <v>19264</v>
      </c>
      <c r="K189" s="44">
        <v>9945244</v>
      </c>
      <c r="M189" s="44">
        <f t="shared" si="17"/>
        <v>1266008</v>
      </c>
      <c r="O189" s="44">
        <v>1157203</v>
      </c>
      <c r="Q189" s="44">
        <v>2423211</v>
      </c>
      <c r="S189" s="44">
        <v>5214053</v>
      </c>
      <c r="U189" s="44">
        <f>142363+189431+207232+575711</f>
        <v>1114737</v>
      </c>
      <c r="W189" s="44">
        <v>1193243</v>
      </c>
      <c r="Y189" s="44">
        <f t="shared" si="15"/>
        <v>7522033</v>
      </c>
      <c r="AB189" s="44">
        <f t="shared" si="18"/>
        <v>0</v>
      </c>
    </row>
    <row r="190" spans="1:28" ht="12.75" customHeight="1">
      <c r="A190" s="44" t="s">
        <v>220</v>
      </c>
      <c r="C190" s="44" t="s">
        <v>66</v>
      </c>
      <c r="E190" s="44">
        <f t="shared" si="16"/>
        <v>13963134</v>
      </c>
      <c r="G190" s="44">
        <f>2767764+6024326</f>
        <v>8792090</v>
      </c>
      <c r="I190" s="44">
        <v>0</v>
      </c>
      <c r="K190" s="44">
        <v>22755224</v>
      </c>
      <c r="M190" s="44">
        <f t="shared" si="17"/>
        <v>4654929</v>
      </c>
      <c r="O190" s="44">
        <v>1097953</v>
      </c>
      <c r="Q190" s="44">
        <v>5752882</v>
      </c>
      <c r="S190" s="44">
        <v>6170559</v>
      </c>
      <c r="U190" s="44">
        <f>419825+624817+313294+349667+540634</f>
        <v>2248237</v>
      </c>
      <c r="W190" s="44">
        <v>8583546</v>
      </c>
      <c r="Y190" s="44">
        <f t="shared" si="15"/>
        <v>17002342</v>
      </c>
      <c r="AB190" s="44">
        <f>+K190-Q190-Y190</f>
        <v>0</v>
      </c>
    </row>
    <row r="191" spans="1:28" ht="12.75" customHeight="1">
      <c r="A191" s="44" t="s">
        <v>221</v>
      </c>
      <c r="C191" s="44" t="s">
        <v>27</v>
      </c>
      <c r="E191" s="44">
        <f t="shared" si="16"/>
        <v>25640268</v>
      </c>
      <c r="G191" s="44">
        <f>4113150+45837128</f>
        <v>49950278</v>
      </c>
      <c r="I191" s="44">
        <v>29531</v>
      </c>
      <c r="K191" s="44">
        <v>75620077</v>
      </c>
      <c r="M191" s="44">
        <f t="shared" si="17"/>
        <v>11347029</v>
      </c>
      <c r="O191" s="44">
        <v>21796889</v>
      </c>
      <c r="Q191" s="44">
        <v>33143918</v>
      </c>
      <c r="S191" s="44">
        <v>31482959</v>
      </c>
      <c r="U191" s="44">
        <f>6208401+295558+421063+124001+406063+539121</f>
        <v>7994207</v>
      </c>
      <c r="W191" s="44">
        <v>2998993</v>
      </c>
      <c r="Y191" s="44">
        <f t="shared" si="15"/>
        <v>42476159</v>
      </c>
      <c r="AB191" s="44">
        <f>+K191-Q191-Y191</f>
        <v>0</v>
      </c>
    </row>
    <row r="192" spans="1:28" ht="12.75" customHeight="1">
      <c r="A192" s="44" t="s">
        <v>222</v>
      </c>
      <c r="C192" s="44" t="s">
        <v>47</v>
      </c>
      <c r="E192" s="44">
        <f t="shared" si="16"/>
        <v>8560450</v>
      </c>
      <c r="G192" s="44">
        <f>361137+4551361</f>
        <v>4912498</v>
      </c>
      <c r="I192" s="44">
        <v>0</v>
      </c>
      <c r="K192" s="44">
        <v>13472948</v>
      </c>
      <c r="M192" s="44">
        <f t="shared" si="17"/>
        <v>2833723</v>
      </c>
      <c r="O192" s="44">
        <v>3564195</v>
      </c>
      <c r="Q192" s="44">
        <v>6397918</v>
      </c>
      <c r="S192" s="44">
        <v>4634610</v>
      </c>
      <c r="U192" s="44">
        <f>1094940+1309734</f>
        <v>2404674</v>
      </c>
      <c r="W192" s="44">
        <v>35746</v>
      </c>
      <c r="Y192" s="44">
        <f t="shared" si="15"/>
        <v>7075030</v>
      </c>
      <c r="AB192" s="44">
        <f t="shared" si="18"/>
        <v>0</v>
      </c>
    </row>
    <row r="193" spans="1:28" ht="12.75" customHeight="1">
      <c r="A193" s="44" t="s">
        <v>223</v>
      </c>
      <c r="C193" s="44" t="s">
        <v>94</v>
      </c>
      <c r="E193" s="44">
        <f t="shared" si="16"/>
        <v>11757304</v>
      </c>
      <c r="G193" s="44">
        <f>6212178+12729789</f>
        <v>18941967</v>
      </c>
      <c r="I193" s="44">
        <v>0</v>
      </c>
      <c r="K193" s="44">
        <v>30699271</v>
      </c>
      <c r="M193" s="44">
        <f t="shared" si="17"/>
        <v>2075205</v>
      </c>
      <c r="O193" s="44">
        <v>4393621</v>
      </c>
      <c r="Q193" s="44">
        <v>6468826</v>
      </c>
      <c r="S193" s="44">
        <v>16876169</v>
      </c>
      <c r="U193" s="44">
        <f>1229656+20073+589707</f>
        <v>1839436</v>
      </c>
      <c r="W193" s="44">
        <v>5514840</v>
      </c>
      <c r="Y193" s="44">
        <f t="shared" si="15"/>
        <v>24230445</v>
      </c>
      <c r="AB193" s="44">
        <f t="shared" si="18"/>
        <v>0</v>
      </c>
    </row>
    <row r="194" spans="1:28" ht="12.75" customHeight="1">
      <c r="A194" s="44" t="s">
        <v>76</v>
      </c>
      <c r="B194" s="44"/>
      <c r="C194" s="44" t="s">
        <v>132</v>
      </c>
      <c r="D194" s="44"/>
      <c r="E194" s="44">
        <f t="shared" si="16"/>
        <v>25743315</v>
      </c>
      <c r="G194" s="44">
        <f>11958167+39447296</f>
        <v>51405463</v>
      </c>
      <c r="I194" s="44">
        <v>282923</v>
      </c>
      <c r="K194" s="44">
        <v>77431701</v>
      </c>
      <c r="M194" s="44">
        <f t="shared" si="17"/>
        <v>10583424</v>
      </c>
      <c r="O194" s="44">
        <v>22256753</v>
      </c>
      <c r="Q194" s="44">
        <v>32840177</v>
      </c>
      <c r="S194" s="44">
        <v>34869732</v>
      </c>
      <c r="U194" s="44">
        <f>44591524-34869732+2810497</f>
        <v>12532289</v>
      </c>
      <c r="W194" s="44">
        <v>-2810497</v>
      </c>
      <c r="Y194" s="44">
        <f t="shared" si="15"/>
        <v>44591524</v>
      </c>
      <c r="AB194" s="44">
        <f t="shared" si="18"/>
        <v>0</v>
      </c>
    </row>
    <row r="195" spans="1:28" ht="12.75" customHeight="1">
      <c r="A195" s="44" t="s">
        <v>224</v>
      </c>
      <c r="C195" s="44" t="s">
        <v>27</v>
      </c>
      <c r="E195" s="44">
        <f t="shared" si="16"/>
        <v>14982713</v>
      </c>
      <c r="G195" s="44">
        <f>1425809+20565390</f>
        <v>21991199</v>
      </c>
      <c r="I195" s="44">
        <v>211623</v>
      </c>
      <c r="K195" s="44">
        <v>37185535</v>
      </c>
      <c r="M195" s="44">
        <f t="shared" si="17"/>
        <v>7577821</v>
      </c>
      <c r="O195" s="44">
        <v>14494175</v>
      </c>
      <c r="Q195" s="44">
        <v>22071996</v>
      </c>
      <c r="S195" s="44">
        <v>7046941</v>
      </c>
      <c r="U195" s="44">
        <f>586686+2031627</f>
        <v>2618313</v>
      </c>
      <c r="W195" s="44">
        <v>5448285</v>
      </c>
      <c r="Y195" s="44">
        <f t="shared" si="15"/>
        <v>15113539</v>
      </c>
      <c r="AB195" s="44">
        <f t="shared" si="18"/>
        <v>0</v>
      </c>
    </row>
    <row r="196" spans="1:28" ht="12.75" customHeight="1">
      <c r="A196" s="44" t="s">
        <v>225</v>
      </c>
      <c r="B196" s="44"/>
      <c r="C196" s="44" t="s">
        <v>27</v>
      </c>
      <c r="D196" s="44"/>
      <c r="E196" s="44">
        <f t="shared" ref="E196:E213" si="19">+K196-G196-I196</f>
        <v>63590629</v>
      </c>
      <c r="G196" s="44">
        <f>26105294+57626074</f>
        <v>83731368</v>
      </c>
      <c r="I196" s="44">
        <v>107854</v>
      </c>
      <c r="K196" s="44">
        <v>147429851</v>
      </c>
      <c r="M196" s="44">
        <f t="shared" ref="M196:M213" si="20">+Q196-O196</f>
        <v>12894078</v>
      </c>
      <c r="O196" s="44">
        <v>29647476</v>
      </c>
      <c r="Q196" s="44">
        <v>42541554</v>
      </c>
      <c r="S196" s="44">
        <v>61712406</v>
      </c>
      <c r="U196" s="44">
        <f>18947218+1237432+724281+1724661+637338</f>
        <v>23270930</v>
      </c>
      <c r="W196" s="44">
        <v>19904961</v>
      </c>
      <c r="Y196" s="44">
        <f t="shared" ref="Y196:Y200" si="21">S196+U196+W196</f>
        <v>104888297</v>
      </c>
      <c r="AB196" s="44">
        <f>+K196-Q196-Y196</f>
        <v>0</v>
      </c>
    </row>
    <row r="197" spans="1:28" ht="12.75" customHeight="1">
      <c r="A197" s="44" t="s">
        <v>226</v>
      </c>
      <c r="C197" s="44" t="s">
        <v>45</v>
      </c>
      <c r="E197" s="44">
        <f t="shared" si="19"/>
        <v>24794784</v>
      </c>
      <c r="G197" s="44">
        <f>1385923+25586302</f>
        <v>26972225</v>
      </c>
      <c r="I197" s="44">
        <v>200457</v>
      </c>
      <c r="K197" s="44">
        <v>51967466</v>
      </c>
      <c r="M197" s="44">
        <f t="shared" si="20"/>
        <v>7759328</v>
      </c>
      <c r="O197" s="44">
        <v>13987978</v>
      </c>
      <c r="Q197" s="44">
        <v>21747306</v>
      </c>
      <c r="S197" s="44">
        <v>19103603</v>
      </c>
      <c r="U197" s="44">
        <f>30220160-19103603-2798030</f>
        <v>8318527</v>
      </c>
      <c r="W197" s="44">
        <v>2798030</v>
      </c>
      <c r="Y197" s="44">
        <f t="shared" si="21"/>
        <v>30220160</v>
      </c>
      <c r="AB197" s="44">
        <f t="shared" si="18"/>
        <v>0</v>
      </c>
    </row>
    <row r="198" spans="1:28" s="46" customFormat="1" ht="12.75" customHeight="1">
      <c r="A198" s="46" t="s">
        <v>227</v>
      </c>
      <c r="C198" s="46" t="s">
        <v>17</v>
      </c>
      <c r="E198" s="44">
        <f t="shared" si="19"/>
        <v>18901323</v>
      </c>
      <c r="F198" s="44"/>
      <c r="G198" s="44">
        <f>619575+3173848</f>
        <v>3793423</v>
      </c>
      <c r="H198" s="44"/>
      <c r="I198" s="44">
        <v>0</v>
      </c>
      <c r="J198" s="44"/>
      <c r="K198" s="44">
        <v>22694746</v>
      </c>
      <c r="L198" s="44"/>
      <c r="M198" s="44">
        <f t="shared" si="20"/>
        <v>6370762</v>
      </c>
      <c r="N198" s="44"/>
      <c r="O198" s="44">
        <v>2471355</v>
      </c>
      <c r="P198" s="44"/>
      <c r="Q198" s="44">
        <v>8842117</v>
      </c>
      <c r="R198" s="44"/>
      <c r="S198" s="44">
        <v>10875214</v>
      </c>
      <c r="T198" s="44"/>
      <c r="U198" s="44">
        <f>13852629-10875214-791222</f>
        <v>2186193</v>
      </c>
      <c r="V198" s="44"/>
      <c r="W198" s="44">
        <v>791222</v>
      </c>
      <c r="X198" s="44"/>
      <c r="Y198" s="44">
        <f t="shared" si="21"/>
        <v>13852629</v>
      </c>
      <c r="Z198" s="44"/>
      <c r="AA198" s="44"/>
      <c r="AB198" s="44">
        <f t="shared" si="18"/>
        <v>0</v>
      </c>
    </row>
    <row r="199" spans="1:28" ht="12.75" customHeight="1">
      <c r="A199" s="44" t="s">
        <v>228</v>
      </c>
      <c r="C199" s="44" t="s">
        <v>153</v>
      </c>
      <c r="E199" s="44">
        <f t="shared" si="19"/>
        <v>6253279</v>
      </c>
      <c r="G199" s="44">
        <f>394760+16518242</f>
        <v>16913002</v>
      </c>
      <c r="I199" s="44">
        <v>4493</v>
      </c>
      <c r="K199" s="44">
        <v>23170774</v>
      </c>
      <c r="M199" s="44">
        <f t="shared" si="20"/>
        <v>1525208</v>
      </c>
      <c r="O199" s="44">
        <v>1016313</v>
      </c>
      <c r="Q199" s="44">
        <v>2541521</v>
      </c>
      <c r="S199" s="44">
        <v>15993811</v>
      </c>
      <c r="U199" s="44">
        <f>20629253-15993811-659137</f>
        <v>3976305</v>
      </c>
      <c r="W199" s="44">
        <v>659137</v>
      </c>
      <c r="Y199" s="44">
        <f t="shared" si="21"/>
        <v>20629253</v>
      </c>
      <c r="AB199" s="44">
        <f t="shared" si="18"/>
        <v>0</v>
      </c>
    </row>
    <row r="200" spans="1:28" ht="12.75" customHeight="1">
      <c r="A200" s="44" t="s">
        <v>229</v>
      </c>
      <c r="C200" s="44" t="s">
        <v>228</v>
      </c>
      <c r="E200" s="44">
        <f t="shared" si="19"/>
        <v>15594740</v>
      </c>
      <c r="G200" s="44">
        <f>7550231+3244402+43340843</f>
        <v>54135476</v>
      </c>
      <c r="I200" s="44">
        <v>65252</v>
      </c>
      <c r="K200" s="44">
        <v>69795468</v>
      </c>
      <c r="M200" s="44">
        <f t="shared" si="20"/>
        <v>5601003</v>
      </c>
      <c r="O200" s="44">
        <v>9025260</v>
      </c>
      <c r="Q200" s="44">
        <v>14626263</v>
      </c>
      <c r="S200" s="44">
        <v>45610506</v>
      </c>
      <c r="U200" s="44">
        <f>211+336141+303357+360638</f>
        <v>1000347</v>
      </c>
      <c r="W200" s="44">
        <v>8558352</v>
      </c>
      <c r="Y200" s="44">
        <f t="shared" si="21"/>
        <v>55169205</v>
      </c>
      <c r="AB200" s="44">
        <f t="shared" si="18"/>
        <v>0</v>
      </c>
    </row>
    <row r="201" spans="1:28" ht="12.75" customHeight="1">
      <c r="A201" s="44" t="s">
        <v>230</v>
      </c>
      <c r="C201" s="44" t="s">
        <v>45</v>
      </c>
      <c r="E201" s="44">
        <f t="shared" si="19"/>
        <v>4717348</v>
      </c>
      <c r="G201" s="44">
        <f>1263932+2954238</f>
        <v>4218170</v>
      </c>
      <c r="I201" s="44">
        <v>0</v>
      </c>
      <c r="K201" s="44">
        <v>8935518</v>
      </c>
      <c r="M201" s="44">
        <f t="shared" si="20"/>
        <v>2217421</v>
      </c>
      <c r="O201" s="44">
        <v>1865296</v>
      </c>
      <c r="Q201" s="44">
        <v>4082717</v>
      </c>
      <c r="S201" s="44">
        <v>1615127</v>
      </c>
      <c r="U201" s="44">
        <f>39455+449435</f>
        <v>488890</v>
      </c>
      <c r="W201" s="44">
        <v>2748784</v>
      </c>
      <c r="Y201" s="44">
        <f t="shared" ref="Y201:Y256" si="22">S201+U201+W201</f>
        <v>4852801</v>
      </c>
      <c r="AB201" s="44">
        <f t="shared" si="18"/>
        <v>0</v>
      </c>
    </row>
    <row r="202" spans="1:28" ht="12.75" customHeight="1">
      <c r="A202" s="44" t="s">
        <v>231</v>
      </c>
      <c r="C202" s="44" t="s">
        <v>27</v>
      </c>
      <c r="E202" s="44">
        <f t="shared" si="19"/>
        <v>51719229</v>
      </c>
      <c r="G202" s="44">
        <f>18223625+97112605</f>
        <v>115336230</v>
      </c>
      <c r="I202" s="44">
        <v>0</v>
      </c>
      <c r="K202" s="44">
        <v>167055459</v>
      </c>
      <c r="M202" s="44">
        <f t="shared" si="20"/>
        <v>15426028</v>
      </c>
      <c r="O202" s="44">
        <v>19068147</v>
      </c>
      <c r="Q202" s="44">
        <v>34494175</v>
      </c>
      <c r="S202" s="44">
        <v>103595699</v>
      </c>
      <c r="U202" s="44">
        <f>132561284-103595699-11635364</f>
        <v>17330221</v>
      </c>
      <c r="W202" s="44">
        <v>11635364</v>
      </c>
      <c r="Y202" s="44">
        <f t="shared" si="22"/>
        <v>132561284</v>
      </c>
      <c r="AB202" s="44">
        <f t="shared" si="18"/>
        <v>0</v>
      </c>
    </row>
    <row r="203" spans="1:28" ht="12.75" customHeight="1">
      <c r="A203" s="44" t="s">
        <v>232</v>
      </c>
      <c r="C203" s="44" t="s">
        <v>27</v>
      </c>
      <c r="E203" s="44">
        <f t="shared" si="19"/>
        <v>42437769</v>
      </c>
      <c r="G203" s="44">
        <f>2128024+41209318</f>
        <v>43337342</v>
      </c>
      <c r="I203" s="44">
        <v>0</v>
      </c>
      <c r="K203" s="44">
        <v>85775111</v>
      </c>
      <c r="M203" s="44">
        <f t="shared" si="20"/>
        <v>10428477</v>
      </c>
      <c r="O203" s="44">
        <v>29451446</v>
      </c>
      <c r="Q203" s="44">
        <v>39879923</v>
      </c>
      <c r="S203" s="44">
        <v>32938396</v>
      </c>
      <c r="U203" s="44">
        <f>45895188-32938396-4164412</f>
        <v>8792380</v>
      </c>
      <c r="W203" s="44">
        <v>4164412</v>
      </c>
      <c r="Y203" s="44">
        <f t="shared" si="22"/>
        <v>45895188</v>
      </c>
      <c r="AB203" s="44">
        <f t="shared" si="18"/>
        <v>0</v>
      </c>
    </row>
    <row r="204" spans="1:28" ht="12.75" customHeight="1">
      <c r="A204" s="44" t="s">
        <v>233</v>
      </c>
      <c r="C204" s="44" t="s">
        <v>111</v>
      </c>
      <c r="E204" s="44">
        <f t="shared" si="19"/>
        <v>22849473</v>
      </c>
      <c r="G204" s="44">
        <f>18412495+29792596+178889</f>
        <v>48383980</v>
      </c>
      <c r="I204" s="44">
        <v>0</v>
      </c>
      <c r="K204" s="44">
        <v>71233453</v>
      </c>
      <c r="M204" s="44">
        <f t="shared" si="20"/>
        <v>9638438</v>
      </c>
      <c r="O204" s="44">
        <v>11337954</v>
      </c>
      <c r="Q204" s="44">
        <v>20976392</v>
      </c>
      <c r="S204" s="44">
        <v>33359772</v>
      </c>
      <c r="U204" s="44">
        <f>50257061-33359772-5717437</f>
        <v>11179852</v>
      </c>
      <c r="W204" s="44">
        <v>5717437</v>
      </c>
      <c r="Y204" s="44">
        <f t="shared" si="22"/>
        <v>50257061</v>
      </c>
      <c r="AB204" s="44">
        <f t="shared" si="18"/>
        <v>0</v>
      </c>
    </row>
    <row r="205" spans="1:28" ht="12.75" customHeight="1">
      <c r="A205" s="44" t="s">
        <v>234</v>
      </c>
      <c r="C205" s="44" t="s">
        <v>45</v>
      </c>
      <c r="E205" s="44">
        <f t="shared" si="19"/>
        <v>13781048</v>
      </c>
      <c r="G205" s="44">
        <f>6698388+38751231</f>
        <v>45449619</v>
      </c>
      <c r="I205" s="44">
        <v>128240</v>
      </c>
      <c r="K205" s="44">
        <v>59358907</v>
      </c>
      <c r="M205" s="44">
        <f t="shared" si="20"/>
        <v>3862162</v>
      </c>
      <c r="O205" s="44">
        <v>5848001</v>
      </c>
      <c r="Q205" s="44">
        <v>9710163</v>
      </c>
      <c r="S205" s="44">
        <v>39714630</v>
      </c>
      <c r="U205" s="44">
        <f>714309+296822+218237</f>
        <v>1229368</v>
      </c>
      <c r="W205" s="44">
        <v>8704746</v>
      </c>
      <c r="Y205" s="44">
        <f t="shared" si="22"/>
        <v>49648744</v>
      </c>
      <c r="AB205" s="44">
        <f t="shared" si="18"/>
        <v>0</v>
      </c>
    </row>
    <row r="206" spans="1:28" ht="12.75" customHeight="1">
      <c r="A206" s="44" t="s">
        <v>235</v>
      </c>
      <c r="C206" s="44" t="s">
        <v>183</v>
      </c>
      <c r="E206" s="44">
        <f t="shared" si="19"/>
        <v>65337450</v>
      </c>
      <c r="G206" s="44">
        <f>9619415+4020719+58553309</f>
        <v>72193443</v>
      </c>
      <c r="I206" s="44">
        <v>0</v>
      </c>
      <c r="K206" s="44">
        <v>137530893</v>
      </c>
      <c r="M206" s="44">
        <f t="shared" si="20"/>
        <v>13162815</v>
      </c>
      <c r="O206" s="44">
        <v>22963495</v>
      </c>
      <c r="Q206" s="44">
        <v>36126310</v>
      </c>
      <c r="S206" s="44">
        <v>59639984</v>
      </c>
      <c r="U206" s="44">
        <f>101404583-59639984-11781737</f>
        <v>29982862</v>
      </c>
      <c r="W206" s="44">
        <v>11781737</v>
      </c>
      <c r="Y206" s="44">
        <f t="shared" si="22"/>
        <v>101404583</v>
      </c>
      <c r="AB206" s="44">
        <f t="shared" si="18"/>
        <v>0</v>
      </c>
    </row>
    <row r="207" spans="1:28" ht="12.75" customHeight="1">
      <c r="A207" s="44" t="s">
        <v>236</v>
      </c>
      <c r="C207" s="44" t="s">
        <v>45</v>
      </c>
      <c r="E207" s="44">
        <f t="shared" si="19"/>
        <v>11757304</v>
      </c>
      <c r="G207" s="44">
        <f>6212178+12729789</f>
        <v>18941967</v>
      </c>
      <c r="I207" s="44">
        <v>0</v>
      </c>
      <c r="K207" s="44">
        <v>30699271</v>
      </c>
      <c r="M207" s="44">
        <f t="shared" si="20"/>
        <v>2075205</v>
      </c>
      <c r="O207" s="44">
        <v>4393621</v>
      </c>
      <c r="Q207" s="44">
        <v>6468826</v>
      </c>
      <c r="S207" s="44">
        <v>16876169</v>
      </c>
      <c r="U207" s="44">
        <f>1229656+20073+589707</f>
        <v>1839436</v>
      </c>
      <c r="W207" s="44">
        <v>5514840</v>
      </c>
      <c r="Y207" s="44">
        <f t="shared" si="22"/>
        <v>24230445</v>
      </c>
      <c r="AB207" s="44">
        <f t="shared" si="18"/>
        <v>0</v>
      </c>
    </row>
    <row r="208" spans="1:28" ht="12.75" customHeight="1">
      <c r="A208" s="44" t="s">
        <v>237</v>
      </c>
      <c r="C208" s="44" t="s">
        <v>33</v>
      </c>
      <c r="E208" s="44">
        <f t="shared" si="19"/>
        <v>2322349</v>
      </c>
      <c r="G208" s="44">
        <f>3368041+4287208</f>
        <v>7655249</v>
      </c>
      <c r="I208" s="44">
        <v>0</v>
      </c>
      <c r="K208" s="44">
        <v>9977598</v>
      </c>
      <c r="M208" s="44">
        <f t="shared" si="20"/>
        <v>1017630</v>
      </c>
      <c r="O208" s="44">
        <v>1282075</v>
      </c>
      <c r="Q208" s="44">
        <v>2299705</v>
      </c>
      <c r="S208" s="44">
        <v>6300660</v>
      </c>
      <c r="U208" s="44">
        <f>165051+1251535</f>
        <v>1416586</v>
      </c>
      <c r="W208" s="44">
        <v>-39353</v>
      </c>
      <c r="Y208" s="44">
        <f t="shared" si="22"/>
        <v>7677893</v>
      </c>
      <c r="AB208" s="44">
        <f t="shared" si="18"/>
        <v>0</v>
      </c>
    </row>
    <row r="209" spans="1:28" ht="12.75" customHeight="1">
      <c r="A209" s="44" t="s">
        <v>238</v>
      </c>
      <c r="C209" s="44" t="s">
        <v>239</v>
      </c>
      <c r="E209" s="44">
        <f t="shared" si="19"/>
        <v>15373391</v>
      </c>
      <c r="G209" s="44">
        <f>1893545+17348479</f>
        <v>19242024</v>
      </c>
      <c r="I209" s="44">
        <v>0</v>
      </c>
      <c r="K209" s="44">
        <v>34615415</v>
      </c>
      <c r="M209" s="44">
        <f t="shared" si="20"/>
        <v>950697</v>
      </c>
      <c r="O209" s="44">
        <v>303105</v>
      </c>
      <c r="Q209" s="44">
        <v>1253802</v>
      </c>
      <c r="S209" s="44">
        <v>19202024</v>
      </c>
      <c r="U209" s="44">
        <f>5801606+24666+1432167+2259973+34569</f>
        <v>9552981</v>
      </c>
      <c r="W209" s="44">
        <v>4606608</v>
      </c>
      <c r="Y209" s="44">
        <f t="shared" si="22"/>
        <v>33361613</v>
      </c>
      <c r="AB209" s="44">
        <f t="shared" si="18"/>
        <v>0</v>
      </c>
    </row>
    <row r="210" spans="1:28" ht="12.75" customHeight="1">
      <c r="A210" s="44" t="s">
        <v>486</v>
      </c>
      <c r="C210" s="44" t="s">
        <v>249</v>
      </c>
      <c r="E210" s="44">
        <f t="shared" si="19"/>
        <v>13932095</v>
      </c>
      <c r="G210" s="44">
        <v>26002659</v>
      </c>
      <c r="I210" s="44">
        <v>0</v>
      </c>
      <c r="K210" s="44">
        <v>39934754</v>
      </c>
      <c r="M210" s="44">
        <f t="shared" si="20"/>
        <v>5001374</v>
      </c>
      <c r="O210" s="44">
        <v>8011154</v>
      </c>
      <c r="Q210" s="44">
        <v>13012528</v>
      </c>
      <c r="S210" s="44">
        <v>22857686</v>
      </c>
      <c r="U210" s="44">
        <f>26922226-22857686+2205828</f>
        <v>6270368</v>
      </c>
      <c r="W210" s="44">
        <v>-2205828</v>
      </c>
      <c r="Y210" s="44">
        <f t="shared" si="22"/>
        <v>26922226</v>
      </c>
      <c r="AB210" s="44">
        <f>+K210-Q210-Y210</f>
        <v>0</v>
      </c>
    </row>
    <row r="211" spans="1:28" ht="12.75" customHeight="1">
      <c r="A211" s="44" t="s">
        <v>240</v>
      </c>
      <c r="C211" s="44" t="s">
        <v>13</v>
      </c>
      <c r="E211" s="44">
        <f t="shared" si="19"/>
        <v>24555665</v>
      </c>
      <c r="G211" s="44">
        <f>24564890+42689478</f>
        <v>67254368</v>
      </c>
      <c r="I211" s="44">
        <v>304213</v>
      </c>
      <c r="K211" s="44">
        <v>92114246</v>
      </c>
      <c r="M211" s="44">
        <f t="shared" si="20"/>
        <v>12538200</v>
      </c>
      <c r="O211" s="44">
        <v>28006384</v>
      </c>
      <c r="Q211" s="44">
        <v>40544584</v>
      </c>
      <c r="S211" s="44">
        <v>41237906</v>
      </c>
      <c r="U211" s="44">
        <f>51569662-41237906-2481660</f>
        <v>7850096</v>
      </c>
      <c r="W211" s="44">
        <v>2481660</v>
      </c>
      <c r="Y211" s="44">
        <f t="shared" si="22"/>
        <v>51569662</v>
      </c>
      <c r="AB211" s="44">
        <f t="shared" si="18"/>
        <v>0</v>
      </c>
    </row>
    <row r="212" spans="1:28" ht="12.75" customHeight="1">
      <c r="A212" s="44" t="s">
        <v>241</v>
      </c>
      <c r="C212" s="44" t="s">
        <v>22</v>
      </c>
      <c r="E212" s="44">
        <f t="shared" si="19"/>
        <v>8305074</v>
      </c>
      <c r="G212" s="44">
        <v>11996172</v>
      </c>
      <c r="I212" s="44">
        <v>0</v>
      </c>
      <c r="K212" s="44">
        <v>20301246</v>
      </c>
      <c r="M212" s="44">
        <f t="shared" si="20"/>
        <v>3150203</v>
      </c>
      <c r="O212" s="44">
        <v>4844010</v>
      </c>
      <c r="Q212" s="44">
        <v>7994213</v>
      </c>
      <c r="S212" s="44">
        <v>8451262</v>
      </c>
      <c r="U212" s="44">
        <f>12307033-8451262-531314</f>
        <v>3324457</v>
      </c>
      <c r="W212" s="44">
        <v>531314</v>
      </c>
      <c r="Y212" s="44">
        <f t="shared" si="22"/>
        <v>12307033</v>
      </c>
      <c r="AB212" s="44">
        <f t="shared" si="18"/>
        <v>0</v>
      </c>
    </row>
    <row r="213" spans="1:28" ht="12.75" customHeight="1">
      <c r="A213" s="44" t="s">
        <v>242</v>
      </c>
      <c r="C213" s="44" t="s">
        <v>27</v>
      </c>
      <c r="E213" s="44">
        <f t="shared" si="19"/>
        <v>53362438</v>
      </c>
      <c r="G213" s="44">
        <f>21667253+164252227</f>
        <v>185919480</v>
      </c>
      <c r="I213" s="44">
        <v>660297</v>
      </c>
      <c r="K213" s="44">
        <v>239942215</v>
      </c>
      <c r="M213" s="44">
        <f t="shared" si="20"/>
        <v>16893115</v>
      </c>
      <c r="O213" s="44">
        <v>59744454</v>
      </c>
      <c r="Q213" s="44">
        <v>76637569</v>
      </c>
      <c r="S213" s="44">
        <v>125782137</v>
      </c>
      <c r="U213" s="44">
        <f>11008764+4786443+8479949</f>
        <v>24275156</v>
      </c>
      <c r="W213" s="44">
        <v>13247353</v>
      </c>
      <c r="Y213" s="44">
        <f t="shared" si="22"/>
        <v>163304646</v>
      </c>
      <c r="AB213" s="44">
        <f t="shared" si="18"/>
        <v>0</v>
      </c>
    </row>
    <row r="214" spans="1:28" ht="12.75" customHeight="1">
      <c r="A214" s="44" t="s">
        <v>243</v>
      </c>
      <c r="C214" s="44" t="s">
        <v>163</v>
      </c>
      <c r="E214" s="44">
        <f t="shared" ref="E214:E256" si="23">+K214-G214-I214</f>
        <v>29941993</v>
      </c>
      <c r="G214" s="44">
        <f>10110661+24644434</f>
        <v>34755095</v>
      </c>
      <c r="I214" s="44">
        <v>0</v>
      </c>
      <c r="K214" s="44">
        <v>64697088</v>
      </c>
      <c r="M214" s="44">
        <f t="shared" ref="M214:M256" si="24">+Q214-O214</f>
        <v>7445893</v>
      </c>
      <c r="O214" s="44">
        <v>14660041</v>
      </c>
      <c r="Q214" s="44">
        <v>22105934</v>
      </c>
      <c r="S214" s="44">
        <v>17260744</v>
      </c>
      <c r="U214" s="44">
        <f>17012641+169060+2825706</f>
        <v>20007407</v>
      </c>
      <c r="W214" s="44">
        <v>5323003</v>
      </c>
      <c r="Y214" s="44">
        <f t="shared" si="22"/>
        <v>42591154</v>
      </c>
      <c r="AB214" s="44">
        <f t="shared" ref="AB214" si="25">+K214-Q214-Y214</f>
        <v>0</v>
      </c>
    </row>
    <row r="215" spans="1:28" ht="12.75" customHeight="1">
      <c r="A215" s="44" t="s">
        <v>244</v>
      </c>
      <c r="C215" s="44" t="s">
        <v>13</v>
      </c>
      <c r="E215" s="44">
        <f t="shared" si="23"/>
        <v>10848707</v>
      </c>
      <c r="G215" s="44">
        <v>28120698</v>
      </c>
      <c r="I215" s="44">
        <v>77667</v>
      </c>
      <c r="K215" s="44">
        <v>39047072</v>
      </c>
      <c r="M215" s="44">
        <f t="shared" si="24"/>
        <v>4130342</v>
      </c>
      <c r="O215" s="44">
        <v>11930293</v>
      </c>
      <c r="Q215" s="44">
        <v>16060635</v>
      </c>
      <c r="S215" s="44">
        <v>17536222</v>
      </c>
      <c r="U215" s="44">
        <f>22986437-17536222-2476868</f>
        <v>2973347</v>
      </c>
      <c r="W215" s="44">
        <v>2476868</v>
      </c>
      <c r="Y215" s="44">
        <f t="shared" si="22"/>
        <v>22986437</v>
      </c>
      <c r="AB215" s="44">
        <f t="shared" ref="AB215:AB256" si="26">+K215-Q215-Y215</f>
        <v>0</v>
      </c>
    </row>
    <row r="216" spans="1:28" ht="12.75" customHeight="1">
      <c r="A216" s="44" t="s">
        <v>245</v>
      </c>
      <c r="C216" s="44" t="s">
        <v>110</v>
      </c>
      <c r="E216" s="44">
        <f t="shared" si="23"/>
        <v>9478886</v>
      </c>
      <c r="G216" s="44">
        <v>22835793</v>
      </c>
      <c r="I216" s="44">
        <v>0</v>
      </c>
      <c r="K216" s="44">
        <v>32314679</v>
      </c>
      <c r="M216" s="44">
        <f t="shared" si="24"/>
        <v>5398258</v>
      </c>
      <c r="O216" s="44">
        <v>868635</v>
      </c>
      <c r="Q216" s="44">
        <v>6266893</v>
      </c>
      <c r="S216" s="44">
        <v>19551565</v>
      </c>
      <c r="U216" s="44">
        <f>26047786-19551565-2787255</f>
        <v>3708966</v>
      </c>
      <c r="W216" s="44">
        <v>2787255</v>
      </c>
      <c r="Y216" s="44">
        <f t="shared" si="22"/>
        <v>26047786</v>
      </c>
      <c r="AB216" s="44">
        <f t="shared" si="26"/>
        <v>0</v>
      </c>
    </row>
    <row r="217" spans="1:28" ht="12.75" customHeight="1">
      <c r="A217" s="44" t="s">
        <v>246</v>
      </c>
      <c r="C217" s="44" t="s">
        <v>209</v>
      </c>
      <c r="E217" s="44">
        <f t="shared" si="23"/>
        <v>9175189</v>
      </c>
      <c r="G217" s="44">
        <f>13405452+25893599</f>
        <v>39299051</v>
      </c>
      <c r="I217" s="44">
        <v>0</v>
      </c>
      <c r="K217" s="44">
        <v>48474240</v>
      </c>
      <c r="M217" s="44">
        <f t="shared" si="24"/>
        <v>3649810</v>
      </c>
      <c r="O217" s="44">
        <v>4603482</v>
      </c>
      <c r="Q217" s="44">
        <v>8253292</v>
      </c>
      <c r="S217" s="44">
        <v>32842386</v>
      </c>
      <c r="U217" s="44">
        <f>77605+1102241+714172+53183</f>
        <v>1947201</v>
      </c>
      <c r="W217" s="44">
        <v>5431361</v>
      </c>
      <c r="Y217" s="44">
        <f t="shared" si="22"/>
        <v>40220948</v>
      </c>
      <c r="AB217" s="44">
        <f t="shared" si="26"/>
        <v>0</v>
      </c>
    </row>
    <row r="218" spans="1:28" ht="12.75" customHeight="1">
      <c r="A218" s="44" t="s">
        <v>247</v>
      </c>
      <c r="C218" s="44" t="s">
        <v>163</v>
      </c>
      <c r="E218" s="44">
        <f t="shared" si="23"/>
        <v>225399000</v>
      </c>
      <c r="G218" s="44">
        <f>25131000+517293000</f>
        <v>542424000</v>
      </c>
      <c r="I218" s="44">
        <v>246000</v>
      </c>
      <c r="K218" s="44">
        <v>768069000</v>
      </c>
      <c r="M218" s="44">
        <f t="shared" si="24"/>
        <v>133284000</v>
      </c>
      <c r="O218" s="44">
        <v>232377000</v>
      </c>
      <c r="Q218" s="44">
        <v>365661000</v>
      </c>
      <c r="S218" s="44">
        <v>333510000</v>
      </c>
      <c r="U218" s="44">
        <f>6215000+46432000+30451000</f>
        <v>83098000</v>
      </c>
      <c r="W218" s="44">
        <v>-14200000</v>
      </c>
      <c r="Y218" s="44">
        <f t="shared" si="22"/>
        <v>402408000</v>
      </c>
      <c r="AB218" s="44">
        <f>+K218-Q218-Y218</f>
        <v>0</v>
      </c>
    </row>
    <row r="219" spans="1:28" ht="12.75" customHeight="1">
      <c r="A219" s="44" t="s">
        <v>248</v>
      </c>
      <c r="C219" s="44" t="s">
        <v>249</v>
      </c>
      <c r="E219" s="44">
        <f t="shared" si="23"/>
        <v>3487500</v>
      </c>
      <c r="G219" s="44">
        <f>554398+3468259</f>
        <v>4022657</v>
      </c>
      <c r="I219" s="44">
        <v>0</v>
      </c>
      <c r="K219" s="44">
        <v>7510157</v>
      </c>
      <c r="M219" s="44">
        <f t="shared" si="24"/>
        <v>475364</v>
      </c>
      <c r="O219" s="44">
        <v>1118861</v>
      </c>
      <c r="Q219" s="44">
        <v>1594225</v>
      </c>
      <c r="S219" s="44">
        <v>3276023</v>
      </c>
      <c r="U219" s="44">
        <f>82779+1413556</f>
        <v>1496335</v>
      </c>
      <c r="W219" s="44">
        <v>1143574</v>
      </c>
      <c r="Y219" s="44">
        <f t="shared" si="22"/>
        <v>5915932</v>
      </c>
      <c r="AB219" s="44">
        <f t="shared" si="26"/>
        <v>0</v>
      </c>
    </row>
    <row r="220" spans="1:28" ht="12.75" customHeight="1">
      <c r="A220" s="44" t="s">
        <v>250</v>
      </c>
      <c r="C220" s="44" t="s">
        <v>103</v>
      </c>
      <c r="E220" s="44">
        <f t="shared" si="23"/>
        <v>4229001</v>
      </c>
      <c r="G220" s="44">
        <f>1683944+663018+2690545-2311733+369473+27362</f>
        <v>3122609</v>
      </c>
      <c r="I220" s="44">
        <v>0</v>
      </c>
      <c r="K220" s="44">
        <v>7351610</v>
      </c>
      <c r="M220" s="44">
        <f t="shared" si="24"/>
        <v>917438</v>
      </c>
      <c r="O220" s="44">
        <v>373175</v>
      </c>
      <c r="Q220" s="44">
        <v>1290613</v>
      </c>
      <c r="S220" s="44">
        <v>2769620</v>
      </c>
      <c r="U220" s="44">
        <f>333669+63303+261943+91983+70444</f>
        <v>821342</v>
      </c>
      <c r="W220" s="44">
        <v>2470035</v>
      </c>
      <c r="Y220" s="44">
        <f t="shared" si="22"/>
        <v>6060997</v>
      </c>
      <c r="AB220" s="44">
        <f t="shared" si="26"/>
        <v>0</v>
      </c>
    </row>
    <row r="221" spans="1:28" ht="12.75" customHeight="1">
      <c r="Y221" s="48" t="s">
        <v>484</v>
      </c>
    </row>
    <row r="222" spans="1:28" s="46" customFormat="1" ht="12.75" customHeight="1">
      <c r="A222" s="46" t="s">
        <v>251</v>
      </c>
      <c r="C222" s="46" t="s">
        <v>66</v>
      </c>
      <c r="E222" s="46">
        <f t="shared" si="23"/>
        <v>11385893</v>
      </c>
      <c r="G222" s="46">
        <f>28565178+28306674</f>
        <v>56871852</v>
      </c>
      <c r="I222" s="46">
        <v>0</v>
      </c>
      <c r="K222" s="46">
        <v>68257745</v>
      </c>
      <c r="M222" s="46">
        <f t="shared" si="24"/>
        <v>17389221</v>
      </c>
      <c r="O222" s="46">
        <v>8320783</v>
      </c>
      <c r="Q222" s="46">
        <v>25710004</v>
      </c>
      <c r="S222" s="46">
        <v>38614884</v>
      </c>
      <c r="U222" s="46">
        <f>1505411+39182</f>
        <v>1544593</v>
      </c>
      <c r="W222" s="46">
        <v>2388264</v>
      </c>
      <c r="Y222" s="46">
        <f t="shared" si="22"/>
        <v>42547741</v>
      </c>
      <c r="AB222" s="46">
        <f t="shared" si="26"/>
        <v>0</v>
      </c>
    </row>
    <row r="223" spans="1:28" ht="12.75" customHeight="1">
      <c r="A223" s="44" t="s">
        <v>252</v>
      </c>
      <c r="C223" s="44" t="s">
        <v>209</v>
      </c>
      <c r="E223" s="44">
        <f t="shared" si="23"/>
        <v>55989769</v>
      </c>
      <c r="G223" s="44">
        <f>12715804+29794594</f>
        <v>42510398</v>
      </c>
      <c r="I223" s="44">
        <v>0</v>
      </c>
      <c r="K223" s="44">
        <v>98500167</v>
      </c>
      <c r="M223" s="44">
        <f t="shared" si="24"/>
        <v>3436521</v>
      </c>
      <c r="O223" s="44">
        <v>10968729</v>
      </c>
      <c r="Q223" s="44">
        <v>14405250</v>
      </c>
      <c r="S223" s="44">
        <v>32385398</v>
      </c>
      <c r="U223" s="44">
        <f>6506+1611110+8341212</f>
        <v>9958828</v>
      </c>
      <c r="W223" s="44">
        <v>41750691</v>
      </c>
      <c r="Y223" s="44">
        <f t="shared" si="22"/>
        <v>84094917</v>
      </c>
      <c r="AB223" s="44">
        <f t="shared" si="26"/>
        <v>0</v>
      </c>
    </row>
    <row r="224" spans="1:28" ht="12.75" customHeight="1">
      <c r="A224" s="44" t="s">
        <v>253</v>
      </c>
      <c r="C224" s="44" t="s">
        <v>13</v>
      </c>
      <c r="E224" s="44">
        <f t="shared" si="23"/>
        <v>23798735</v>
      </c>
      <c r="G224" s="44">
        <f>24987130+99317252</f>
        <v>124304382</v>
      </c>
      <c r="I224" s="44">
        <v>0</v>
      </c>
      <c r="K224" s="44">
        <v>148103117</v>
      </c>
      <c r="M224" s="44">
        <f t="shared" si="24"/>
        <v>4426185</v>
      </c>
      <c r="O224" s="44">
        <v>14631785</v>
      </c>
      <c r="Q224" s="44">
        <v>19057970</v>
      </c>
      <c r="S224" s="44">
        <v>109752467</v>
      </c>
      <c r="U224" s="44">
        <f>35841+7403195+4304582</f>
        <v>11743618</v>
      </c>
      <c r="W224" s="44">
        <v>7549062</v>
      </c>
      <c r="Y224" s="44">
        <f t="shared" si="22"/>
        <v>129045147</v>
      </c>
      <c r="AB224" s="44">
        <f t="shared" si="26"/>
        <v>0</v>
      </c>
    </row>
    <row r="225" spans="1:31" ht="12.75" customHeight="1">
      <c r="A225" s="44" t="s">
        <v>254</v>
      </c>
      <c r="C225" s="44" t="s">
        <v>89</v>
      </c>
      <c r="E225" s="44">
        <f t="shared" si="23"/>
        <v>3187850</v>
      </c>
      <c r="G225" s="44">
        <f>3238633+3679546</f>
        <v>6918179</v>
      </c>
      <c r="I225" s="44">
        <v>0</v>
      </c>
      <c r="K225" s="44">
        <v>10106029</v>
      </c>
      <c r="M225" s="44">
        <f t="shared" si="24"/>
        <v>639402</v>
      </c>
      <c r="O225" s="44">
        <v>1873301</v>
      </c>
      <c r="Q225" s="44">
        <v>2512703</v>
      </c>
      <c r="S225" s="44">
        <v>5472754</v>
      </c>
      <c r="U225" s="44">
        <f>7593326-5472754-749655</f>
        <v>1370917</v>
      </c>
      <c r="W225" s="44">
        <v>749655</v>
      </c>
      <c r="Y225" s="44">
        <f t="shared" si="22"/>
        <v>7593326</v>
      </c>
      <c r="AB225" s="44">
        <f t="shared" si="26"/>
        <v>0</v>
      </c>
      <c r="AE225" s="44" t="s">
        <v>449</v>
      </c>
    </row>
    <row r="226" spans="1:31" ht="12.75" customHeight="1">
      <c r="A226" s="44" t="s">
        <v>159</v>
      </c>
      <c r="C226" s="47" t="s">
        <v>66</v>
      </c>
      <c r="E226" s="44">
        <f t="shared" si="23"/>
        <v>4891326</v>
      </c>
      <c r="G226" s="44">
        <f>1275566+20000+4453461</f>
        <v>5749027</v>
      </c>
      <c r="I226" s="44">
        <v>0</v>
      </c>
      <c r="K226" s="44">
        <v>10640353</v>
      </c>
      <c r="M226" s="44">
        <f t="shared" si="24"/>
        <v>3043563</v>
      </c>
      <c r="O226" s="44">
        <v>1311080</v>
      </c>
      <c r="Q226" s="44">
        <v>4354643</v>
      </c>
      <c r="S226" s="44">
        <v>3877030</v>
      </c>
      <c r="U226" s="44">
        <f>225406+474669+115698+537881</f>
        <v>1353654</v>
      </c>
      <c r="W226" s="44">
        <v>1055026</v>
      </c>
      <c r="Y226" s="44">
        <f t="shared" si="22"/>
        <v>6285710</v>
      </c>
      <c r="AB226" s="44">
        <f>+K226-Q226-Y226</f>
        <v>0</v>
      </c>
    </row>
    <row r="227" spans="1:31" ht="12.75" customHeight="1">
      <c r="A227" s="44" t="s">
        <v>255</v>
      </c>
      <c r="C227" s="44" t="s">
        <v>27</v>
      </c>
      <c r="E227" s="44">
        <f t="shared" si="23"/>
        <v>11687762</v>
      </c>
      <c r="G227" s="44">
        <f>1308125+5594291</f>
        <v>6902416</v>
      </c>
      <c r="I227" s="44">
        <v>0</v>
      </c>
      <c r="K227" s="44">
        <v>18590178</v>
      </c>
      <c r="M227" s="44">
        <f t="shared" si="24"/>
        <v>8785969</v>
      </c>
      <c r="O227" s="44">
        <v>2244404</v>
      </c>
      <c r="Q227" s="44">
        <v>11030373</v>
      </c>
      <c r="S227" s="44">
        <v>2463580</v>
      </c>
      <c r="U227" s="44">
        <f>345044+41572</f>
        <v>386616</v>
      </c>
      <c r="W227" s="44">
        <v>4709609</v>
      </c>
      <c r="Y227" s="44">
        <f t="shared" si="22"/>
        <v>7559805</v>
      </c>
      <c r="AB227" s="44">
        <f t="shared" si="26"/>
        <v>0</v>
      </c>
    </row>
    <row r="228" spans="1:31" ht="12.75" customHeight="1">
      <c r="A228" s="44" t="s">
        <v>256</v>
      </c>
      <c r="B228" s="44"/>
      <c r="C228" s="44" t="s">
        <v>43</v>
      </c>
      <c r="D228" s="44"/>
      <c r="E228" s="44">
        <f t="shared" si="23"/>
        <v>67948440</v>
      </c>
      <c r="G228" s="44">
        <f>4454512+14112071+43884805</f>
        <v>62451388</v>
      </c>
      <c r="I228" s="44">
        <v>0</v>
      </c>
      <c r="K228" s="44">
        <v>130399828</v>
      </c>
      <c r="M228" s="44">
        <f t="shared" si="24"/>
        <v>17078288</v>
      </c>
      <c r="O228" s="44">
        <f>1523892+34069333</f>
        <v>35593225</v>
      </c>
      <c r="Q228" s="44">
        <v>52671513</v>
      </c>
      <c r="S228" s="44">
        <v>32665841</v>
      </c>
      <c r="U228" s="44">
        <f>77728315-32665841-38115950</f>
        <v>6946524</v>
      </c>
      <c r="W228" s="44">
        <v>38115950</v>
      </c>
      <c r="Y228" s="44">
        <f t="shared" si="22"/>
        <v>77728315</v>
      </c>
      <c r="AB228" s="44">
        <f>+K228-Q228-Y228</f>
        <v>0</v>
      </c>
    </row>
    <row r="229" spans="1:31" ht="12.75" customHeight="1">
      <c r="A229" s="44" t="s">
        <v>257</v>
      </c>
      <c r="C229" s="44" t="s">
        <v>258</v>
      </c>
      <c r="E229" s="44">
        <f t="shared" si="23"/>
        <v>2399841</v>
      </c>
      <c r="G229" s="44">
        <f>914409+6994387</f>
        <v>7908796</v>
      </c>
      <c r="I229" s="44">
        <v>0</v>
      </c>
      <c r="K229" s="44">
        <v>10308637</v>
      </c>
      <c r="M229" s="44">
        <f t="shared" si="24"/>
        <v>1035138</v>
      </c>
      <c r="O229" s="44">
        <v>6076320</v>
      </c>
      <c r="Q229" s="44">
        <v>7111458</v>
      </c>
      <c r="S229" s="44">
        <v>7895350</v>
      </c>
      <c r="U229" s="44">
        <v>205237</v>
      </c>
      <c r="W229" s="44">
        <v>-4903408</v>
      </c>
      <c r="Y229" s="44">
        <f t="shared" si="22"/>
        <v>3197179</v>
      </c>
      <c r="AB229" s="44">
        <f>+K229-Q229-Y229</f>
        <v>0</v>
      </c>
    </row>
    <row r="230" spans="1:31" ht="12.75" customHeight="1">
      <c r="A230" s="44" t="s">
        <v>259</v>
      </c>
      <c r="C230" s="44" t="s">
        <v>260</v>
      </c>
      <c r="E230" s="44">
        <f t="shared" si="23"/>
        <v>7263888</v>
      </c>
      <c r="G230" s="44">
        <f>3956629+19545478</f>
        <v>23502107</v>
      </c>
      <c r="I230" s="44">
        <v>78879</v>
      </c>
      <c r="K230" s="44">
        <v>30844874</v>
      </c>
      <c r="M230" s="44">
        <f t="shared" si="24"/>
        <v>3251853</v>
      </c>
      <c r="O230" s="44">
        <v>4176907</v>
      </c>
      <c r="Q230" s="44">
        <v>7428760</v>
      </c>
      <c r="S230" s="44">
        <v>20316026</v>
      </c>
      <c r="U230" s="44">
        <f>23416114-20316026-1495408</f>
        <v>1604680</v>
      </c>
      <c r="W230" s="44">
        <v>1495408</v>
      </c>
      <c r="Y230" s="44">
        <f t="shared" si="22"/>
        <v>23416114</v>
      </c>
      <c r="AB230" s="44">
        <f t="shared" si="26"/>
        <v>0</v>
      </c>
    </row>
    <row r="231" spans="1:31" ht="12.75" customHeight="1">
      <c r="A231" s="44" t="s">
        <v>261</v>
      </c>
      <c r="C231" s="44" t="s">
        <v>66</v>
      </c>
      <c r="E231" s="44">
        <f t="shared" si="23"/>
        <v>34573226</v>
      </c>
      <c r="G231" s="44">
        <f>7794505+41241569</f>
        <v>49036074</v>
      </c>
      <c r="I231" s="44">
        <v>178258</v>
      </c>
      <c r="K231" s="44">
        <v>83787558</v>
      </c>
      <c r="M231" s="44">
        <f t="shared" si="24"/>
        <v>11158734</v>
      </c>
      <c r="O231" s="44">
        <v>13401099</v>
      </c>
      <c r="Q231" s="44">
        <v>24559833</v>
      </c>
      <c r="S231" s="44">
        <v>39122829</v>
      </c>
      <c r="U231" s="44">
        <f>3333794+233977+2423248</f>
        <v>5991019</v>
      </c>
      <c r="W231" s="44">
        <v>14113877</v>
      </c>
      <c r="Y231" s="44">
        <f t="shared" si="22"/>
        <v>59227725</v>
      </c>
      <c r="AB231" s="44">
        <f t="shared" si="26"/>
        <v>0</v>
      </c>
    </row>
    <row r="232" spans="1:31" ht="12.75" customHeight="1">
      <c r="A232" s="44" t="s">
        <v>262</v>
      </c>
      <c r="C232" s="44" t="s">
        <v>132</v>
      </c>
      <c r="E232" s="44">
        <f t="shared" si="23"/>
        <v>9654340</v>
      </c>
      <c r="G232" s="44">
        <f>3680167+10142437</f>
        <v>13822604</v>
      </c>
      <c r="I232" s="44">
        <v>11028</v>
      </c>
      <c r="K232" s="44">
        <v>23487972</v>
      </c>
      <c r="M232" s="44">
        <f t="shared" si="24"/>
        <v>6959288</v>
      </c>
      <c r="O232" s="44">
        <v>2391794</v>
      </c>
      <c r="Q232" s="44">
        <v>9351082</v>
      </c>
      <c r="S232" s="44">
        <v>9669938</v>
      </c>
      <c r="U232" s="44">
        <f>14136890-9669938+339242</f>
        <v>4806194</v>
      </c>
      <c r="W232" s="44">
        <v>-339242</v>
      </c>
      <c r="Y232" s="44">
        <f t="shared" si="22"/>
        <v>14136890</v>
      </c>
      <c r="AB232" s="44">
        <f t="shared" si="26"/>
        <v>0</v>
      </c>
      <c r="AC232" s="44" t="s">
        <v>497</v>
      </c>
    </row>
    <row r="233" spans="1:31" ht="12.75" customHeight="1">
      <c r="A233" s="44" t="s">
        <v>263</v>
      </c>
      <c r="C233" s="44" t="s">
        <v>53</v>
      </c>
      <c r="E233" s="44">
        <f t="shared" si="23"/>
        <v>23562774</v>
      </c>
      <c r="G233" s="44">
        <f>5876277+35062680</f>
        <v>40938957</v>
      </c>
      <c r="I233" s="44">
        <v>53149</v>
      </c>
      <c r="K233" s="44">
        <v>64554880</v>
      </c>
      <c r="M233" s="44">
        <f t="shared" si="24"/>
        <v>4506027</v>
      </c>
      <c r="O233" s="44">
        <v>4487185</v>
      </c>
      <c r="Q233" s="44">
        <v>8993212</v>
      </c>
      <c r="S233" s="44">
        <v>38890685</v>
      </c>
      <c r="U233" s="44">
        <f>55561668-38890685-5513182</f>
        <v>11157801</v>
      </c>
      <c r="W233" s="44">
        <v>5513182</v>
      </c>
      <c r="Y233" s="44">
        <f t="shared" si="22"/>
        <v>55561668</v>
      </c>
      <c r="AB233" s="44">
        <f t="shared" si="26"/>
        <v>0</v>
      </c>
    </row>
    <row r="234" spans="1:31" ht="12.75" customHeight="1">
      <c r="A234" s="44" t="s">
        <v>264</v>
      </c>
      <c r="C234" s="44" t="s">
        <v>239</v>
      </c>
      <c r="E234" s="44">
        <f t="shared" si="23"/>
        <v>9556241</v>
      </c>
      <c r="G234" s="44">
        <f>1683747+19213118</f>
        <v>20896865</v>
      </c>
      <c r="I234" s="44">
        <v>0</v>
      </c>
      <c r="K234" s="44">
        <v>30453106</v>
      </c>
      <c r="M234" s="44">
        <f t="shared" si="24"/>
        <v>1339908</v>
      </c>
      <c r="O234" s="44">
        <v>1403545</v>
      </c>
      <c r="Q234" s="44">
        <v>2743453</v>
      </c>
      <c r="S234" s="44">
        <v>19716391</v>
      </c>
      <c r="U234" s="44">
        <f>533350+2684217+1660223</f>
        <v>4877790</v>
      </c>
      <c r="W234" s="44">
        <v>3115472</v>
      </c>
      <c r="Y234" s="44">
        <f t="shared" si="22"/>
        <v>27709653</v>
      </c>
      <c r="AB234" s="44">
        <f>+K234-Q234-Y234</f>
        <v>0</v>
      </c>
    </row>
    <row r="235" spans="1:31" ht="12.75" customHeight="1">
      <c r="A235" s="44" t="s">
        <v>111</v>
      </c>
      <c r="C235" s="44" t="s">
        <v>80</v>
      </c>
      <c r="E235" s="44">
        <f t="shared" si="23"/>
        <v>24130734</v>
      </c>
      <c r="G235" s="44">
        <v>41659164</v>
      </c>
      <c r="I235" s="44">
        <v>56717</v>
      </c>
      <c r="K235" s="44">
        <v>65846615</v>
      </c>
      <c r="M235" s="44">
        <f t="shared" si="24"/>
        <v>8642871</v>
      </c>
      <c r="O235" s="44">
        <v>11795566</v>
      </c>
      <c r="Q235" s="44">
        <v>20438437</v>
      </c>
      <c r="S235" s="44">
        <v>37644539</v>
      </c>
      <c r="U235" s="44">
        <f>45408178-37644539+4488287</f>
        <v>12251926</v>
      </c>
      <c r="W235" s="44">
        <v>-4488287</v>
      </c>
      <c r="Y235" s="44">
        <f t="shared" si="22"/>
        <v>45408178</v>
      </c>
      <c r="AB235" s="44">
        <f t="shared" si="26"/>
        <v>0</v>
      </c>
    </row>
    <row r="236" spans="1:31" ht="12.75" customHeight="1">
      <c r="A236" s="44" t="s">
        <v>265</v>
      </c>
      <c r="C236" s="44" t="s">
        <v>27</v>
      </c>
      <c r="E236" s="44">
        <f t="shared" si="23"/>
        <v>7359402</v>
      </c>
      <c r="G236" s="44">
        <f>3133700+11113634</f>
        <v>14247334</v>
      </c>
      <c r="I236" s="44">
        <v>33900</v>
      </c>
      <c r="K236" s="44">
        <v>21640636</v>
      </c>
      <c r="M236" s="44">
        <f t="shared" si="24"/>
        <v>11468913</v>
      </c>
      <c r="O236" s="44">
        <v>11379151</v>
      </c>
      <c r="Q236" s="44">
        <v>22848064</v>
      </c>
      <c r="S236" s="44">
        <v>-2591770</v>
      </c>
      <c r="U236" s="44">
        <f>359660+857341+555791+96712+76928+58305+400742</f>
        <v>2405479</v>
      </c>
      <c r="W236" s="44">
        <v>-1021137</v>
      </c>
      <c r="Y236" s="44">
        <f t="shared" si="22"/>
        <v>-1207428</v>
      </c>
      <c r="AB236" s="44">
        <f t="shared" si="26"/>
        <v>0</v>
      </c>
    </row>
    <row r="237" spans="1:31" ht="12.75" customHeight="1">
      <c r="A237" s="44" t="s">
        <v>40</v>
      </c>
      <c r="C237" s="44" t="s">
        <v>451</v>
      </c>
      <c r="E237" s="44">
        <f t="shared" si="23"/>
        <v>8374906</v>
      </c>
      <c r="G237" s="44">
        <f>1078475+25239043</f>
        <v>26317518</v>
      </c>
      <c r="I237" s="44">
        <v>205861</v>
      </c>
      <c r="K237" s="44">
        <v>34898285</v>
      </c>
      <c r="M237" s="44">
        <f t="shared" si="24"/>
        <v>2957574</v>
      </c>
      <c r="O237" s="44">
        <v>13829040</v>
      </c>
      <c r="Q237" s="44">
        <v>16786614</v>
      </c>
      <c r="S237" s="44">
        <v>13344075</v>
      </c>
      <c r="U237" s="44">
        <f>18111671-13344075-1831593</f>
        <v>2936003</v>
      </c>
      <c r="W237" s="44">
        <v>1831593</v>
      </c>
      <c r="Y237" s="44">
        <f t="shared" si="22"/>
        <v>18111671</v>
      </c>
      <c r="AB237" s="44">
        <f t="shared" si="26"/>
        <v>0</v>
      </c>
    </row>
    <row r="238" spans="1:31" ht="12.75" customHeight="1">
      <c r="A238" s="44" t="s">
        <v>266</v>
      </c>
      <c r="C238" s="44" t="s">
        <v>267</v>
      </c>
      <c r="E238" s="44">
        <f t="shared" si="23"/>
        <v>4553711</v>
      </c>
      <c r="G238" s="44">
        <f>1224749+11853022</f>
        <v>13077771</v>
      </c>
      <c r="I238" s="44">
        <v>0</v>
      </c>
      <c r="K238" s="44">
        <v>17631482</v>
      </c>
      <c r="M238" s="44">
        <f t="shared" si="24"/>
        <v>3857540</v>
      </c>
      <c r="O238" s="44">
        <v>185139</v>
      </c>
      <c r="Q238" s="44">
        <v>4042679</v>
      </c>
      <c r="S238" s="44">
        <v>9977771</v>
      </c>
      <c r="U238" s="44">
        <f>1727611+1498882</f>
        <v>3226493</v>
      </c>
      <c r="W238" s="44">
        <v>384539</v>
      </c>
      <c r="Y238" s="44">
        <f t="shared" si="22"/>
        <v>13588803</v>
      </c>
      <c r="AB238" s="44">
        <f t="shared" si="26"/>
        <v>0</v>
      </c>
    </row>
    <row r="239" spans="1:31" ht="12.75" customHeight="1">
      <c r="A239" s="44" t="s">
        <v>268</v>
      </c>
      <c r="C239" s="44" t="s">
        <v>269</v>
      </c>
      <c r="E239" s="44">
        <f t="shared" si="23"/>
        <v>3147784</v>
      </c>
      <c r="G239" s="44">
        <f>239268+3683144</f>
        <v>3922412</v>
      </c>
      <c r="I239" s="44">
        <v>0</v>
      </c>
      <c r="K239" s="44">
        <v>7070196</v>
      </c>
      <c r="M239" s="44">
        <f t="shared" si="24"/>
        <v>1481391</v>
      </c>
      <c r="O239" s="44">
        <v>206166</v>
      </c>
      <c r="Q239" s="44">
        <v>1687557</v>
      </c>
      <c r="S239" s="44">
        <v>3234090</v>
      </c>
      <c r="U239" s="44">
        <f>5382639-3234090-1343225</f>
        <v>805324</v>
      </c>
      <c r="W239" s="44">
        <v>1343225</v>
      </c>
      <c r="Y239" s="44">
        <f t="shared" si="22"/>
        <v>5382639</v>
      </c>
      <c r="AB239" s="44">
        <f t="shared" si="26"/>
        <v>0</v>
      </c>
    </row>
    <row r="240" spans="1:31" ht="12.75" customHeight="1">
      <c r="A240" s="44" t="s">
        <v>270</v>
      </c>
      <c r="C240" s="44" t="s">
        <v>136</v>
      </c>
      <c r="E240" s="44">
        <f t="shared" si="23"/>
        <v>4437962</v>
      </c>
      <c r="G240" s="44">
        <f>232417+1732294</f>
        <v>1964711</v>
      </c>
      <c r="I240" s="44">
        <v>0</v>
      </c>
      <c r="K240" s="44">
        <v>6402673</v>
      </c>
      <c r="M240" s="44">
        <f t="shared" si="24"/>
        <v>1280686</v>
      </c>
      <c r="O240" s="44">
        <v>270641</v>
      </c>
      <c r="Q240" s="44">
        <v>1551327</v>
      </c>
      <c r="S240" s="44">
        <v>1667899</v>
      </c>
      <c r="U240" s="44">
        <f>4851346-1667899+832295</f>
        <v>4015742</v>
      </c>
      <c r="W240" s="44">
        <v>-832295</v>
      </c>
      <c r="Y240" s="44">
        <f t="shared" si="22"/>
        <v>4851346</v>
      </c>
      <c r="AB240" s="44">
        <f>+K240-Q240-Y240</f>
        <v>0</v>
      </c>
      <c r="AC240" s="44" t="s">
        <v>499</v>
      </c>
    </row>
    <row r="241" spans="1:28" ht="12.75" customHeight="1">
      <c r="A241" s="44" t="s">
        <v>271</v>
      </c>
      <c r="C241" s="44" t="s">
        <v>66</v>
      </c>
      <c r="E241" s="44">
        <f t="shared" si="23"/>
        <v>7987587</v>
      </c>
      <c r="G241" s="44">
        <f>3494881+14828602</f>
        <v>18323483</v>
      </c>
      <c r="I241" s="44">
        <v>0</v>
      </c>
      <c r="K241" s="44">
        <v>26311070</v>
      </c>
      <c r="M241" s="44">
        <f t="shared" si="24"/>
        <v>3365621</v>
      </c>
      <c r="O241" s="44">
        <v>3778122</v>
      </c>
      <c r="Q241" s="44">
        <v>7143743</v>
      </c>
      <c r="S241" s="44">
        <v>14250657</v>
      </c>
      <c r="U241" s="44">
        <f>80082+662805+679992</f>
        <v>1422879</v>
      </c>
      <c r="W241" s="44">
        <v>3493791</v>
      </c>
      <c r="Y241" s="44">
        <f t="shared" si="22"/>
        <v>19167327</v>
      </c>
      <c r="AB241" s="44">
        <f t="shared" si="26"/>
        <v>0</v>
      </c>
    </row>
    <row r="242" spans="1:28" ht="12.75" customHeight="1">
      <c r="A242" s="44" t="s">
        <v>272</v>
      </c>
      <c r="C242" s="44" t="s">
        <v>43</v>
      </c>
      <c r="E242" s="44">
        <f t="shared" si="23"/>
        <v>67909349</v>
      </c>
      <c r="G242" s="44">
        <f>134783310+67686948</f>
        <v>202470258</v>
      </c>
      <c r="I242" s="44">
        <v>802107</v>
      </c>
      <c r="K242" s="44">
        <v>271181714</v>
      </c>
      <c r="M242" s="44">
        <f t="shared" si="24"/>
        <v>17778428</v>
      </c>
      <c r="O242" s="44">
        <v>23716116</v>
      </c>
      <c r="Q242" s="44">
        <v>41494544</v>
      </c>
      <c r="S242" s="44">
        <v>179020723</v>
      </c>
      <c r="U242" s="44">
        <f>229687170-179020723-25806809</f>
        <v>24859638</v>
      </c>
      <c r="W242" s="44">
        <v>25806809</v>
      </c>
      <c r="Y242" s="44">
        <f t="shared" si="22"/>
        <v>229687170</v>
      </c>
      <c r="AB242" s="44">
        <f t="shared" si="26"/>
        <v>0</v>
      </c>
    </row>
    <row r="243" spans="1:28" ht="12.75" customHeight="1">
      <c r="A243" s="44" t="s">
        <v>273</v>
      </c>
      <c r="C243" s="44" t="s">
        <v>27</v>
      </c>
      <c r="E243" s="44">
        <f t="shared" si="23"/>
        <v>89080989</v>
      </c>
      <c r="G243" s="44">
        <f>24537870+112100628</f>
        <v>136638498</v>
      </c>
      <c r="I243" s="44">
        <v>478375</v>
      </c>
      <c r="K243" s="44">
        <v>226197862</v>
      </c>
      <c r="M243" s="44">
        <f t="shared" si="24"/>
        <v>17010591</v>
      </c>
      <c r="O243" s="44">
        <v>30345407</v>
      </c>
      <c r="Q243" s="44">
        <v>47355998</v>
      </c>
      <c r="S243" s="44">
        <v>115906207</v>
      </c>
      <c r="U243" s="44">
        <f>178841864-115906207-23933018</f>
        <v>39002639</v>
      </c>
      <c r="W243" s="44">
        <v>23933018</v>
      </c>
      <c r="Y243" s="44">
        <f t="shared" si="22"/>
        <v>178841864</v>
      </c>
      <c r="AB243" s="44">
        <f t="shared" si="26"/>
        <v>0</v>
      </c>
    </row>
    <row r="244" spans="1:28" ht="12.75" customHeight="1">
      <c r="A244" s="44" t="s">
        <v>274</v>
      </c>
      <c r="C244" s="44" t="s">
        <v>43</v>
      </c>
      <c r="E244" s="44">
        <f t="shared" si="23"/>
        <v>14013127</v>
      </c>
      <c r="G244" s="44">
        <v>21240781</v>
      </c>
      <c r="I244" s="44">
        <v>41271</v>
      </c>
      <c r="K244" s="44">
        <v>35295179</v>
      </c>
      <c r="M244" s="44">
        <f t="shared" si="24"/>
        <v>4011712</v>
      </c>
      <c r="O244" s="44">
        <v>2310527</v>
      </c>
      <c r="Q244" s="44">
        <v>6322239</v>
      </c>
      <c r="S244" s="44">
        <v>19364514</v>
      </c>
      <c r="U244" s="44">
        <f>28972940-19364514-3922381</f>
        <v>5686045</v>
      </c>
      <c r="W244" s="44">
        <v>3922381</v>
      </c>
      <c r="Y244" s="44">
        <f t="shared" si="22"/>
        <v>28972940</v>
      </c>
      <c r="AB244" s="44">
        <f t="shared" si="26"/>
        <v>0</v>
      </c>
    </row>
    <row r="245" spans="1:28" ht="12.75" customHeight="1">
      <c r="A245" s="44" t="s">
        <v>275</v>
      </c>
      <c r="C245" s="44" t="s">
        <v>92</v>
      </c>
      <c r="E245" s="44">
        <f t="shared" si="23"/>
        <v>14107343</v>
      </c>
      <c r="G245" s="44">
        <f>19002788+72695917</f>
        <v>91698705</v>
      </c>
      <c r="I245" s="44">
        <v>0</v>
      </c>
      <c r="K245" s="44">
        <v>105806048</v>
      </c>
      <c r="M245" s="44">
        <f t="shared" si="24"/>
        <v>3252381</v>
      </c>
      <c r="O245" s="44">
        <v>3482753</v>
      </c>
      <c r="Q245" s="44">
        <v>6735134</v>
      </c>
      <c r="S245" s="44">
        <v>89507633</v>
      </c>
      <c r="U245" s="44">
        <f>2731517+131110+1011267</f>
        <v>3873894</v>
      </c>
      <c r="W245" s="44">
        <v>5689387</v>
      </c>
      <c r="Y245" s="44">
        <f t="shared" si="22"/>
        <v>99070914</v>
      </c>
      <c r="AB245" s="44">
        <f t="shared" si="26"/>
        <v>0</v>
      </c>
    </row>
    <row r="246" spans="1:28" ht="12.75" customHeight="1">
      <c r="A246" s="44" t="s">
        <v>276</v>
      </c>
      <c r="C246" s="44" t="s">
        <v>38</v>
      </c>
      <c r="E246" s="44">
        <f t="shared" si="23"/>
        <v>7748873</v>
      </c>
      <c r="G246" s="44">
        <v>8384810</v>
      </c>
      <c r="I246" s="44">
        <v>0</v>
      </c>
      <c r="K246" s="44">
        <v>16133683</v>
      </c>
      <c r="M246" s="44">
        <f t="shared" si="24"/>
        <v>1536456</v>
      </c>
      <c r="O246" s="44">
        <v>1321945</v>
      </c>
      <c r="Q246" s="44">
        <v>2858401</v>
      </c>
      <c r="S246" s="44">
        <v>6423278</v>
      </c>
      <c r="U246" s="44">
        <f>13275282-6423278-2503630</f>
        <v>4348374</v>
      </c>
      <c r="W246" s="44">
        <v>2503630</v>
      </c>
      <c r="Y246" s="44">
        <f t="shared" si="22"/>
        <v>13275282</v>
      </c>
      <c r="AB246" s="44">
        <f t="shared" si="26"/>
        <v>0</v>
      </c>
    </row>
    <row r="247" spans="1:28" ht="12.75" customHeight="1">
      <c r="A247" s="44" t="s">
        <v>277</v>
      </c>
      <c r="C247" s="44" t="s">
        <v>92</v>
      </c>
      <c r="E247" s="44">
        <f t="shared" si="23"/>
        <v>35395007</v>
      </c>
      <c r="G247" s="44">
        <f>14613211+43496608</f>
        <v>58109819</v>
      </c>
      <c r="I247" s="44">
        <v>0</v>
      </c>
      <c r="K247" s="44">
        <v>93504826</v>
      </c>
      <c r="M247" s="44">
        <f t="shared" si="24"/>
        <v>17334796</v>
      </c>
      <c r="O247" s="44">
        <v>15828689</v>
      </c>
      <c r="Q247" s="44">
        <v>33163485</v>
      </c>
      <c r="S247" s="44">
        <v>38089025</v>
      </c>
      <c r="U247" s="44">
        <f>60341341-38089025-7900875</f>
        <v>14351441</v>
      </c>
      <c r="W247" s="44">
        <v>7900875</v>
      </c>
      <c r="Y247" s="44">
        <f t="shared" si="22"/>
        <v>60341341</v>
      </c>
      <c r="AB247" s="44">
        <f t="shared" si="26"/>
        <v>0</v>
      </c>
    </row>
    <row r="248" spans="1:28" ht="12.75" customHeight="1">
      <c r="A248" s="44" t="s">
        <v>278</v>
      </c>
      <c r="C248" s="44" t="s">
        <v>92</v>
      </c>
      <c r="E248" s="44">
        <f t="shared" si="23"/>
        <v>-94387854</v>
      </c>
      <c r="G248" s="44">
        <f>177095+111196084</f>
        <v>111373179</v>
      </c>
      <c r="I248" s="44">
        <v>10540</v>
      </c>
      <c r="K248" s="44">
        <v>16995865</v>
      </c>
      <c r="M248" s="44">
        <f t="shared" si="24"/>
        <v>4436205</v>
      </c>
      <c r="O248" s="44">
        <v>2800352</v>
      </c>
      <c r="Q248" s="44">
        <v>7236557</v>
      </c>
      <c r="S248" s="44">
        <v>7669506</v>
      </c>
      <c r="U248" s="44">
        <f>9759308-7669506-750476</f>
        <v>1339326</v>
      </c>
      <c r="W248" s="44">
        <v>750476</v>
      </c>
      <c r="Y248" s="44">
        <f t="shared" si="22"/>
        <v>9759308</v>
      </c>
      <c r="AB248" s="44">
        <f t="shared" si="26"/>
        <v>0</v>
      </c>
    </row>
    <row r="249" spans="1:28" ht="12.75" customHeight="1">
      <c r="A249" s="44" t="s">
        <v>279</v>
      </c>
      <c r="C249" s="44" t="s">
        <v>92</v>
      </c>
      <c r="E249" s="44">
        <f t="shared" si="23"/>
        <v>15736290</v>
      </c>
      <c r="G249" s="44">
        <f>115029+30947180</f>
        <v>31062209</v>
      </c>
      <c r="I249" s="44">
        <v>0</v>
      </c>
      <c r="K249" s="44">
        <v>46798499</v>
      </c>
      <c r="M249" s="44">
        <f t="shared" si="24"/>
        <v>6413666</v>
      </c>
      <c r="O249" s="44">
        <v>3076547</v>
      </c>
      <c r="Q249" s="44">
        <v>9490213</v>
      </c>
      <c r="S249" s="44">
        <v>28868000</v>
      </c>
      <c r="U249" s="44">
        <f>22968+2477516</f>
        <v>2500484</v>
      </c>
      <c r="W249" s="44">
        <v>5939802</v>
      </c>
      <c r="Y249" s="44">
        <f t="shared" si="22"/>
        <v>37308286</v>
      </c>
      <c r="AB249" s="44">
        <f t="shared" si="26"/>
        <v>0</v>
      </c>
    </row>
    <row r="250" spans="1:28" ht="12.75" customHeight="1">
      <c r="A250" s="44" t="s">
        <v>280</v>
      </c>
      <c r="C250" s="44" t="s">
        <v>281</v>
      </c>
      <c r="E250" s="44">
        <f t="shared" si="23"/>
        <v>12016677</v>
      </c>
      <c r="G250" s="44">
        <f>2569198+14123974</f>
        <v>16693172</v>
      </c>
      <c r="I250" s="44">
        <v>0</v>
      </c>
      <c r="K250" s="44">
        <v>28709849</v>
      </c>
      <c r="M250" s="44">
        <f t="shared" si="24"/>
        <v>3797696</v>
      </c>
      <c r="O250" s="44">
        <v>5865273</v>
      </c>
      <c r="Q250" s="44">
        <v>9662969</v>
      </c>
      <c r="S250" s="44">
        <v>10393172</v>
      </c>
      <c r="U250" s="44">
        <f>151142+275672+35000</f>
        <v>461814</v>
      </c>
      <c r="W250" s="44">
        <v>8191894</v>
      </c>
      <c r="Y250" s="44">
        <f t="shared" si="22"/>
        <v>19046880</v>
      </c>
      <c r="AB250" s="44">
        <f t="shared" si="26"/>
        <v>0</v>
      </c>
    </row>
    <row r="251" spans="1:28" ht="12.75" customHeight="1">
      <c r="A251" s="44" t="s">
        <v>282</v>
      </c>
      <c r="C251" s="44" t="s">
        <v>199</v>
      </c>
      <c r="E251" s="44">
        <f t="shared" si="23"/>
        <v>24987177</v>
      </c>
      <c r="G251" s="44">
        <v>50073720</v>
      </c>
      <c r="I251" s="44">
        <v>0</v>
      </c>
      <c r="K251" s="44">
        <v>75060897</v>
      </c>
      <c r="M251" s="44">
        <f t="shared" si="24"/>
        <v>9289775</v>
      </c>
      <c r="O251" s="44">
        <v>4491850</v>
      </c>
      <c r="Q251" s="44">
        <v>13781625</v>
      </c>
      <c r="S251" s="44">
        <v>41840935</v>
      </c>
      <c r="U251" s="44">
        <f>61279272-41840935-9161971</f>
        <v>10276366</v>
      </c>
      <c r="W251" s="44">
        <v>9161971</v>
      </c>
      <c r="Y251" s="44">
        <f t="shared" si="22"/>
        <v>61279272</v>
      </c>
      <c r="AB251" s="44">
        <f t="shared" si="26"/>
        <v>0</v>
      </c>
    </row>
    <row r="252" spans="1:28" ht="12.75" customHeight="1">
      <c r="A252" s="44" t="s">
        <v>283</v>
      </c>
      <c r="C252" s="44" t="s">
        <v>43</v>
      </c>
      <c r="E252" s="44">
        <f t="shared" si="23"/>
        <v>20995305</v>
      </c>
      <c r="G252" s="44">
        <f>5250612+33854770</f>
        <v>39105382</v>
      </c>
      <c r="I252" s="44">
        <v>0</v>
      </c>
      <c r="K252" s="44">
        <v>60100687</v>
      </c>
      <c r="M252" s="44">
        <f t="shared" si="24"/>
        <v>5678553</v>
      </c>
      <c r="O252" s="44">
        <v>8595756</v>
      </c>
      <c r="Q252" s="44">
        <v>14274309</v>
      </c>
      <c r="S252" s="44">
        <v>31115382</v>
      </c>
      <c r="U252" s="44">
        <f>9207600+828037+1792315</f>
        <v>11827952</v>
      </c>
      <c r="W252" s="44">
        <v>2883044</v>
      </c>
      <c r="Y252" s="44">
        <f t="shared" si="22"/>
        <v>45826378</v>
      </c>
      <c r="AB252" s="44">
        <f t="shared" si="26"/>
        <v>0</v>
      </c>
    </row>
    <row r="253" spans="1:28" ht="12.75" customHeight="1">
      <c r="A253" s="44" t="s">
        <v>284</v>
      </c>
      <c r="C253" s="44" t="s">
        <v>45</v>
      </c>
      <c r="E253" s="44">
        <f t="shared" si="23"/>
        <v>14063839</v>
      </c>
      <c r="G253" s="44">
        <f>10791809+16753039</f>
        <v>27544848</v>
      </c>
      <c r="I253" s="44">
        <v>0</v>
      </c>
      <c r="K253" s="44">
        <v>41608687</v>
      </c>
      <c r="M253" s="44">
        <f t="shared" si="24"/>
        <v>4143025</v>
      </c>
      <c r="O253" s="44">
        <v>13042551</v>
      </c>
      <c r="Q253" s="44">
        <v>17185576</v>
      </c>
      <c r="S253" s="44">
        <v>16941091</v>
      </c>
      <c r="U253" s="44">
        <v>494819</v>
      </c>
      <c r="W253" s="44">
        <v>6987201</v>
      </c>
      <c r="Y253" s="44">
        <f t="shared" si="22"/>
        <v>24423111</v>
      </c>
      <c r="AB253" s="44">
        <f t="shared" si="26"/>
        <v>0</v>
      </c>
    </row>
    <row r="254" spans="1:28" ht="12.75" customHeight="1">
      <c r="A254" s="44" t="s">
        <v>285</v>
      </c>
      <c r="C254" s="44" t="s">
        <v>30</v>
      </c>
      <c r="E254" s="44">
        <f t="shared" si="23"/>
        <v>12622819</v>
      </c>
      <c r="G254" s="44">
        <v>35246000</v>
      </c>
      <c r="I254" s="44">
        <v>0</v>
      </c>
      <c r="K254" s="44">
        <v>47868819</v>
      </c>
      <c r="M254" s="44">
        <f t="shared" si="24"/>
        <v>3545240</v>
      </c>
      <c r="O254" s="44">
        <v>3499629</v>
      </c>
      <c r="Q254" s="44">
        <v>7044869</v>
      </c>
      <c r="S254" s="44">
        <v>32711191</v>
      </c>
      <c r="U254" s="44">
        <f>40823950-32711191-3933235</f>
        <v>4179524</v>
      </c>
      <c r="W254" s="44">
        <v>3933235</v>
      </c>
      <c r="Y254" s="44">
        <f t="shared" si="22"/>
        <v>40823950</v>
      </c>
      <c r="AB254" s="44">
        <f t="shared" si="26"/>
        <v>0</v>
      </c>
    </row>
    <row r="255" spans="1:28" ht="12.75" customHeight="1">
      <c r="A255" s="44" t="s">
        <v>286</v>
      </c>
      <c r="C255" s="44" t="s">
        <v>61</v>
      </c>
      <c r="E255" s="44">
        <f t="shared" si="23"/>
        <v>30404175</v>
      </c>
      <c r="G255" s="44">
        <f>12712840+91939042</f>
        <v>104651882</v>
      </c>
      <c r="I255" s="44">
        <v>468630</v>
      </c>
      <c r="K255" s="44">
        <v>135524687</v>
      </c>
      <c r="M255" s="44">
        <f t="shared" si="24"/>
        <v>30690740</v>
      </c>
      <c r="O255" s="44">
        <v>28663034</v>
      </c>
      <c r="Q255" s="44">
        <v>59353774</v>
      </c>
      <c r="S255" s="44">
        <v>74840462</v>
      </c>
      <c r="U255" s="44">
        <f>76170913-74840462+10667589</f>
        <v>11998040</v>
      </c>
      <c r="W255" s="44">
        <v>-10667589</v>
      </c>
      <c r="Y255" s="44">
        <f t="shared" si="22"/>
        <v>76170913</v>
      </c>
      <c r="AB255" s="44">
        <f t="shared" si="26"/>
        <v>0</v>
      </c>
    </row>
    <row r="256" spans="1:28" ht="12.75" customHeight="1">
      <c r="A256" s="44" t="s">
        <v>287</v>
      </c>
      <c r="C256" s="44" t="s">
        <v>288</v>
      </c>
      <c r="E256" s="44">
        <f t="shared" si="23"/>
        <v>13496448</v>
      </c>
      <c r="G256" s="44">
        <f>3766435+15097514</f>
        <v>18863949</v>
      </c>
      <c r="I256" s="44">
        <v>0</v>
      </c>
      <c r="K256" s="44">
        <v>32360397</v>
      </c>
      <c r="M256" s="44">
        <f t="shared" si="24"/>
        <v>6587028</v>
      </c>
      <c r="O256" s="44">
        <v>5866450</v>
      </c>
      <c r="Q256" s="44">
        <v>12453478</v>
      </c>
      <c r="S256" s="44">
        <v>12416548</v>
      </c>
      <c r="U256" s="44">
        <f>19906919-12416548-3015429</f>
        <v>4474942</v>
      </c>
      <c r="W256" s="44">
        <v>3015429</v>
      </c>
      <c r="Y256" s="44">
        <f t="shared" si="22"/>
        <v>19906919</v>
      </c>
      <c r="AB256" s="44">
        <f t="shared" si="26"/>
        <v>0</v>
      </c>
    </row>
  </sheetData>
  <mergeCells count="3">
    <mergeCell ref="S6:W6"/>
    <mergeCell ref="M6:O6"/>
    <mergeCell ref="E6:I6"/>
  </mergeCells>
  <phoneticPr fontId="4" type="noConversion"/>
  <printOptions horizontalCentered="1"/>
  <pageMargins left="0.75" right="0.75" top="0.5" bottom="0.5" header="0" footer="0.25"/>
  <pageSetup scale="95" firstPageNumber="4" pageOrder="overThenDown" orientation="portrait" useFirstPageNumber="1" r:id="rId1"/>
  <headerFooter alignWithMargins="0">
    <oddFooter>&amp;C&amp;"Times New Roman,Regular"&amp;11&amp;P</oddFooter>
  </headerFooter>
  <rowBreaks count="3" manualBreakCount="3">
    <brk id="61" max="24" man="1"/>
    <brk id="115" max="24" man="1"/>
    <brk id="167" max="24" man="1"/>
  </rowBreaks>
  <colBreaks count="1" manualBreakCount="1">
    <brk id="12" min="9" max="25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HU343"/>
  <sheetViews>
    <sheetView zoomScaleNormal="100" zoomScaleSheetLayoutView="90" workbookViewId="0">
      <pane xSplit="3" ySplit="10" topLeftCell="AI11" activePane="bottomRight" state="frozen"/>
      <selection pane="topRight" activeCell="D1" sqref="D1"/>
      <selection pane="bottomLeft" activeCell="A11" sqref="A11"/>
      <selection pane="bottomRight" activeCell="BC7" sqref="BC7"/>
    </sheetView>
  </sheetViews>
  <sheetFormatPr defaultColWidth="0" defaultRowHeight="12.75" customHeight="1"/>
  <cols>
    <col min="1" max="1" width="13.7109375" style="5" customWidth="1"/>
    <col min="2" max="2" width="2.140625" customWidth="1"/>
    <col min="3" max="3" width="10.140625" style="5" customWidth="1"/>
    <col min="4" max="4" width="1.85546875" style="2" customWidth="1"/>
    <col min="5" max="5" width="11.7109375" style="5" customWidth="1"/>
    <col min="6" max="6" width="2" style="5" customWidth="1"/>
    <col min="7" max="7" width="11.7109375" style="5" customWidth="1"/>
    <col min="8" max="8" width="2" style="5" customWidth="1"/>
    <col min="9" max="9" width="11.7109375" style="5" customWidth="1"/>
    <col min="10" max="10" width="2" style="5" customWidth="1"/>
    <col min="11" max="11" width="11.7109375" style="5" customWidth="1"/>
    <col min="12" max="12" width="2" style="5" customWidth="1"/>
    <col min="13" max="13" width="11.7109375" style="5" customWidth="1"/>
    <col min="14" max="14" width="2.140625" style="5" customWidth="1"/>
    <col min="15" max="15" width="11.7109375" style="5" customWidth="1"/>
    <col min="16" max="16" width="2.7109375" style="5" customWidth="1"/>
    <col min="17" max="17" width="11.7109375" style="5" customWidth="1"/>
    <col min="18" max="18" width="1.7109375" style="5" customWidth="1"/>
    <col min="19" max="19" width="11.7109375" style="5" customWidth="1"/>
    <col min="20" max="20" width="1.7109375" style="5" customWidth="1"/>
    <col min="21" max="21" width="11.7109375" style="5" customWidth="1"/>
    <col min="22" max="22" width="1.7109375" style="5" customWidth="1"/>
    <col min="23" max="23" width="11.7109375" style="5" customWidth="1"/>
    <col min="24" max="24" width="1.7109375" customWidth="1"/>
    <col min="25" max="25" width="25" customWidth="1"/>
    <col min="26" max="26" width="12.28515625" style="5" customWidth="1"/>
    <col min="27" max="27" width="1.7109375" style="10" customWidth="1"/>
    <col min="28" max="28" width="10.28515625" style="5" customWidth="1"/>
    <col min="29" max="29" width="1.7109375" customWidth="1"/>
    <col min="30" max="30" width="11.7109375" style="5" customWidth="1"/>
    <col min="31" max="31" width="1.7109375" style="5" customWidth="1"/>
    <col min="32" max="32" width="11.7109375" style="5" customWidth="1"/>
    <col min="33" max="33" width="1.7109375" style="5" customWidth="1"/>
    <col min="34" max="34" width="11.7109375" style="5" customWidth="1"/>
    <col min="35" max="35" width="1.7109375" style="5" customWidth="1"/>
    <col min="36" max="36" width="11.7109375" style="5" customWidth="1"/>
    <col min="37" max="37" width="1.7109375" style="5" customWidth="1"/>
    <col min="38" max="38" width="11.7109375" style="5" customWidth="1"/>
    <col min="39" max="39" width="2.7109375" style="5" customWidth="1"/>
    <col min="40" max="40" width="11.42578125" customWidth="1"/>
    <col min="41" max="41" width="1.7109375" customWidth="1"/>
    <col min="42" max="42" width="11.28515625" customWidth="1"/>
    <col min="43" max="43" width="1.7109375" customWidth="1"/>
    <col min="44" max="44" width="10.140625" customWidth="1"/>
    <col min="45" max="45" width="1.7109375" customWidth="1"/>
    <col min="46" max="46" width="10.5703125" customWidth="1"/>
    <col min="47" max="47" width="1.7109375" customWidth="1"/>
    <col min="48" max="48" width="10.28515625" hidden="1" customWidth="1"/>
    <col min="49" max="49" width="1.7109375" hidden="1" customWidth="1"/>
    <col min="50" max="50" width="9.7109375" hidden="1" customWidth="1"/>
    <col min="51" max="51" width="1.7109375" hidden="1" customWidth="1"/>
    <col min="52" max="52" width="11.7109375" style="57" customWidth="1"/>
    <col min="53" max="53" width="18.28515625" customWidth="1"/>
    <col min="54" max="54" width="11.7109375" style="55" customWidth="1"/>
    <col min="55" max="55" width="1.42578125" style="55" customWidth="1"/>
    <col min="56" max="56" width="10" style="55" customWidth="1"/>
    <col min="57" max="57" width="1.42578125" style="55" customWidth="1"/>
    <col min="58" max="58" width="11.28515625" style="55" customWidth="1"/>
    <col min="59" max="59" width="1.42578125" style="55" customWidth="1"/>
    <col min="60" max="60" width="11.28515625" style="55" customWidth="1"/>
    <col min="61" max="61" width="1.42578125" style="55" customWidth="1"/>
    <col min="62" max="62" width="11.140625" style="55" customWidth="1"/>
    <col min="63" max="63" width="1.42578125" style="55" customWidth="1"/>
    <col min="64" max="64" width="11.28515625" style="55" customWidth="1"/>
    <col min="65" max="65" width="1.42578125" style="55" customWidth="1"/>
    <col min="66" max="66" width="11.140625" style="55" customWidth="1"/>
    <col min="67" max="67" width="1.7109375" style="36" customWidth="1"/>
    <col min="68" max="68" width="11.7109375" style="36" customWidth="1"/>
    <col min="69" max="69" width="1.7109375" style="36" customWidth="1"/>
    <col min="70" max="72" width="8.42578125" style="36" customWidth="1"/>
    <col min="73" max="73" width="8.42578125" style="83" customWidth="1"/>
    <col min="74" max="95" width="8.42578125" style="36" customWidth="1"/>
    <col min="96" max="228" width="8.42578125" style="5" hidden="1" customWidth="1"/>
    <col min="229" max="16384" width="8.42578125" style="61" hidden="1"/>
  </cols>
  <sheetData>
    <row r="1" spans="1:229" s="22" customFormat="1" ht="12.75" customHeight="1">
      <c r="A1" s="29" t="s">
        <v>391</v>
      </c>
      <c r="D1" s="2"/>
      <c r="Z1" s="29" t="s">
        <v>391</v>
      </c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/>
      <c r="BB1" s="74" t="s">
        <v>494</v>
      </c>
      <c r="BC1" s="75"/>
      <c r="BD1" s="75"/>
      <c r="BE1" s="35"/>
      <c r="BF1" s="35"/>
      <c r="BG1" s="35"/>
      <c r="BH1" s="35"/>
      <c r="BI1" s="35"/>
      <c r="BJ1" s="35"/>
      <c r="BK1" s="35"/>
      <c r="BL1" s="35"/>
      <c r="BM1" s="35"/>
      <c r="BN1" s="75"/>
      <c r="BO1" s="33"/>
      <c r="BS1" s="39"/>
      <c r="BT1" s="39"/>
      <c r="BU1" s="82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HU1" s="62"/>
    </row>
    <row r="2" spans="1:229" s="22" customFormat="1" ht="12.75" customHeight="1">
      <c r="A2" s="23" t="s">
        <v>472</v>
      </c>
      <c r="D2" s="2"/>
      <c r="Z2" s="23" t="s">
        <v>473</v>
      </c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/>
      <c r="BB2" s="76" t="s">
        <v>348</v>
      </c>
      <c r="BC2" s="75"/>
      <c r="BD2" s="75"/>
      <c r="BE2" s="35"/>
      <c r="BF2" s="35"/>
      <c r="BG2" s="35"/>
      <c r="BH2" s="35"/>
      <c r="BI2" s="35"/>
      <c r="BJ2" s="35"/>
      <c r="BK2" s="35"/>
      <c r="BL2" s="35"/>
      <c r="BM2" s="35"/>
      <c r="BN2" s="75"/>
      <c r="BO2" s="33"/>
      <c r="BS2" s="39"/>
      <c r="BT2" s="39"/>
      <c r="BU2" s="82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HU2" s="62"/>
    </row>
    <row r="3" spans="1:229" s="22" customFormat="1" ht="12.75" customHeight="1">
      <c r="A3" s="29" t="s">
        <v>500</v>
      </c>
      <c r="D3" s="2"/>
      <c r="Z3" s="29" t="s">
        <v>501</v>
      </c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/>
      <c r="BB3" s="74" t="s">
        <v>500</v>
      </c>
      <c r="BC3" s="75"/>
      <c r="BD3" s="75"/>
      <c r="BE3" s="35"/>
      <c r="BF3" s="35"/>
      <c r="BG3" s="35"/>
      <c r="BH3" s="35"/>
      <c r="BI3" s="35"/>
      <c r="BJ3" s="35"/>
      <c r="BK3" s="35"/>
      <c r="BL3" s="35"/>
      <c r="BM3" s="35"/>
      <c r="BN3" s="75"/>
      <c r="BO3" s="33"/>
      <c r="BS3" s="36"/>
      <c r="BT3" s="36"/>
      <c r="BU3" s="83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HU3" s="62"/>
    </row>
    <row r="4" spans="1:229" ht="12.75" customHeight="1">
      <c r="A4" s="22" t="s">
        <v>289</v>
      </c>
      <c r="Z4" s="22" t="s">
        <v>289</v>
      </c>
      <c r="AA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B4" s="75" t="s">
        <v>289</v>
      </c>
      <c r="BC4" s="47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3"/>
      <c r="BP4" s="5"/>
      <c r="BQ4" s="5"/>
      <c r="BR4" s="5"/>
    </row>
    <row r="5" spans="1:229" ht="12.75" hidden="1" customHeight="1"/>
    <row r="6" spans="1:229" ht="12.75" hidden="1" customHeight="1">
      <c r="A6" s="22"/>
      <c r="V6" s="67"/>
      <c r="W6" s="67"/>
      <c r="Z6" s="22"/>
      <c r="AA6" s="5"/>
      <c r="AN6" s="5"/>
      <c r="AO6" s="5"/>
      <c r="AP6" s="5"/>
      <c r="AQ6" s="5"/>
      <c r="AR6" s="5"/>
      <c r="AS6" s="5"/>
      <c r="AT6" s="5"/>
      <c r="AU6" s="5"/>
      <c r="AV6" s="61"/>
      <c r="AW6" s="61"/>
      <c r="AX6" s="61"/>
      <c r="AY6" s="5"/>
      <c r="AZ6" s="5"/>
      <c r="BB6" s="75"/>
      <c r="BC6" s="47"/>
      <c r="BD6" s="35"/>
      <c r="BE6" s="35"/>
      <c r="BF6" s="77"/>
      <c r="BG6" s="77"/>
      <c r="BH6" s="77"/>
      <c r="BI6" s="77"/>
      <c r="BJ6" s="77"/>
      <c r="BK6" s="77"/>
      <c r="BL6" s="77"/>
      <c r="BM6" s="77"/>
      <c r="BN6" s="35"/>
      <c r="BO6" s="33"/>
      <c r="BP6" s="5"/>
      <c r="BQ6" s="5"/>
      <c r="BR6" s="5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</row>
    <row r="7" spans="1:229" ht="12.75" customHeight="1">
      <c r="A7" s="22" t="s">
        <v>484</v>
      </c>
      <c r="Q7" s="160" t="s">
        <v>2</v>
      </c>
      <c r="R7" s="160"/>
      <c r="S7" s="160"/>
      <c r="T7" s="160"/>
      <c r="U7" s="160"/>
      <c r="Z7" s="22" t="s">
        <v>484</v>
      </c>
      <c r="AT7" s="153"/>
      <c r="AV7" s="6" t="s">
        <v>411</v>
      </c>
      <c r="AW7" s="5"/>
      <c r="AX7" s="6" t="s">
        <v>412</v>
      </c>
      <c r="BB7" s="22" t="s">
        <v>484</v>
      </c>
    </row>
    <row r="8" spans="1:229" s="6" customFormat="1" ht="12.75" customHeight="1">
      <c r="D8" s="3"/>
      <c r="Q8" s="6" t="s">
        <v>7</v>
      </c>
      <c r="AV8" s="6" t="s">
        <v>349</v>
      </c>
      <c r="AX8" s="6" t="s">
        <v>349</v>
      </c>
      <c r="BA8"/>
      <c r="BB8" s="8"/>
      <c r="BC8" s="8"/>
      <c r="BD8" s="8"/>
      <c r="BE8" s="8"/>
      <c r="BF8" s="8" t="s">
        <v>296</v>
      </c>
      <c r="BG8" s="8"/>
      <c r="BH8" s="8" t="s">
        <v>350</v>
      </c>
      <c r="BI8" s="8"/>
      <c r="BJ8" s="8"/>
      <c r="BK8" s="8"/>
      <c r="BL8" s="8" t="s">
        <v>294</v>
      </c>
      <c r="BM8" s="8"/>
      <c r="BN8" s="8" t="s">
        <v>6</v>
      </c>
      <c r="BO8" s="33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HU8" s="63"/>
    </row>
    <row r="9" spans="1:229" s="6" customFormat="1" ht="12.75" customHeight="1">
      <c r="E9" s="6" t="s">
        <v>3</v>
      </c>
      <c r="G9" s="6" t="s">
        <v>351</v>
      </c>
      <c r="I9" s="6" t="s">
        <v>6</v>
      </c>
      <c r="K9" s="6" t="s">
        <v>3</v>
      </c>
      <c r="M9" s="6" t="s">
        <v>351</v>
      </c>
      <c r="O9" s="6" t="s">
        <v>6</v>
      </c>
      <c r="Q9" s="6" t="s">
        <v>4</v>
      </c>
      <c r="W9" s="8" t="s">
        <v>6</v>
      </c>
      <c r="AD9" s="6" t="s">
        <v>345</v>
      </c>
      <c r="AF9" s="6" t="s">
        <v>353</v>
      </c>
      <c r="AJ9" s="6" t="s">
        <v>345</v>
      </c>
      <c r="AL9" s="6" t="s">
        <v>354</v>
      </c>
      <c r="AR9" s="6" t="s">
        <v>4</v>
      </c>
      <c r="AT9" s="6" t="s">
        <v>368</v>
      </c>
      <c r="AV9" s="6" t="s">
        <v>413</v>
      </c>
      <c r="AX9" s="6" t="s">
        <v>413</v>
      </c>
      <c r="AZ9" s="6" t="s">
        <v>355</v>
      </c>
      <c r="BA9"/>
      <c r="BB9" s="8"/>
      <c r="BC9" s="8"/>
      <c r="BD9" s="8"/>
      <c r="BE9" s="8"/>
      <c r="BF9" s="8" t="s">
        <v>356</v>
      </c>
      <c r="BG9" s="8"/>
      <c r="BH9" s="8" t="s">
        <v>302</v>
      </c>
      <c r="BI9" s="8"/>
      <c r="BJ9" s="8"/>
      <c r="BK9" s="8"/>
      <c r="BL9" s="8" t="s">
        <v>352</v>
      </c>
      <c r="BM9" s="8"/>
      <c r="BN9" s="8" t="s">
        <v>352</v>
      </c>
      <c r="BO9" s="33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HU9" s="63"/>
    </row>
    <row r="10" spans="1:229" s="8" customFormat="1" ht="12.75" customHeight="1">
      <c r="A10" s="7" t="s">
        <v>8</v>
      </c>
      <c r="C10" s="7" t="s">
        <v>9</v>
      </c>
      <c r="E10" s="7" t="s">
        <v>0</v>
      </c>
      <c r="G10" s="7" t="s">
        <v>0</v>
      </c>
      <c r="I10" s="7" t="s">
        <v>0</v>
      </c>
      <c r="K10" s="7" t="s">
        <v>1</v>
      </c>
      <c r="M10" s="7" t="s">
        <v>1</v>
      </c>
      <c r="O10" s="7" t="s">
        <v>1</v>
      </c>
      <c r="Q10" s="7" t="s">
        <v>0</v>
      </c>
      <c r="S10" s="7" t="s">
        <v>10</v>
      </c>
      <c r="U10" s="7" t="s">
        <v>11</v>
      </c>
      <c r="W10" s="7" t="s">
        <v>2</v>
      </c>
      <c r="Z10" s="7" t="s">
        <v>8</v>
      </c>
      <c r="AB10" s="7" t="s">
        <v>9</v>
      </c>
      <c r="AD10" s="78" t="s">
        <v>302</v>
      </c>
      <c r="AE10" s="78"/>
      <c r="AF10" s="78" t="s">
        <v>357</v>
      </c>
      <c r="AH10" s="78" t="s">
        <v>357</v>
      </c>
      <c r="AJ10" s="78" t="s">
        <v>358</v>
      </c>
      <c r="AL10" s="78" t="s">
        <v>414</v>
      </c>
      <c r="AN10" s="78" t="s">
        <v>359</v>
      </c>
      <c r="AP10" s="78" t="s">
        <v>360</v>
      </c>
      <c r="AR10" s="78" t="s">
        <v>361</v>
      </c>
      <c r="AT10" s="78" t="s">
        <v>2</v>
      </c>
      <c r="AV10" s="7" t="s">
        <v>415</v>
      </c>
      <c r="AX10" s="7" t="s">
        <v>415</v>
      </c>
      <c r="AZ10" s="78" t="s">
        <v>4</v>
      </c>
      <c r="BA10" s="51"/>
      <c r="BB10" s="7" t="s">
        <v>8</v>
      </c>
      <c r="BD10" s="7" t="s">
        <v>9</v>
      </c>
      <c r="BF10" s="78" t="s">
        <v>362</v>
      </c>
      <c r="BH10" s="78" t="s">
        <v>362</v>
      </c>
      <c r="BJ10" s="78" t="s">
        <v>363</v>
      </c>
      <c r="BL10" s="78" t="s">
        <v>364</v>
      </c>
      <c r="BN10" s="7" t="s">
        <v>364</v>
      </c>
      <c r="BO10" s="54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</row>
    <row r="11" spans="1:229" s="8" customFormat="1" ht="12.75" customHeight="1">
      <c r="BA11" s="51"/>
      <c r="BO11" s="54"/>
      <c r="BS11" s="55"/>
      <c r="BT11" s="55"/>
      <c r="BU11" s="84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</row>
    <row r="12" spans="1:229" s="64" customFormat="1" ht="12.75" customHeight="1">
      <c r="A12" s="35" t="s">
        <v>12</v>
      </c>
      <c r="B12" s="51"/>
      <c r="C12" s="35" t="s">
        <v>13</v>
      </c>
      <c r="D12" s="44"/>
      <c r="E12" s="79">
        <f t="shared" ref="E12:E79" si="0">I12-G12</f>
        <v>19861120</v>
      </c>
      <c r="F12" s="79"/>
      <c r="G12" s="79">
        <v>144911399</v>
      </c>
      <c r="H12" s="79"/>
      <c r="I12" s="79">
        <v>164772519</v>
      </c>
      <c r="J12" s="79"/>
      <c r="K12" s="79">
        <f t="shared" ref="K12:K79" si="1">O12-M12</f>
        <v>9650810</v>
      </c>
      <c r="L12" s="79"/>
      <c r="M12" s="79">
        <v>58228383</v>
      </c>
      <c r="N12" s="79"/>
      <c r="O12" s="79">
        <v>67879193</v>
      </c>
      <c r="P12" s="79"/>
      <c r="Q12" s="79">
        <v>86177851</v>
      </c>
      <c r="R12" s="79"/>
      <c r="S12" s="79">
        <v>5459422</v>
      </c>
      <c r="T12" s="79"/>
      <c r="U12" s="79">
        <v>5256053</v>
      </c>
      <c r="V12" s="79"/>
      <c r="W12" s="79">
        <f t="shared" ref="W12:W79" si="2">SUM(Q12:U12)</f>
        <v>96893326</v>
      </c>
      <c r="Z12" s="35" t="s">
        <v>12</v>
      </c>
      <c r="AA12" s="53"/>
      <c r="AB12" s="35" t="s">
        <v>13</v>
      </c>
      <c r="AC12" s="51"/>
      <c r="AD12" s="79">
        <v>33889829</v>
      </c>
      <c r="AE12" s="79"/>
      <c r="AF12" s="79">
        <f>23549780-5057391</f>
        <v>18492389</v>
      </c>
      <c r="AG12" s="79"/>
      <c r="AH12" s="79">
        <v>5057391</v>
      </c>
      <c r="AI12" s="79"/>
      <c r="AJ12" s="94">
        <f t="shared" ref="AJ12:AJ13" si="3">+AD12-AF12-AH12</f>
        <v>10340049</v>
      </c>
      <c r="AK12" s="94"/>
      <c r="AL12" s="94">
        <v>-9606897</v>
      </c>
      <c r="AM12" s="94"/>
      <c r="AN12" s="79">
        <v>0</v>
      </c>
      <c r="AO12" s="79"/>
      <c r="AP12" s="79">
        <v>0</v>
      </c>
      <c r="AQ12" s="79"/>
      <c r="AR12" s="79">
        <v>1348320</v>
      </c>
      <c r="AS12" s="79"/>
      <c r="AT12" s="94">
        <f t="shared" ref="AT12:AT55" si="4">+AJ12+AL12+AN12-AP12+AR12</f>
        <v>2081472</v>
      </c>
      <c r="AU12" s="94"/>
      <c r="AV12" s="79">
        <v>0</v>
      </c>
      <c r="AW12" s="79"/>
      <c r="AX12" s="79">
        <v>0</v>
      </c>
      <c r="AY12" s="79"/>
      <c r="AZ12" s="79">
        <f>E12-K12</f>
        <v>10210310</v>
      </c>
      <c r="BA12" s="66"/>
      <c r="BB12" s="35" t="s">
        <v>12</v>
      </c>
      <c r="BC12" s="35"/>
      <c r="BD12" s="35" t="s">
        <v>13</v>
      </c>
      <c r="BE12" s="53"/>
      <c r="BF12" s="79">
        <v>0</v>
      </c>
      <c r="BG12" s="79"/>
      <c r="BH12" s="79">
        <v>3450000</v>
      </c>
      <c r="BI12" s="79"/>
      <c r="BJ12" s="79">
        <f>1096035+95958</f>
        <v>1191993</v>
      </c>
      <c r="BK12" s="79"/>
      <c r="BL12" s="79">
        <v>0</v>
      </c>
      <c r="BM12" s="79"/>
      <c r="BN12" s="79">
        <f t="shared" ref="BN12:BN79" si="5">SUM(BF12:BL12)</f>
        <v>4641993</v>
      </c>
      <c r="BO12" s="91"/>
      <c r="BS12" s="90"/>
      <c r="BT12" s="90"/>
      <c r="BU12" s="95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</row>
    <row r="13" spans="1:229" s="35" customFormat="1" ht="12.75" customHeight="1">
      <c r="A13" s="35" t="s">
        <v>14</v>
      </c>
      <c r="B13" s="65"/>
      <c r="C13" s="35" t="s">
        <v>15</v>
      </c>
      <c r="D13" s="44"/>
      <c r="E13" s="53">
        <f t="shared" si="0"/>
        <v>4928017</v>
      </c>
      <c r="F13" s="53"/>
      <c r="G13" s="53">
        <v>14787229</v>
      </c>
      <c r="H13" s="53"/>
      <c r="I13" s="53">
        <v>19715246</v>
      </c>
      <c r="J13" s="53"/>
      <c r="K13" s="53">
        <f t="shared" si="1"/>
        <v>1334312</v>
      </c>
      <c r="L13" s="53"/>
      <c r="M13" s="53">
        <v>11413801</v>
      </c>
      <c r="N13" s="53"/>
      <c r="O13" s="53">
        <v>12748113</v>
      </c>
      <c r="P13" s="53"/>
      <c r="Q13" s="53">
        <v>1334985</v>
      </c>
      <c r="R13" s="53"/>
      <c r="S13" s="53">
        <f>682495+637561</f>
        <v>1320056</v>
      </c>
      <c r="T13" s="53"/>
      <c r="U13" s="53">
        <v>4312092</v>
      </c>
      <c r="V13" s="53"/>
      <c r="W13" s="53">
        <f t="shared" si="2"/>
        <v>6967133</v>
      </c>
      <c r="X13" s="65"/>
      <c r="Y13" s="65"/>
      <c r="Z13" s="35" t="s">
        <v>14</v>
      </c>
      <c r="AA13" s="53"/>
      <c r="AB13" s="35" t="s">
        <v>15</v>
      </c>
      <c r="AC13" s="65"/>
      <c r="AD13" s="53">
        <v>4043119</v>
      </c>
      <c r="AE13" s="53"/>
      <c r="AF13" s="53">
        <f>3798071-581533</f>
        <v>3216538</v>
      </c>
      <c r="AG13" s="53"/>
      <c r="AH13" s="53">
        <v>581533</v>
      </c>
      <c r="AI13" s="53"/>
      <c r="AJ13" s="45">
        <f t="shared" si="3"/>
        <v>245048</v>
      </c>
      <c r="AK13" s="45"/>
      <c r="AL13" s="53">
        <v>-313151</v>
      </c>
      <c r="AM13" s="45"/>
      <c r="AN13" s="53">
        <v>0</v>
      </c>
      <c r="AO13" s="53"/>
      <c r="AP13" s="53">
        <v>0</v>
      </c>
      <c r="AQ13" s="53"/>
      <c r="AR13" s="53">
        <v>0</v>
      </c>
      <c r="AS13" s="53"/>
      <c r="AT13" s="45">
        <f t="shared" si="4"/>
        <v>-68103</v>
      </c>
      <c r="AU13" s="45"/>
      <c r="AV13" s="53">
        <v>0</v>
      </c>
      <c r="AW13" s="53"/>
      <c r="AX13" s="53">
        <v>0</v>
      </c>
      <c r="AY13" s="53"/>
      <c r="AZ13" s="53">
        <f t="shared" ref="AZ13:AZ55" si="6">E13-K13</f>
        <v>3593705</v>
      </c>
      <c r="BA13" s="65"/>
      <c r="BB13" s="35" t="s">
        <v>14</v>
      </c>
      <c r="BD13" s="35" t="s">
        <v>15</v>
      </c>
      <c r="BE13" s="53"/>
      <c r="BF13" s="53">
        <v>0</v>
      </c>
      <c r="BG13" s="53"/>
      <c r="BH13" s="53">
        <v>11213711</v>
      </c>
      <c r="BI13" s="53"/>
      <c r="BJ13" s="53">
        <v>0</v>
      </c>
      <c r="BK13" s="53"/>
      <c r="BL13" s="53">
        <v>200090</v>
      </c>
      <c r="BM13" s="53"/>
      <c r="BN13" s="53">
        <f t="shared" si="5"/>
        <v>11413801</v>
      </c>
      <c r="BO13" s="54"/>
      <c r="BS13" s="55"/>
      <c r="BT13" s="55"/>
      <c r="BU13" s="84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</row>
    <row r="14" spans="1:229" s="35" customFormat="1" ht="12.75" customHeight="1">
      <c r="A14" s="35" t="s">
        <v>16</v>
      </c>
      <c r="B14" s="51"/>
      <c r="C14" s="35" t="s">
        <v>17</v>
      </c>
      <c r="D14" s="44"/>
      <c r="E14" s="53">
        <f t="shared" si="0"/>
        <v>1755793</v>
      </c>
      <c r="F14" s="53"/>
      <c r="G14" s="53">
        <v>4240797</v>
      </c>
      <c r="H14" s="53"/>
      <c r="I14" s="53">
        <v>5996590</v>
      </c>
      <c r="J14" s="53"/>
      <c r="K14" s="53">
        <f t="shared" si="1"/>
        <v>416895</v>
      </c>
      <c r="L14" s="53"/>
      <c r="M14" s="53">
        <v>1263572</v>
      </c>
      <c r="N14" s="53"/>
      <c r="O14" s="53">
        <v>1680467</v>
      </c>
      <c r="P14" s="53"/>
      <c r="Q14" s="53">
        <v>2895797</v>
      </c>
      <c r="R14" s="53"/>
      <c r="S14" s="53">
        <v>0</v>
      </c>
      <c r="T14" s="53"/>
      <c r="U14" s="53">
        <v>1420326</v>
      </c>
      <c r="V14" s="53"/>
      <c r="W14" s="53">
        <f t="shared" si="2"/>
        <v>4316123</v>
      </c>
      <c r="X14" s="51"/>
      <c r="Y14" s="51"/>
      <c r="Z14" s="35" t="s">
        <v>16</v>
      </c>
      <c r="AA14" s="53"/>
      <c r="AB14" s="35" t="s">
        <v>17</v>
      </c>
      <c r="AC14" s="51"/>
      <c r="AD14" s="53">
        <v>2105825</v>
      </c>
      <c r="AE14" s="53"/>
      <c r="AF14" s="53">
        <f>2043406-196320</f>
        <v>1847086</v>
      </c>
      <c r="AG14" s="53"/>
      <c r="AH14" s="53">
        <v>196320</v>
      </c>
      <c r="AI14" s="53"/>
      <c r="AJ14" s="45">
        <f t="shared" ref="AJ14:AJ77" si="7">+AD14-AF14-AH14</f>
        <v>62419</v>
      </c>
      <c r="AK14" s="45"/>
      <c r="AL14" s="53">
        <v>-54410</v>
      </c>
      <c r="AM14" s="45"/>
      <c r="AN14" s="53">
        <v>0</v>
      </c>
      <c r="AO14" s="53"/>
      <c r="AP14" s="53">
        <v>0</v>
      </c>
      <c r="AQ14" s="53"/>
      <c r="AR14" s="53">
        <v>0</v>
      </c>
      <c r="AS14" s="53"/>
      <c r="AT14" s="45">
        <f t="shared" si="4"/>
        <v>8009</v>
      </c>
      <c r="AU14" s="45"/>
      <c r="AV14" s="53">
        <v>0</v>
      </c>
      <c r="AW14" s="53"/>
      <c r="AX14" s="53">
        <v>0</v>
      </c>
      <c r="AY14" s="53"/>
      <c r="AZ14" s="53">
        <f t="shared" si="6"/>
        <v>1338898</v>
      </c>
      <c r="BA14" s="51"/>
      <c r="BB14" s="35" t="s">
        <v>16</v>
      </c>
      <c r="BD14" s="35" t="s">
        <v>17</v>
      </c>
      <c r="BE14" s="53"/>
      <c r="BF14" s="53">
        <f>90000+1255000</f>
        <v>1345000</v>
      </c>
      <c r="BG14" s="53"/>
      <c r="BH14" s="53">
        <v>0</v>
      </c>
      <c r="BI14" s="53"/>
      <c r="BJ14" s="53">
        <v>0</v>
      </c>
      <c r="BK14" s="53"/>
      <c r="BL14" s="53">
        <v>8572</v>
      </c>
      <c r="BM14" s="53"/>
      <c r="BN14" s="53">
        <f t="shared" si="5"/>
        <v>1353572</v>
      </c>
      <c r="BO14" s="54"/>
      <c r="BS14" s="55"/>
      <c r="BT14" s="55"/>
      <c r="BU14" s="84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</row>
    <row r="15" spans="1:229" s="35" customFormat="1" ht="12.75" customHeight="1">
      <c r="A15" s="35" t="s">
        <v>18</v>
      </c>
      <c r="B15" s="51"/>
      <c r="C15" s="35" t="s">
        <v>18</v>
      </c>
      <c r="D15" s="44"/>
      <c r="E15" s="53">
        <f t="shared" si="0"/>
        <v>2157528</v>
      </c>
      <c r="F15" s="53"/>
      <c r="G15" s="53">
        <v>14841570</v>
      </c>
      <c r="H15" s="53"/>
      <c r="I15" s="53">
        <v>16999098</v>
      </c>
      <c r="J15" s="53"/>
      <c r="K15" s="53">
        <f t="shared" si="1"/>
        <v>1533317</v>
      </c>
      <c r="L15" s="53"/>
      <c r="M15" s="53">
        <v>4896818</v>
      </c>
      <c r="N15" s="53"/>
      <c r="O15" s="53">
        <v>6430135</v>
      </c>
      <c r="P15" s="53"/>
      <c r="Q15" s="53">
        <v>8598326</v>
      </c>
      <c r="R15" s="53"/>
      <c r="S15" s="53">
        <v>0</v>
      </c>
      <c r="T15" s="53"/>
      <c r="U15" s="53">
        <v>1970637</v>
      </c>
      <c r="V15" s="53"/>
      <c r="W15" s="53">
        <f t="shared" si="2"/>
        <v>10568963</v>
      </c>
      <c r="X15" s="51"/>
      <c r="Y15" s="51"/>
      <c r="Z15" s="35" t="s">
        <v>18</v>
      </c>
      <c r="AA15" s="53"/>
      <c r="AB15" s="35" t="s">
        <v>18</v>
      </c>
      <c r="AC15" s="51"/>
      <c r="AD15" s="53">
        <v>3616111</v>
      </c>
      <c r="AE15" s="53"/>
      <c r="AF15" s="53">
        <f>3456408-503838</f>
        <v>2952570</v>
      </c>
      <c r="AG15" s="53"/>
      <c r="AH15" s="53">
        <v>503838</v>
      </c>
      <c r="AI15" s="53"/>
      <c r="AJ15" s="45">
        <f t="shared" si="7"/>
        <v>159703</v>
      </c>
      <c r="AK15" s="45"/>
      <c r="AL15" s="53">
        <v>-290141</v>
      </c>
      <c r="AM15" s="45"/>
      <c r="AN15" s="53">
        <v>0</v>
      </c>
      <c r="AO15" s="53"/>
      <c r="AP15" s="53">
        <v>0</v>
      </c>
      <c r="AQ15" s="53"/>
      <c r="AR15" s="53">
        <v>0</v>
      </c>
      <c r="AS15" s="53"/>
      <c r="AT15" s="45">
        <f t="shared" si="4"/>
        <v>-130438</v>
      </c>
      <c r="AU15" s="45"/>
      <c r="AV15" s="53">
        <v>0</v>
      </c>
      <c r="AW15" s="53"/>
      <c r="AX15" s="53">
        <v>0</v>
      </c>
      <c r="AY15" s="53"/>
      <c r="AZ15" s="53">
        <f t="shared" si="6"/>
        <v>624211</v>
      </c>
      <c r="BA15" s="51"/>
      <c r="BB15" s="35" t="s">
        <v>18</v>
      </c>
      <c r="BD15" s="35" t="s">
        <v>18</v>
      </c>
      <c r="BE15" s="53"/>
      <c r="BF15" s="53">
        <f>276000+4735000</f>
        <v>5011000</v>
      </c>
      <c r="BG15" s="53"/>
      <c r="BH15" s="53">
        <v>0</v>
      </c>
      <c r="BI15" s="53"/>
      <c r="BJ15" s="53">
        <f>6428+100816</f>
        <v>107244</v>
      </c>
      <c r="BK15" s="53"/>
      <c r="BL15" s="53">
        <f>1176+61002</f>
        <v>62178</v>
      </c>
      <c r="BM15" s="53"/>
      <c r="BN15" s="53">
        <f t="shared" si="5"/>
        <v>5180422</v>
      </c>
      <c r="BO15" s="54"/>
      <c r="BS15" s="55"/>
      <c r="BT15" s="55"/>
      <c r="BU15" s="84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</row>
    <row r="16" spans="1:229" s="126" customFormat="1" ht="12.75" hidden="1" customHeight="1">
      <c r="A16" s="126" t="s">
        <v>19</v>
      </c>
      <c r="B16" s="124"/>
      <c r="C16" s="126" t="s">
        <v>19</v>
      </c>
      <c r="D16" s="121"/>
      <c r="E16" s="53">
        <f t="shared" si="0"/>
        <v>0</v>
      </c>
      <c r="F16" s="137"/>
      <c r="G16" s="53">
        <v>0</v>
      </c>
      <c r="H16" s="53"/>
      <c r="I16" s="53">
        <v>0</v>
      </c>
      <c r="J16" s="137"/>
      <c r="K16" s="137">
        <f t="shared" si="1"/>
        <v>0</v>
      </c>
      <c r="L16" s="137"/>
      <c r="M16" s="53">
        <v>0</v>
      </c>
      <c r="N16" s="53"/>
      <c r="O16" s="53">
        <v>0</v>
      </c>
      <c r="P16" s="53"/>
      <c r="Q16" s="53">
        <v>0</v>
      </c>
      <c r="R16" s="53"/>
      <c r="S16" s="53">
        <v>0</v>
      </c>
      <c r="T16" s="53"/>
      <c r="U16" s="53">
        <v>0</v>
      </c>
      <c r="V16" s="137"/>
      <c r="W16" s="137">
        <f t="shared" si="2"/>
        <v>0</v>
      </c>
      <c r="X16" s="124"/>
      <c r="Y16" s="124"/>
      <c r="Z16" s="126" t="s">
        <v>19</v>
      </c>
      <c r="AA16" s="137"/>
      <c r="AB16" s="126" t="s">
        <v>19</v>
      </c>
      <c r="AC16" s="124"/>
      <c r="AD16" s="53">
        <v>0</v>
      </c>
      <c r="AE16" s="53"/>
      <c r="AF16" s="53">
        <v>0</v>
      </c>
      <c r="AG16" s="53"/>
      <c r="AH16" s="53">
        <v>0</v>
      </c>
      <c r="AI16" s="53"/>
      <c r="AJ16" s="45">
        <f t="shared" si="7"/>
        <v>0</v>
      </c>
      <c r="AK16" s="45"/>
      <c r="AL16" s="53">
        <v>0</v>
      </c>
      <c r="AM16" s="45"/>
      <c r="AN16" s="53">
        <v>0</v>
      </c>
      <c r="AO16" s="53"/>
      <c r="AP16" s="53">
        <v>0</v>
      </c>
      <c r="AQ16" s="53"/>
      <c r="AR16" s="53">
        <v>0</v>
      </c>
      <c r="AS16" s="137"/>
      <c r="AT16" s="127">
        <f t="shared" si="4"/>
        <v>0</v>
      </c>
      <c r="AU16" s="127"/>
      <c r="AV16" s="137">
        <v>0</v>
      </c>
      <c r="AW16" s="137"/>
      <c r="AX16" s="137">
        <v>0</v>
      </c>
      <c r="AY16" s="137"/>
      <c r="AZ16" s="137">
        <f t="shared" si="6"/>
        <v>0</v>
      </c>
      <c r="BA16" s="124"/>
      <c r="BB16" s="126" t="s">
        <v>19</v>
      </c>
      <c r="BD16" s="126" t="s">
        <v>19</v>
      </c>
      <c r="BE16" s="137"/>
      <c r="BF16" s="53">
        <v>0</v>
      </c>
      <c r="BG16" s="53"/>
      <c r="BH16" s="53">
        <v>0</v>
      </c>
      <c r="BI16" s="53"/>
      <c r="BJ16" s="53">
        <v>0</v>
      </c>
      <c r="BK16" s="53"/>
      <c r="BL16" s="53">
        <v>0</v>
      </c>
      <c r="BM16" s="137"/>
      <c r="BN16" s="137">
        <f t="shared" si="5"/>
        <v>0</v>
      </c>
      <c r="BO16" s="139"/>
      <c r="BS16" s="140"/>
      <c r="BT16" s="140"/>
      <c r="BU16" s="141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</row>
    <row r="17" spans="1:95" s="35" customFormat="1" ht="12.75" customHeight="1">
      <c r="A17" s="35" t="s">
        <v>20</v>
      </c>
      <c r="B17" s="51"/>
      <c r="C17" s="35" t="s">
        <v>20</v>
      </c>
      <c r="D17" s="44"/>
      <c r="E17" s="53">
        <f t="shared" si="0"/>
        <v>1275650</v>
      </c>
      <c r="F17" s="53"/>
      <c r="G17" s="53">
        <f>671531+6108967</f>
        <v>6780498</v>
      </c>
      <c r="H17" s="53"/>
      <c r="I17" s="53">
        <v>8056148</v>
      </c>
      <c r="J17" s="53"/>
      <c r="K17" s="53">
        <f t="shared" si="1"/>
        <v>483671</v>
      </c>
      <c r="L17" s="53"/>
      <c r="M17" s="53">
        <f>48308+174121</f>
        <v>222429</v>
      </c>
      <c r="N17" s="53"/>
      <c r="O17" s="53">
        <v>706100</v>
      </c>
      <c r="P17" s="53"/>
      <c r="Q17" s="53">
        <v>6411412</v>
      </c>
      <c r="R17" s="53"/>
      <c r="S17" s="53">
        <v>0</v>
      </c>
      <c r="T17" s="53"/>
      <c r="U17" s="53">
        <v>938636</v>
      </c>
      <c r="V17" s="53"/>
      <c r="W17" s="53">
        <f t="shared" si="2"/>
        <v>7350048</v>
      </c>
      <c r="Z17" s="35" t="s">
        <v>20</v>
      </c>
      <c r="AA17" s="53"/>
      <c r="AB17" s="35" t="s">
        <v>20</v>
      </c>
      <c r="AC17" s="51"/>
      <c r="AD17" s="53">
        <v>2958057</v>
      </c>
      <c r="AE17" s="53"/>
      <c r="AF17" s="53">
        <f>3013268-302115</f>
        <v>2711153</v>
      </c>
      <c r="AG17" s="53"/>
      <c r="AH17" s="53">
        <v>302115</v>
      </c>
      <c r="AI17" s="53"/>
      <c r="AJ17" s="45">
        <f t="shared" si="7"/>
        <v>-55211</v>
      </c>
      <c r="AK17" s="45"/>
      <c r="AL17" s="53">
        <f>321419+10364</f>
        <v>331783</v>
      </c>
      <c r="AM17" s="45"/>
      <c r="AN17" s="53">
        <v>36081</v>
      </c>
      <c r="AO17" s="53"/>
      <c r="AP17" s="53">
        <v>0</v>
      </c>
      <c r="AQ17" s="53"/>
      <c r="AR17" s="53">
        <v>40158</v>
      </c>
      <c r="AS17" s="53"/>
      <c r="AT17" s="45">
        <f t="shared" si="4"/>
        <v>352811</v>
      </c>
      <c r="AU17" s="45"/>
      <c r="AV17" s="53">
        <v>0</v>
      </c>
      <c r="AW17" s="53"/>
      <c r="AX17" s="53">
        <v>0</v>
      </c>
      <c r="AY17" s="53"/>
      <c r="AZ17" s="53">
        <f t="shared" si="6"/>
        <v>791979</v>
      </c>
      <c r="BA17" s="51"/>
      <c r="BB17" s="35" t="s">
        <v>20</v>
      </c>
      <c r="BD17" s="35" t="s">
        <v>20</v>
      </c>
      <c r="BE17" s="53"/>
      <c r="BF17" s="53">
        <v>0</v>
      </c>
      <c r="BG17" s="53"/>
      <c r="BH17" s="53">
        <v>0</v>
      </c>
      <c r="BI17" s="53"/>
      <c r="BJ17" s="53">
        <f>194965+174121</f>
        <v>369086</v>
      </c>
      <c r="BK17" s="53"/>
      <c r="BL17" s="53">
        <v>48308</v>
      </c>
      <c r="BM17" s="53"/>
      <c r="BN17" s="53">
        <f t="shared" si="5"/>
        <v>417394</v>
      </c>
      <c r="BO17" s="54"/>
      <c r="BS17" s="55"/>
      <c r="BT17" s="55"/>
      <c r="BU17" s="84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</row>
    <row r="18" spans="1:95" s="35" customFormat="1" ht="12.75" customHeight="1">
      <c r="A18" s="35" t="s">
        <v>21</v>
      </c>
      <c r="B18" s="51"/>
      <c r="C18" s="35" t="s">
        <v>22</v>
      </c>
      <c r="D18" s="44"/>
      <c r="E18" s="53">
        <f t="shared" si="0"/>
        <v>1717593</v>
      </c>
      <c r="F18" s="53"/>
      <c r="G18" s="53">
        <v>9914928</v>
      </c>
      <c r="H18" s="53"/>
      <c r="I18" s="53">
        <v>11632521</v>
      </c>
      <c r="J18" s="53"/>
      <c r="K18" s="53">
        <f t="shared" si="1"/>
        <v>449075</v>
      </c>
      <c r="L18" s="53"/>
      <c r="M18" s="53">
        <v>150457</v>
      </c>
      <c r="N18" s="53"/>
      <c r="O18" s="53">
        <v>599532</v>
      </c>
      <c r="P18" s="53"/>
      <c r="Q18" s="53">
        <v>9774928</v>
      </c>
      <c r="R18" s="53"/>
      <c r="S18" s="53">
        <v>0</v>
      </c>
      <c r="T18" s="53"/>
      <c r="U18" s="53">
        <v>1258061</v>
      </c>
      <c r="V18" s="53"/>
      <c r="W18" s="53">
        <f t="shared" si="2"/>
        <v>11032989</v>
      </c>
      <c r="X18" s="51"/>
      <c r="Y18" s="51"/>
      <c r="Z18" s="35" t="s">
        <v>21</v>
      </c>
      <c r="AA18" s="53"/>
      <c r="AB18" s="35" t="s">
        <v>22</v>
      </c>
      <c r="AC18" s="51"/>
      <c r="AD18" s="53">
        <v>2720043</v>
      </c>
      <c r="AE18" s="53"/>
      <c r="AF18" s="53">
        <f>3486120-249096</f>
        <v>3237024</v>
      </c>
      <c r="AG18" s="53"/>
      <c r="AH18" s="53">
        <v>249096</v>
      </c>
      <c r="AI18" s="53"/>
      <c r="AJ18" s="45">
        <f t="shared" si="7"/>
        <v>-766077</v>
      </c>
      <c r="AK18" s="45"/>
      <c r="AL18" s="53">
        <v>30011</v>
      </c>
      <c r="AM18" s="45"/>
      <c r="AN18" s="53">
        <v>0</v>
      </c>
      <c r="AO18" s="53"/>
      <c r="AP18" s="53">
        <v>0</v>
      </c>
      <c r="AQ18" s="53"/>
      <c r="AR18" s="53">
        <v>0</v>
      </c>
      <c r="AS18" s="53"/>
      <c r="AT18" s="45">
        <f t="shared" si="4"/>
        <v>-736066</v>
      </c>
      <c r="AU18" s="45"/>
      <c r="AV18" s="53">
        <v>0</v>
      </c>
      <c r="AW18" s="53"/>
      <c r="AX18" s="53">
        <v>0</v>
      </c>
      <c r="AY18" s="53"/>
      <c r="AZ18" s="53">
        <f t="shared" si="6"/>
        <v>1268518</v>
      </c>
      <c r="BA18" s="51"/>
      <c r="BB18" s="35" t="s">
        <v>21</v>
      </c>
      <c r="BD18" s="35" t="s">
        <v>22</v>
      </c>
      <c r="BE18" s="53"/>
      <c r="BF18" s="53">
        <v>0</v>
      </c>
      <c r="BG18" s="53"/>
      <c r="BH18" s="53">
        <v>0</v>
      </c>
      <c r="BI18" s="53"/>
      <c r="BJ18" s="53">
        <v>140000</v>
      </c>
      <c r="BK18" s="53"/>
      <c r="BL18" s="53">
        <v>20457</v>
      </c>
      <c r="BM18" s="53"/>
      <c r="BN18" s="53">
        <f t="shared" si="5"/>
        <v>160457</v>
      </c>
      <c r="BO18" s="54"/>
      <c r="BS18" s="55"/>
      <c r="BT18" s="55"/>
      <c r="BU18" s="84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</row>
    <row r="19" spans="1:95" s="35" customFormat="1" ht="12.75" customHeight="1">
      <c r="A19" s="35" t="s">
        <v>23</v>
      </c>
      <c r="B19" s="51"/>
      <c r="C19" s="35" t="s">
        <v>17</v>
      </c>
      <c r="D19" s="44"/>
      <c r="E19" s="53">
        <f t="shared" si="0"/>
        <v>3323743</v>
      </c>
      <c r="F19" s="53"/>
      <c r="G19" s="53">
        <v>12640655</v>
      </c>
      <c r="H19" s="53"/>
      <c r="I19" s="53">
        <v>15964398</v>
      </c>
      <c r="J19" s="53"/>
      <c r="K19" s="53">
        <f t="shared" si="1"/>
        <v>461966</v>
      </c>
      <c r="L19" s="53"/>
      <c r="M19" s="53">
        <v>1073091</v>
      </c>
      <c r="N19" s="53"/>
      <c r="O19" s="53">
        <v>1535057</v>
      </c>
      <c r="P19" s="53"/>
      <c r="Q19" s="53">
        <v>11472772</v>
      </c>
      <c r="R19" s="53"/>
      <c r="S19" s="53">
        <v>0</v>
      </c>
      <c r="T19" s="53"/>
      <c r="U19" s="53">
        <v>2956569</v>
      </c>
      <c r="V19" s="53"/>
      <c r="W19" s="53">
        <f t="shared" si="2"/>
        <v>14429341</v>
      </c>
      <c r="X19" s="51"/>
      <c r="Y19" s="51"/>
      <c r="Z19" s="35" t="s">
        <v>23</v>
      </c>
      <c r="AA19" s="53"/>
      <c r="AB19" s="35" t="s">
        <v>17</v>
      </c>
      <c r="AC19" s="51"/>
      <c r="AD19" s="53">
        <v>2024522</v>
      </c>
      <c r="AE19" s="53"/>
      <c r="AF19" s="53">
        <f>2344209-454052</f>
        <v>1890157</v>
      </c>
      <c r="AG19" s="53"/>
      <c r="AH19" s="53">
        <v>454052</v>
      </c>
      <c r="AI19" s="53"/>
      <c r="AJ19" s="45">
        <f t="shared" si="7"/>
        <v>-319687</v>
      </c>
      <c r="AK19" s="45"/>
      <c r="AL19" s="53">
        <v>-41471</v>
      </c>
      <c r="AM19" s="45"/>
      <c r="AN19" s="53">
        <v>0</v>
      </c>
      <c r="AO19" s="53"/>
      <c r="AP19" s="53">
        <v>0</v>
      </c>
      <c r="AQ19" s="53"/>
      <c r="AR19" s="53">
        <v>0</v>
      </c>
      <c r="AS19" s="53"/>
      <c r="AT19" s="45">
        <f t="shared" si="4"/>
        <v>-361158</v>
      </c>
      <c r="AU19" s="45"/>
      <c r="AV19" s="53">
        <v>0</v>
      </c>
      <c r="AW19" s="53"/>
      <c r="AX19" s="53">
        <v>0</v>
      </c>
      <c r="AY19" s="53"/>
      <c r="AZ19" s="53">
        <f t="shared" si="6"/>
        <v>2861777</v>
      </c>
      <c r="BA19" s="51"/>
      <c r="BB19" s="35" t="s">
        <v>23</v>
      </c>
      <c r="BD19" s="35" t="s">
        <v>17</v>
      </c>
      <c r="BE19" s="53"/>
      <c r="BF19" s="53">
        <f>31500+59274</f>
        <v>90774</v>
      </c>
      <c r="BG19" s="53"/>
      <c r="BH19" s="53">
        <v>0</v>
      </c>
      <c r="BI19" s="53"/>
      <c r="BJ19" s="53">
        <v>0</v>
      </c>
      <c r="BK19" s="53"/>
      <c r="BL19" s="53">
        <f>5433+121485+60485+953332</f>
        <v>1140735</v>
      </c>
      <c r="BM19" s="53"/>
      <c r="BN19" s="53">
        <f t="shared" si="5"/>
        <v>1231509</v>
      </c>
      <c r="BO19" s="54"/>
      <c r="BS19" s="55"/>
      <c r="BT19" s="55"/>
      <c r="BU19" s="84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</row>
    <row r="20" spans="1:95" s="35" customFormat="1" ht="12.75" customHeight="1">
      <c r="A20" s="35" t="s">
        <v>24</v>
      </c>
      <c r="B20" s="51"/>
      <c r="C20" s="35" t="s">
        <v>17</v>
      </c>
      <c r="D20" s="44"/>
      <c r="E20" s="53">
        <f t="shared" si="0"/>
        <v>10308237</v>
      </c>
      <c r="F20" s="53"/>
      <c r="G20" s="53">
        <f>2326262+671708+35971618</f>
        <v>38969588</v>
      </c>
      <c r="H20" s="53"/>
      <c r="I20" s="53">
        <v>49277825</v>
      </c>
      <c r="J20" s="53"/>
      <c r="K20" s="53">
        <f t="shared" si="1"/>
        <v>2172791</v>
      </c>
      <c r="L20" s="53"/>
      <c r="M20" s="53">
        <v>19847941</v>
      </c>
      <c r="N20" s="53"/>
      <c r="O20" s="53">
        <v>22020732</v>
      </c>
      <c r="P20" s="53"/>
      <c r="Q20" s="53">
        <v>15216264</v>
      </c>
      <c r="R20" s="53"/>
      <c r="S20" s="53">
        <v>1305570</v>
      </c>
      <c r="T20" s="53"/>
      <c r="U20" s="53">
        <v>10735259</v>
      </c>
      <c r="V20" s="53"/>
      <c r="W20" s="53">
        <f t="shared" si="2"/>
        <v>27257093</v>
      </c>
      <c r="X20" s="51"/>
      <c r="Y20" s="51"/>
      <c r="Z20" s="35" t="s">
        <v>24</v>
      </c>
      <c r="AA20" s="53"/>
      <c r="AB20" s="35" t="s">
        <v>17</v>
      </c>
      <c r="AC20" s="51"/>
      <c r="AD20" s="53">
        <v>8820436</v>
      </c>
      <c r="AE20" s="53"/>
      <c r="AF20" s="53">
        <f>6071612-1099636</f>
        <v>4971976</v>
      </c>
      <c r="AG20" s="53"/>
      <c r="AH20" s="53">
        <v>1099636</v>
      </c>
      <c r="AI20" s="53"/>
      <c r="AJ20" s="45">
        <f t="shared" si="7"/>
        <v>2748824</v>
      </c>
      <c r="AK20" s="45"/>
      <c r="AL20" s="53">
        <v>-986702</v>
      </c>
      <c r="AM20" s="45"/>
      <c r="AN20" s="53">
        <v>11500</v>
      </c>
      <c r="AO20" s="53"/>
      <c r="AP20" s="53">
        <v>587690</v>
      </c>
      <c r="AQ20" s="53"/>
      <c r="AR20" s="53">
        <v>0</v>
      </c>
      <c r="AS20" s="53"/>
      <c r="AT20" s="45">
        <f t="shared" si="4"/>
        <v>1185932</v>
      </c>
      <c r="AU20" s="45"/>
      <c r="AV20" s="53">
        <v>0</v>
      </c>
      <c r="AW20" s="53"/>
      <c r="AX20" s="53">
        <v>0</v>
      </c>
      <c r="AY20" s="53"/>
      <c r="AZ20" s="53">
        <f t="shared" si="6"/>
        <v>8135446</v>
      </c>
      <c r="BA20" s="51"/>
      <c r="BB20" s="35" t="s">
        <v>24</v>
      </c>
      <c r="BD20" s="35" t="s">
        <v>17</v>
      </c>
      <c r="BE20" s="53"/>
      <c r="BF20" s="53">
        <f>241996+2566719</f>
        <v>2808715</v>
      </c>
      <c r="BG20" s="53"/>
      <c r="BH20" s="53">
        <f>855000+9340000</f>
        <v>10195000</v>
      </c>
      <c r="BI20" s="53"/>
      <c r="BJ20" s="53">
        <f>679345+7744002</f>
        <v>8423347</v>
      </c>
      <c r="BK20" s="53"/>
      <c r="BL20" s="53">
        <f>61301+197220</f>
        <v>258521</v>
      </c>
      <c r="BM20" s="53"/>
      <c r="BN20" s="53">
        <f t="shared" si="5"/>
        <v>21685583</v>
      </c>
      <c r="BO20" s="54"/>
      <c r="BS20" s="55"/>
      <c r="BT20" s="55"/>
      <c r="BU20" s="84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</row>
    <row r="21" spans="1:95" s="35" customFormat="1" ht="12.75" customHeight="1">
      <c r="A21" s="35" t="s">
        <v>25</v>
      </c>
      <c r="C21" s="35" t="s">
        <v>13</v>
      </c>
      <c r="D21" s="44"/>
      <c r="E21" s="53">
        <f t="shared" si="0"/>
        <v>5508460</v>
      </c>
      <c r="F21" s="53"/>
      <c r="G21" s="53">
        <v>17708400</v>
      </c>
      <c r="H21" s="53"/>
      <c r="I21" s="53">
        <v>23216860</v>
      </c>
      <c r="J21" s="53"/>
      <c r="K21" s="53">
        <f t="shared" si="1"/>
        <v>1203139</v>
      </c>
      <c r="L21" s="53"/>
      <c r="M21" s="53">
        <v>10203478</v>
      </c>
      <c r="N21" s="53"/>
      <c r="O21" s="53">
        <v>11406617</v>
      </c>
      <c r="P21" s="53"/>
      <c r="Q21" s="53">
        <v>6664674</v>
      </c>
      <c r="R21" s="53"/>
      <c r="S21" s="53">
        <v>0</v>
      </c>
      <c r="T21" s="53"/>
      <c r="U21" s="53">
        <v>5145569</v>
      </c>
      <c r="V21" s="53"/>
      <c r="W21" s="53">
        <f t="shared" si="2"/>
        <v>11810243</v>
      </c>
      <c r="X21" s="51"/>
      <c r="Y21" s="51"/>
      <c r="Z21" s="35" t="s">
        <v>25</v>
      </c>
      <c r="AA21" s="53"/>
      <c r="AB21" s="35" t="s">
        <v>13</v>
      </c>
      <c r="AD21" s="53">
        <v>4595933</v>
      </c>
      <c r="AE21" s="53"/>
      <c r="AF21" s="53">
        <f>3741894-529633</f>
        <v>3212261</v>
      </c>
      <c r="AG21" s="53"/>
      <c r="AH21" s="53">
        <v>529633</v>
      </c>
      <c r="AI21" s="53"/>
      <c r="AJ21" s="45">
        <f t="shared" si="7"/>
        <v>854039</v>
      </c>
      <c r="AK21" s="45"/>
      <c r="AL21" s="53">
        <v>-464351</v>
      </c>
      <c r="AM21" s="45"/>
      <c r="AN21" s="53">
        <v>0</v>
      </c>
      <c r="AO21" s="53"/>
      <c r="AP21" s="53">
        <v>0</v>
      </c>
      <c r="AQ21" s="53"/>
      <c r="AR21" s="53">
        <v>0</v>
      </c>
      <c r="AS21" s="53"/>
      <c r="AT21" s="45">
        <f t="shared" si="4"/>
        <v>389688</v>
      </c>
      <c r="AU21" s="45"/>
      <c r="AV21" s="53">
        <v>0</v>
      </c>
      <c r="AW21" s="53"/>
      <c r="AX21" s="53">
        <v>0</v>
      </c>
      <c r="AY21" s="53"/>
      <c r="AZ21" s="53">
        <f t="shared" si="6"/>
        <v>4305321</v>
      </c>
      <c r="BA21" s="51"/>
      <c r="BB21" s="35" t="s">
        <v>25</v>
      </c>
      <c r="BD21" s="35" t="s">
        <v>13</v>
      </c>
      <c r="BE21" s="53"/>
      <c r="BF21" s="53">
        <f>421644+1888762</f>
        <v>2310406</v>
      </c>
      <c r="BG21" s="53"/>
      <c r="BH21" s="53">
        <f>335000+7992677</f>
        <v>8327677</v>
      </c>
      <c r="BI21" s="53"/>
      <c r="BJ21" s="53">
        <f>36000+78000</f>
        <v>114000</v>
      </c>
      <c r="BK21" s="53"/>
      <c r="BL21" s="53">
        <f>3200+54080+3341+240698</f>
        <v>301319</v>
      </c>
      <c r="BM21" s="53"/>
      <c r="BN21" s="53">
        <f>SUM(BF21:BL21)</f>
        <v>11053402</v>
      </c>
      <c r="BO21" s="54"/>
      <c r="BS21" s="55"/>
      <c r="BT21" s="55"/>
      <c r="BU21" s="84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</row>
    <row r="22" spans="1:95" s="126" customFormat="1" ht="12.75" hidden="1" customHeight="1">
      <c r="A22" s="126" t="s">
        <v>26</v>
      </c>
      <c r="B22" s="124"/>
      <c r="C22" s="126" t="s">
        <v>27</v>
      </c>
      <c r="D22" s="121"/>
      <c r="E22" s="53">
        <f t="shared" si="0"/>
        <v>0</v>
      </c>
      <c r="F22" s="137"/>
      <c r="G22" s="53">
        <v>0</v>
      </c>
      <c r="H22" s="53"/>
      <c r="I22" s="53">
        <v>0</v>
      </c>
      <c r="J22" s="137"/>
      <c r="K22" s="137">
        <f t="shared" si="1"/>
        <v>0</v>
      </c>
      <c r="L22" s="137"/>
      <c r="M22" s="53">
        <v>0</v>
      </c>
      <c r="N22" s="53"/>
      <c r="O22" s="53">
        <v>0</v>
      </c>
      <c r="P22" s="53"/>
      <c r="Q22" s="53">
        <v>0</v>
      </c>
      <c r="R22" s="53"/>
      <c r="S22" s="53">
        <v>0</v>
      </c>
      <c r="T22" s="53"/>
      <c r="U22" s="53">
        <v>0</v>
      </c>
      <c r="V22" s="137"/>
      <c r="W22" s="137">
        <f t="shared" si="2"/>
        <v>0</v>
      </c>
      <c r="X22" s="124"/>
      <c r="Y22" s="124"/>
      <c r="Z22" s="126" t="s">
        <v>26</v>
      </c>
      <c r="AA22" s="137"/>
      <c r="AB22" s="126" t="s">
        <v>27</v>
      </c>
      <c r="AC22" s="124"/>
      <c r="AD22" s="53">
        <v>0</v>
      </c>
      <c r="AE22" s="53"/>
      <c r="AF22" s="53">
        <v>0</v>
      </c>
      <c r="AG22" s="53"/>
      <c r="AH22" s="53">
        <v>0</v>
      </c>
      <c r="AI22" s="53"/>
      <c r="AJ22" s="45">
        <f t="shared" si="7"/>
        <v>0</v>
      </c>
      <c r="AK22" s="45"/>
      <c r="AL22" s="53">
        <v>0</v>
      </c>
      <c r="AM22" s="45"/>
      <c r="AN22" s="53">
        <v>0</v>
      </c>
      <c r="AO22" s="53"/>
      <c r="AP22" s="53">
        <v>0</v>
      </c>
      <c r="AQ22" s="53"/>
      <c r="AR22" s="53">
        <v>0</v>
      </c>
      <c r="AS22" s="137"/>
      <c r="AT22" s="127">
        <f t="shared" si="4"/>
        <v>0</v>
      </c>
      <c r="AU22" s="127"/>
      <c r="AV22" s="137">
        <v>0</v>
      </c>
      <c r="AW22" s="137"/>
      <c r="AX22" s="137">
        <v>0</v>
      </c>
      <c r="AY22" s="137"/>
      <c r="AZ22" s="137">
        <f t="shared" si="6"/>
        <v>0</v>
      </c>
      <c r="BA22" s="124"/>
      <c r="BB22" s="126" t="s">
        <v>26</v>
      </c>
      <c r="BD22" s="126" t="s">
        <v>27</v>
      </c>
      <c r="BE22" s="137"/>
      <c r="BF22" s="53">
        <v>0</v>
      </c>
      <c r="BG22" s="53"/>
      <c r="BH22" s="53">
        <v>0</v>
      </c>
      <c r="BI22" s="53"/>
      <c r="BJ22" s="53">
        <v>0</v>
      </c>
      <c r="BK22" s="53"/>
      <c r="BL22" s="53">
        <v>0</v>
      </c>
      <c r="BM22" s="137"/>
      <c r="BN22" s="137">
        <f t="shared" si="5"/>
        <v>0</v>
      </c>
      <c r="BO22" s="139"/>
      <c r="BS22" s="140"/>
      <c r="BT22" s="140"/>
      <c r="BU22" s="141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</row>
    <row r="23" spans="1:95" s="126" customFormat="1" ht="12.75" hidden="1" customHeight="1">
      <c r="A23" s="126" t="s">
        <v>28</v>
      </c>
      <c r="B23" s="124"/>
      <c r="C23" s="126" t="s">
        <v>27</v>
      </c>
      <c r="D23" s="121"/>
      <c r="E23" s="53">
        <f t="shared" si="0"/>
        <v>0</v>
      </c>
      <c r="F23" s="137"/>
      <c r="G23" s="53">
        <v>0</v>
      </c>
      <c r="H23" s="53"/>
      <c r="I23" s="53">
        <v>0</v>
      </c>
      <c r="J23" s="137"/>
      <c r="K23" s="137">
        <f t="shared" si="1"/>
        <v>0</v>
      </c>
      <c r="L23" s="137"/>
      <c r="M23" s="53">
        <v>0</v>
      </c>
      <c r="N23" s="53"/>
      <c r="O23" s="53">
        <v>0</v>
      </c>
      <c r="P23" s="53"/>
      <c r="Q23" s="53">
        <v>0</v>
      </c>
      <c r="R23" s="53"/>
      <c r="S23" s="53">
        <v>0</v>
      </c>
      <c r="T23" s="53"/>
      <c r="U23" s="53">
        <v>0</v>
      </c>
      <c r="V23" s="137"/>
      <c r="W23" s="137">
        <f t="shared" si="2"/>
        <v>0</v>
      </c>
      <c r="X23" s="124"/>
      <c r="Y23" s="124"/>
      <c r="Z23" s="126" t="s">
        <v>28</v>
      </c>
      <c r="AA23" s="137"/>
      <c r="AB23" s="126" t="s">
        <v>27</v>
      </c>
      <c r="AC23" s="124"/>
      <c r="AD23" s="53">
        <v>0</v>
      </c>
      <c r="AE23" s="53"/>
      <c r="AF23" s="53">
        <v>0</v>
      </c>
      <c r="AG23" s="53"/>
      <c r="AH23" s="53">
        <v>0</v>
      </c>
      <c r="AI23" s="53"/>
      <c r="AJ23" s="45">
        <f t="shared" si="7"/>
        <v>0</v>
      </c>
      <c r="AK23" s="45"/>
      <c r="AL23" s="53">
        <v>0</v>
      </c>
      <c r="AM23" s="45"/>
      <c r="AN23" s="53">
        <v>0</v>
      </c>
      <c r="AO23" s="53"/>
      <c r="AP23" s="53">
        <v>0</v>
      </c>
      <c r="AQ23" s="53"/>
      <c r="AR23" s="53">
        <v>0</v>
      </c>
      <c r="AS23" s="137"/>
      <c r="AT23" s="127">
        <f t="shared" si="4"/>
        <v>0</v>
      </c>
      <c r="AU23" s="127"/>
      <c r="AV23" s="137">
        <v>0</v>
      </c>
      <c r="AW23" s="137"/>
      <c r="AX23" s="137">
        <v>0</v>
      </c>
      <c r="AY23" s="137"/>
      <c r="AZ23" s="137">
        <f t="shared" si="6"/>
        <v>0</v>
      </c>
      <c r="BA23" s="124"/>
      <c r="BB23" s="126" t="s">
        <v>28</v>
      </c>
      <c r="BD23" s="126" t="s">
        <v>27</v>
      </c>
      <c r="BE23" s="137"/>
      <c r="BF23" s="53">
        <v>0</v>
      </c>
      <c r="BG23" s="53"/>
      <c r="BH23" s="53">
        <v>0</v>
      </c>
      <c r="BI23" s="53"/>
      <c r="BJ23" s="53">
        <v>0</v>
      </c>
      <c r="BK23" s="53"/>
      <c r="BL23" s="53">
        <v>0</v>
      </c>
      <c r="BM23" s="137"/>
      <c r="BN23" s="137">
        <f t="shared" si="5"/>
        <v>0</v>
      </c>
      <c r="BO23" s="139"/>
      <c r="BS23" s="140"/>
      <c r="BT23" s="140"/>
      <c r="BU23" s="141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</row>
    <row r="24" spans="1:95" s="126" customFormat="1" ht="12.75" hidden="1" customHeight="1">
      <c r="A24" s="126" t="s">
        <v>29</v>
      </c>
      <c r="B24" s="124"/>
      <c r="C24" s="126" t="s">
        <v>30</v>
      </c>
      <c r="D24" s="121"/>
      <c r="E24" s="53">
        <f t="shared" si="0"/>
        <v>0</v>
      </c>
      <c r="F24" s="137"/>
      <c r="G24" s="53">
        <v>0</v>
      </c>
      <c r="H24" s="53"/>
      <c r="I24" s="53">
        <v>0</v>
      </c>
      <c r="J24" s="137"/>
      <c r="K24" s="137">
        <f t="shared" si="1"/>
        <v>0</v>
      </c>
      <c r="L24" s="137"/>
      <c r="M24" s="53">
        <v>0</v>
      </c>
      <c r="N24" s="53"/>
      <c r="O24" s="53">
        <v>0</v>
      </c>
      <c r="P24" s="53"/>
      <c r="Q24" s="53">
        <v>0</v>
      </c>
      <c r="R24" s="53"/>
      <c r="S24" s="53">
        <v>0</v>
      </c>
      <c r="T24" s="53"/>
      <c r="U24" s="53">
        <v>0</v>
      </c>
      <c r="V24" s="137"/>
      <c r="W24" s="137">
        <f t="shared" si="2"/>
        <v>0</v>
      </c>
      <c r="X24" s="124"/>
      <c r="Y24" s="124"/>
      <c r="Z24" s="126" t="s">
        <v>29</v>
      </c>
      <c r="AA24" s="137"/>
      <c r="AB24" s="126" t="s">
        <v>30</v>
      </c>
      <c r="AC24" s="124"/>
      <c r="AD24" s="53">
        <v>0</v>
      </c>
      <c r="AE24" s="53"/>
      <c r="AF24" s="53">
        <v>0</v>
      </c>
      <c r="AG24" s="53"/>
      <c r="AH24" s="53">
        <v>0</v>
      </c>
      <c r="AI24" s="53"/>
      <c r="AJ24" s="45">
        <f t="shared" si="7"/>
        <v>0</v>
      </c>
      <c r="AK24" s="45"/>
      <c r="AL24" s="53">
        <v>0</v>
      </c>
      <c r="AM24" s="45"/>
      <c r="AN24" s="53">
        <v>0</v>
      </c>
      <c r="AO24" s="53"/>
      <c r="AP24" s="53">
        <v>0</v>
      </c>
      <c r="AQ24" s="53"/>
      <c r="AR24" s="53">
        <v>0</v>
      </c>
      <c r="AS24" s="137"/>
      <c r="AT24" s="127">
        <f t="shared" si="4"/>
        <v>0</v>
      </c>
      <c r="AU24" s="127"/>
      <c r="AV24" s="137">
        <v>0</v>
      </c>
      <c r="AW24" s="137"/>
      <c r="AX24" s="137">
        <v>0</v>
      </c>
      <c r="AY24" s="137"/>
      <c r="AZ24" s="137">
        <f t="shared" si="6"/>
        <v>0</v>
      </c>
      <c r="BA24" s="124"/>
      <c r="BB24" s="126" t="s">
        <v>29</v>
      </c>
      <c r="BD24" s="126" t="s">
        <v>30</v>
      </c>
      <c r="BE24" s="137"/>
      <c r="BF24" s="53">
        <v>0</v>
      </c>
      <c r="BG24" s="53"/>
      <c r="BH24" s="53">
        <v>0</v>
      </c>
      <c r="BI24" s="53"/>
      <c r="BJ24" s="53">
        <v>0</v>
      </c>
      <c r="BK24" s="53"/>
      <c r="BL24" s="53">
        <v>0</v>
      </c>
      <c r="BM24" s="137"/>
      <c r="BN24" s="137">
        <f t="shared" si="5"/>
        <v>0</v>
      </c>
      <c r="BO24" s="139"/>
      <c r="BS24" s="140"/>
      <c r="BT24" s="140"/>
      <c r="BU24" s="141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</row>
    <row r="25" spans="1:95" s="35" customFormat="1" ht="12.75" customHeight="1">
      <c r="A25" s="35" t="s">
        <v>31</v>
      </c>
      <c r="B25" s="51"/>
      <c r="C25" s="35" t="s">
        <v>27</v>
      </c>
      <c r="D25" s="44"/>
      <c r="E25" s="53">
        <f t="shared" si="0"/>
        <v>2910056</v>
      </c>
      <c r="F25" s="53"/>
      <c r="G25" s="53">
        <v>4080089</v>
      </c>
      <c r="H25" s="53"/>
      <c r="I25" s="53">
        <v>6990145</v>
      </c>
      <c r="J25" s="53"/>
      <c r="K25" s="53">
        <f t="shared" si="1"/>
        <v>581598</v>
      </c>
      <c r="L25" s="53"/>
      <c r="M25" s="53">
        <v>1592848</v>
      </c>
      <c r="N25" s="53"/>
      <c r="O25" s="53">
        <v>2174446</v>
      </c>
      <c r="P25" s="53"/>
      <c r="Q25" s="53">
        <v>2318966</v>
      </c>
      <c r="R25" s="53"/>
      <c r="S25" s="53">
        <v>0</v>
      </c>
      <c r="T25" s="53"/>
      <c r="U25" s="53">
        <v>2496733</v>
      </c>
      <c r="V25" s="53"/>
      <c r="W25" s="53">
        <f t="shared" si="2"/>
        <v>4815699</v>
      </c>
      <c r="Z25" s="35" t="s">
        <v>31</v>
      </c>
      <c r="AA25" s="53"/>
      <c r="AB25" s="35" t="s">
        <v>27</v>
      </c>
      <c r="AC25" s="51"/>
      <c r="AD25" s="53">
        <v>4066016</v>
      </c>
      <c r="AE25" s="53"/>
      <c r="AF25" s="53">
        <f>3769784-82363</f>
        <v>3687421</v>
      </c>
      <c r="AG25" s="53"/>
      <c r="AH25" s="53">
        <v>82363</v>
      </c>
      <c r="AI25" s="53"/>
      <c r="AJ25" s="45">
        <f t="shared" si="7"/>
        <v>296232</v>
      </c>
      <c r="AK25" s="45"/>
      <c r="AL25" s="53">
        <v>-26534</v>
      </c>
      <c r="AM25" s="45"/>
      <c r="AN25" s="53">
        <v>0</v>
      </c>
      <c r="AO25" s="53"/>
      <c r="AP25" s="53">
        <v>0</v>
      </c>
      <c r="AQ25" s="53"/>
      <c r="AR25" s="53">
        <v>0</v>
      </c>
      <c r="AS25" s="53"/>
      <c r="AT25" s="45">
        <f t="shared" si="4"/>
        <v>269698</v>
      </c>
      <c r="AU25" s="45"/>
      <c r="AV25" s="53">
        <v>0</v>
      </c>
      <c r="AW25" s="53"/>
      <c r="AX25" s="53">
        <v>0</v>
      </c>
      <c r="AY25" s="53"/>
      <c r="AZ25" s="53">
        <f t="shared" si="6"/>
        <v>2328458</v>
      </c>
      <c r="BA25" s="51"/>
      <c r="BB25" s="35" t="s">
        <v>31</v>
      </c>
      <c r="BD25" s="35" t="s">
        <v>27</v>
      </c>
      <c r="BE25" s="53"/>
      <c r="BF25" s="53">
        <f>203800+1171098</f>
        <v>1374898</v>
      </c>
      <c r="BG25" s="53"/>
      <c r="BH25" s="53">
        <v>0</v>
      </c>
      <c r="BI25" s="53"/>
      <c r="BJ25" s="53">
        <f>20000+370000</f>
        <v>390000</v>
      </c>
      <c r="BK25" s="53"/>
      <c r="BL25" s="53">
        <f>3902+51750</f>
        <v>55652</v>
      </c>
      <c r="BM25" s="53"/>
      <c r="BN25" s="53">
        <f t="shared" si="5"/>
        <v>1820550</v>
      </c>
      <c r="BO25" s="54"/>
      <c r="BS25" s="55"/>
      <c r="BT25" s="55"/>
      <c r="BU25" s="84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</row>
    <row r="26" spans="1:95" s="126" customFormat="1" ht="12.75" hidden="1" customHeight="1">
      <c r="A26" s="126" t="s">
        <v>32</v>
      </c>
      <c r="B26" s="124"/>
      <c r="C26" s="126" t="s">
        <v>27</v>
      </c>
      <c r="D26" s="121"/>
      <c r="E26" s="53">
        <f t="shared" si="0"/>
        <v>0</v>
      </c>
      <c r="F26" s="137"/>
      <c r="G26" s="53">
        <v>0</v>
      </c>
      <c r="H26" s="53"/>
      <c r="I26" s="53">
        <v>0</v>
      </c>
      <c r="J26" s="137"/>
      <c r="K26" s="137">
        <f t="shared" si="1"/>
        <v>0</v>
      </c>
      <c r="L26" s="137"/>
      <c r="M26" s="53">
        <v>0</v>
      </c>
      <c r="N26" s="53"/>
      <c r="O26" s="53">
        <v>0</v>
      </c>
      <c r="P26" s="53"/>
      <c r="Q26" s="53">
        <v>0</v>
      </c>
      <c r="R26" s="53"/>
      <c r="S26" s="53">
        <v>0</v>
      </c>
      <c r="T26" s="53"/>
      <c r="U26" s="53">
        <v>0</v>
      </c>
      <c r="V26" s="137"/>
      <c r="W26" s="137">
        <f t="shared" si="2"/>
        <v>0</v>
      </c>
      <c r="X26" s="124"/>
      <c r="Y26" s="124"/>
      <c r="Z26" s="126" t="s">
        <v>32</v>
      </c>
      <c r="AA26" s="137"/>
      <c r="AB26" s="126" t="s">
        <v>27</v>
      </c>
      <c r="AC26" s="124"/>
      <c r="AD26" s="53">
        <v>0</v>
      </c>
      <c r="AE26" s="53"/>
      <c r="AF26" s="53">
        <v>0</v>
      </c>
      <c r="AG26" s="53"/>
      <c r="AH26" s="53">
        <v>0</v>
      </c>
      <c r="AI26" s="53"/>
      <c r="AJ26" s="45">
        <f t="shared" si="7"/>
        <v>0</v>
      </c>
      <c r="AK26" s="45"/>
      <c r="AL26" s="53">
        <v>0</v>
      </c>
      <c r="AM26" s="45"/>
      <c r="AN26" s="53">
        <v>0</v>
      </c>
      <c r="AO26" s="53"/>
      <c r="AP26" s="53">
        <v>0</v>
      </c>
      <c r="AQ26" s="53"/>
      <c r="AR26" s="53">
        <v>0</v>
      </c>
      <c r="AS26" s="137"/>
      <c r="AT26" s="127">
        <f t="shared" si="4"/>
        <v>0</v>
      </c>
      <c r="AU26" s="127"/>
      <c r="AV26" s="137">
        <v>0</v>
      </c>
      <c r="AW26" s="137"/>
      <c r="AX26" s="137">
        <v>0</v>
      </c>
      <c r="AY26" s="137"/>
      <c r="AZ26" s="137">
        <f t="shared" si="6"/>
        <v>0</v>
      </c>
      <c r="BA26" s="124"/>
      <c r="BB26" s="126" t="s">
        <v>32</v>
      </c>
      <c r="BD26" s="126" t="s">
        <v>27</v>
      </c>
      <c r="BE26" s="137"/>
      <c r="BF26" s="53">
        <v>0</v>
      </c>
      <c r="BG26" s="53"/>
      <c r="BH26" s="53">
        <v>0</v>
      </c>
      <c r="BI26" s="53"/>
      <c r="BJ26" s="53">
        <v>0</v>
      </c>
      <c r="BK26" s="53"/>
      <c r="BL26" s="53">
        <v>0</v>
      </c>
      <c r="BM26" s="137"/>
      <c r="BN26" s="137">
        <f t="shared" si="5"/>
        <v>0</v>
      </c>
      <c r="BO26" s="139"/>
      <c r="BS26" s="140"/>
      <c r="BT26" s="140"/>
      <c r="BU26" s="141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</row>
    <row r="27" spans="1:95" s="35" customFormat="1" ht="12.75" customHeight="1">
      <c r="A27" s="35" t="s">
        <v>34</v>
      </c>
      <c r="B27" s="51"/>
      <c r="C27" s="35" t="s">
        <v>30</v>
      </c>
      <c r="D27" s="44"/>
      <c r="E27" s="53">
        <v>1367406</v>
      </c>
      <c r="F27" s="53"/>
      <c r="G27" s="53">
        <v>10998349</v>
      </c>
      <c r="H27" s="53"/>
      <c r="I27" s="53">
        <v>12365755</v>
      </c>
      <c r="J27" s="53"/>
      <c r="K27" s="53">
        <v>173445</v>
      </c>
      <c r="L27" s="53"/>
      <c r="M27" s="53">
        <v>926877</v>
      </c>
      <c r="N27" s="53"/>
      <c r="O27" s="53">
        <v>1100322</v>
      </c>
      <c r="P27" s="53"/>
      <c r="Q27" s="53">
        <v>10033849</v>
      </c>
      <c r="R27" s="53"/>
      <c r="S27" s="53">
        <v>0</v>
      </c>
      <c r="T27" s="53"/>
      <c r="U27" s="53">
        <v>1231584</v>
      </c>
      <c r="V27" s="53"/>
      <c r="W27" s="53">
        <f t="shared" ref="W27:W55" si="8">SUM(Q27:U27)</f>
        <v>11265433</v>
      </c>
      <c r="X27" s="51"/>
      <c r="Y27" s="51"/>
      <c r="Z27" s="35" t="s">
        <v>34</v>
      </c>
      <c r="AA27" s="53"/>
      <c r="AB27" s="35" t="s">
        <v>30</v>
      </c>
      <c r="AD27" s="53">
        <v>1407514</v>
      </c>
      <c r="AE27" s="53"/>
      <c r="AF27" s="53">
        <f>1483077-265927</f>
        <v>1217150</v>
      </c>
      <c r="AG27" s="53"/>
      <c r="AH27" s="53">
        <v>265927</v>
      </c>
      <c r="AI27" s="53"/>
      <c r="AJ27" s="45">
        <f t="shared" si="7"/>
        <v>-75563</v>
      </c>
      <c r="AK27" s="45"/>
      <c r="AL27" s="53">
        <v>20440</v>
      </c>
      <c r="AM27" s="45"/>
      <c r="AN27" s="53">
        <v>0</v>
      </c>
      <c r="AO27" s="53"/>
      <c r="AP27" s="53">
        <v>0</v>
      </c>
      <c r="AQ27" s="53"/>
      <c r="AR27" s="53">
        <v>111060</v>
      </c>
      <c r="AS27" s="53"/>
      <c r="AT27" s="45">
        <f t="shared" si="4"/>
        <v>55937</v>
      </c>
      <c r="AU27" s="45"/>
      <c r="AV27" s="53">
        <v>0</v>
      </c>
      <c r="AW27" s="53"/>
      <c r="AX27" s="53">
        <v>0</v>
      </c>
      <c r="AY27" s="53"/>
      <c r="AZ27" s="53">
        <f t="shared" si="6"/>
        <v>1193961</v>
      </c>
      <c r="BA27" s="51"/>
      <c r="BB27" s="35" t="s">
        <v>34</v>
      </c>
      <c r="BD27" s="35" t="s">
        <v>30</v>
      </c>
      <c r="BE27" s="53"/>
      <c r="BF27" s="53">
        <v>0</v>
      </c>
      <c r="BG27" s="53"/>
      <c r="BH27" s="53">
        <f>50000+752000</f>
        <v>802000</v>
      </c>
      <c r="BI27" s="53"/>
      <c r="BJ27" s="53">
        <f>25000+137500</f>
        <v>162500</v>
      </c>
      <c r="BK27" s="53"/>
      <c r="BL27" s="53">
        <f>22582+37377</f>
        <v>59959</v>
      </c>
      <c r="BM27" s="53"/>
      <c r="BN27" s="53">
        <f t="shared" si="5"/>
        <v>1024459</v>
      </c>
      <c r="BO27" s="54"/>
      <c r="BS27" s="55"/>
      <c r="BT27" s="55"/>
      <c r="BU27" s="84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</row>
    <row r="28" spans="1:95" s="35" customFormat="1" ht="12.75" customHeight="1">
      <c r="A28" s="35" t="s">
        <v>35</v>
      </c>
      <c r="B28" s="51"/>
      <c r="C28" s="35" t="s">
        <v>36</v>
      </c>
      <c r="D28" s="44"/>
      <c r="E28" s="53">
        <v>923170</v>
      </c>
      <c r="F28" s="53"/>
      <c r="G28" s="53">
        <v>9685839</v>
      </c>
      <c r="H28" s="53"/>
      <c r="I28" s="53">
        <v>10609009</v>
      </c>
      <c r="J28" s="53"/>
      <c r="K28" s="53">
        <v>338108</v>
      </c>
      <c r="L28" s="53"/>
      <c r="M28" s="53">
        <v>1313459</v>
      </c>
      <c r="N28" s="53"/>
      <c r="O28" s="53">
        <v>1651567</v>
      </c>
      <c r="P28" s="53"/>
      <c r="Q28" s="53">
        <v>8152081</v>
      </c>
      <c r="R28" s="53"/>
      <c r="S28" s="53">
        <v>338534</v>
      </c>
      <c r="T28" s="53"/>
      <c r="U28" s="53">
        <v>466827</v>
      </c>
      <c r="V28" s="53"/>
      <c r="W28" s="53">
        <f t="shared" si="8"/>
        <v>8957442</v>
      </c>
      <c r="X28" s="51"/>
      <c r="Y28" s="51"/>
      <c r="Z28" s="35" t="s">
        <v>35</v>
      </c>
      <c r="AA28" s="53"/>
      <c r="AB28" s="35" t="s">
        <v>36</v>
      </c>
      <c r="AC28" s="51"/>
      <c r="AD28" s="53">
        <v>1717148</v>
      </c>
      <c r="AE28" s="53"/>
      <c r="AF28" s="53">
        <f>1543973-250001</f>
        <v>1293972</v>
      </c>
      <c r="AG28" s="53"/>
      <c r="AH28" s="53">
        <v>250001</v>
      </c>
      <c r="AI28" s="53"/>
      <c r="AJ28" s="45">
        <f t="shared" si="7"/>
        <v>173175</v>
      </c>
      <c r="AK28" s="45"/>
      <c r="AL28" s="53">
        <v>-83645</v>
      </c>
      <c r="AM28" s="45"/>
      <c r="AN28" s="53">
        <v>0</v>
      </c>
      <c r="AO28" s="53"/>
      <c r="AP28" s="53">
        <v>0</v>
      </c>
      <c r="AQ28" s="53"/>
      <c r="AR28" s="53">
        <v>0</v>
      </c>
      <c r="AS28" s="53"/>
      <c r="AT28" s="45">
        <f t="shared" si="4"/>
        <v>89530</v>
      </c>
      <c r="AU28" s="45"/>
      <c r="AV28" s="53">
        <v>0</v>
      </c>
      <c r="AW28" s="53"/>
      <c r="AX28" s="53">
        <v>0</v>
      </c>
      <c r="AY28" s="53"/>
      <c r="AZ28" s="53">
        <f t="shared" si="6"/>
        <v>585062</v>
      </c>
      <c r="BA28" s="51"/>
      <c r="BB28" s="35" t="s">
        <v>35</v>
      </c>
      <c r="BD28" s="35" t="s">
        <v>36</v>
      </c>
      <c r="BE28" s="53"/>
      <c r="BF28" s="53">
        <f>205000+1190000</f>
        <v>1395000</v>
      </c>
      <c r="BG28" s="53"/>
      <c r="BH28" s="53">
        <v>0</v>
      </c>
      <c r="BI28" s="53"/>
      <c r="BJ28" s="53">
        <f>712+10325</f>
        <v>11037</v>
      </c>
      <c r="BK28" s="53"/>
      <c r="BL28" s="53">
        <f>32784+113134</f>
        <v>145918</v>
      </c>
      <c r="BM28" s="53"/>
      <c r="BN28" s="53">
        <f t="shared" si="5"/>
        <v>1551955</v>
      </c>
      <c r="BO28" s="54"/>
      <c r="BS28" s="55"/>
      <c r="BT28" s="55"/>
      <c r="BU28" s="84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</row>
    <row r="29" spans="1:95" s="35" customFormat="1" ht="12.75" customHeight="1">
      <c r="A29" s="35" t="s">
        <v>37</v>
      </c>
      <c r="B29" s="51"/>
      <c r="C29" s="35" t="s">
        <v>38</v>
      </c>
      <c r="D29" s="44"/>
      <c r="E29" s="53">
        <f t="shared" si="0"/>
        <v>1064665</v>
      </c>
      <c r="F29" s="53"/>
      <c r="G29" s="53">
        <f>3474890+10056624</f>
        <v>13531514</v>
      </c>
      <c r="H29" s="53"/>
      <c r="I29" s="53">
        <v>14596179</v>
      </c>
      <c r="J29" s="53"/>
      <c r="K29" s="53">
        <f t="shared" si="1"/>
        <v>99174</v>
      </c>
      <c r="L29" s="53"/>
      <c r="M29" s="53">
        <v>92770</v>
      </c>
      <c r="N29" s="53"/>
      <c r="O29" s="53">
        <v>191944</v>
      </c>
      <c r="P29" s="53"/>
      <c r="Q29" s="53">
        <v>13531514</v>
      </c>
      <c r="R29" s="53"/>
      <c r="S29" s="53">
        <v>0</v>
      </c>
      <c r="T29" s="53"/>
      <c r="U29" s="53">
        <v>872721</v>
      </c>
      <c r="V29" s="53"/>
      <c r="W29" s="53">
        <f t="shared" si="8"/>
        <v>14404235</v>
      </c>
      <c r="X29" s="51"/>
      <c r="Y29" s="51"/>
      <c r="Z29" s="35" t="s">
        <v>37</v>
      </c>
      <c r="AA29" s="53"/>
      <c r="AB29" s="35" t="s">
        <v>38</v>
      </c>
      <c r="AC29" s="51"/>
      <c r="AD29" s="53">
        <v>2393089</v>
      </c>
      <c r="AE29" s="53"/>
      <c r="AF29" s="53">
        <f>2283653-438254</f>
        <v>1845399</v>
      </c>
      <c r="AG29" s="53"/>
      <c r="AH29" s="53">
        <v>438254</v>
      </c>
      <c r="AI29" s="53"/>
      <c r="AJ29" s="45">
        <f t="shared" si="7"/>
        <v>109436</v>
      </c>
      <c r="AK29" s="45"/>
      <c r="AL29" s="53">
        <v>411684</v>
      </c>
      <c r="AM29" s="45"/>
      <c r="AN29" s="53">
        <v>0</v>
      </c>
      <c r="AO29" s="53"/>
      <c r="AP29" s="53">
        <v>0</v>
      </c>
      <c r="AQ29" s="53"/>
      <c r="AR29" s="53">
        <v>0</v>
      </c>
      <c r="AS29" s="53"/>
      <c r="AT29" s="45">
        <f t="shared" si="4"/>
        <v>521120</v>
      </c>
      <c r="AU29" s="45"/>
      <c r="AV29" s="53">
        <v>0</v>
      </c>
      <c r="AW29" s="53"/>
      <c r="AX29" s="53">
        <v>0</v>
      </c>
      <c r="AY29" s="53"/>
      <c r="AZ29" s="53">
        <f t="shared" si="6"/>
        <v>965491</v>
      </c>
      <c r="BA29" s="51"/>
      <c r="BB29" s="35" t="s">
        <v>37</v>
      </c>
      <c r="BD29" s="35" t="s">
        <v>38</v>
      </c>
      <c r="BE29" s="53"/>
      <c r="BF29" s="53">
        <v>0</v>
      </c>
      <c r="BG29" s="53"/>
      <c r="BH29" s="53">
        <v>0</v>
      </c>
      <c r="BI29" s="53"/>
      <c r="BJ29" s="53">
        <v>0</v>
      </c>
      <c r="BK29" s="53"/>
      <c r="BL29" s="53">
        <f>35865+92770</f>
        <v>128635</v>
      </c>
      <c r="BM29" s="53"/>
      <c r="BN29" s="53">
        <f t="shared" si="5"/>
        <v>128635</v>
      </c>
      <c r="BO29" s="54"/>
      <c r="BS29" s="55"/>
      <c r="BT29" s="55"/>
      <c r="BU29" s="84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</row>
    <row r="30" spans="1:95" s="35" customFormat="1" ht="12.75" customHeight="1">
      <c r="A30" s="35" t="s">
        <v>39</v>
      </c>
      <c r="B30" s="51"/>
      <c r="C30" s="35" t="s">
        <v>40</v>
      </c>
      <c r="D30" s="44"/>
      <c r="E30" s="53">
        <f t="shared" si="0"/>
        <v>341122</v>
      </c>
      <c r="F30" s="53"/>
      <c r="G30" s="53">
        <v>6717169</v>
      </c>
      <c r="H30" s="53"/>
      <c r="I30" s="53">
        <v>7058291</v>
      </c>
      <c r="J30" s="53"/>
      <c r="K30" s="53">
        <f t="shared" si="1"/>
        <v>546388</v>
      </c>
      <c r="L30" s="53"/>
      <c r="M30" s="53">
        <v>2713828</v>
      </c>
      <c r="N30" s="53"/>
      <c r="O30" s="53">
        <v>3260216</v>
      </c>
      <c r="P30" s="53"/>
      <c r="Q30" s="53">
        <v>3667533</v>
      </c>
      <c r="R30" s="53"/>
      <c r="S30" s="53">
        <v>0</v>
      </c>
      <c r="T30" s="53"/>
      <c r="U30" s="53">
        <v>130542</v>
      </c>
      <c r="V30" s="53"/>
      <c r="W30" s="53">
        <f t="shared" si="8"/>
        <v>3798075</v>
      </c>
      <c r="X30" s="51"/>
      <c r="Y30" s="51"/>
      <c r="Z30" s="35" t="s">
        <v>39</v>
      </c>
      <c r="AA30" s="53"/>
      <c r="AB30" s="35" t="s">
        <v>40</v>
      </c>
      <c r="AC30" s="51"/>
      <c r="AD30" s="53">
        <v>833135</v>
      </c>
      <c r="AE30" s="53"/>
      <c r="AF30" s="53">
        <f>66098-153318</f>
        <v>-87220</v>
      </c>
      <c r="AG30" s="53"/>
      <c r="AH30" s="53">
        <v>153318</v>
      </c>
      <c r="AI30" s="53"/>
      <c r="AJ30" s="45">
        <f t="shared" si="7"/>
        <v>767037</v>
      </c>
      <c r="AK30" s="45"/>
      <c r="AL30" s="53">
        <v>-132453</v>
      </c>
      <c r="AM30" s="45"/>
      <c r="AN30" s="53">
        <v>100000</v>
      </c>
      <c r="AO30" s="53"/>
      <c r="AP30" s="53">
        <v>0</v>
      </c>
      <c r="AQ30" s="53"/>
      <c r="AR30" s="53">
        <v>8050</v>
      </c>
      <c r="AS30" s="53"/>
      <c r="AT30" s="45">
        <f t="shared" si="4"/>
        <v>742634</v>
      </c>
      <c r="AU30" s="45"/>
      <c r="AV30" s="53">
        <v>0</v>
      </c>
      <c r="AW30" s="53"/>
      <c r="AX30" s="53">
        <v>0</v>
      </c>
      <c r="AY30" s="53"/>
      <c r="AZ30" s="53">
        <f t="shared" si="6"/>
        <v>-205266</v>
      </c>
      <c r="BA30" s="51"/>
      <c r="BB30" s="35" t="s">
        <v>39</v>
      </c>
      <c r="BD30" s="35" t="s">
        <v>40</v>
      </c>
      <c r="BE30" s="53"/>
      <c r="BF30" s="53">
        <v>0</v>
      </c>
      <c r="BG30" s="53"/>
      <c r="BH30" s="53">
        <v>0</v>
      </c>
      <c r="BI30" s="53"/>
      <c r="BJ30" s="53">
        <f>48274+1921+358710+49904</f>
        <v>458809</v>
      </c>
      <c r="BK30" s="53"/>
      <c r="BL30" s="53">
        <f>289602+2301225+3989</f>
        <v>2594816</v>
      </c>
      <c r="BM30" s="53"/>
      <c r="BN30" s="53">
        <f t="shared" si="5"/>
        <v>3053625</v>
      </c>
      <c r="BO30" s="54"/>
      <c r="BS30" s="55"/>
      <c r="BT30" s="55"/>
      <c r="BU30" s="84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</row>
    <row r="31" spans="1:95" s="35" customFormat="1" ht="12.75" customHeight="1">
      <c r="A31" s="35" t="s">
        <v>41</v>
      </c>
      <c r="B31" s="51"/>
      <c r="C31" s="35" t="s">
        <v>27</v>
      </c>
      <c r="D31" s="44"/>
      <c r="E31" s="53">
        <f t="shared" si="0"/>
        <v>2671224</v>
      </c>
      <c r="F31" s="53"/>
      <c r="G31" s="53">
        <v>19715775</v>
      </c>
      <c r="H31" s="53"/>
      <c r="I31" s="53">
        <v>22386999</v>
      </c>
      <c r="J31" s="53"/>
      <c r="K31" s="53">
        <f t="shared" si="1"/>
        <v>1139204</v>
      </c>
      <c r="L31" s="53"/>
      <c r="M31" s="53">
        <v>5969012</v>
      </c>
      <c r="N31" s="53"/>
      <c r="O31" s="53">
        <v>7108216</v>
      </c>
      <c r="P31" s="53"/>
      <c r="Q31" s="53">
        <v>13389015</v>
      </c>
      <c r="R31" s="53"/>
      <c r="S31" s="53">
        <v>0</v>
      </c>
      <c r="T31" s="53"/>
      <c r="U31" s="53">
        <v>1889768</v>
      </c>
      <c r="V31" s="53"/>
      <c r="W31" s="53">
        <f t="shared" si="8"/>
        <v>15278783</v>
      </c>
      <c r="X31" s="51"/>
      <c r="Y31" s="51"/>
      <c r="Z31" s="35" t="s">
        <v>41</v>
      </c>
      <c r="AA31" s="53"/>
      <c r="AB31" s="35" t="s">
        <v>27</v>
      </c>
      <c r="AC31" s="51"/>
      <c r="AD31" s="53">
        <v>2548015</v>
      </c>
      <c r="AE31" s="53"/>
      <c r="AF31" s="53">
        <f>3317092-644123</f>
        <v>2672969</v>
      </c>
      <c r="AG31" s="53"/>
      <c r="AH31" s="53">
        <v>644123</v>
      </c>
      <c r="AI31" s="53"/>
      <c r="AJ31" s="45">
        <f t="shared" si="7"/>
        <v>-769077</v>
      </c>
      <c r="AK31" s="45"/>
      <c r="AL31" s="53">
        <v>541595</v>
      </c>
      <c r="AM31" s="45"/>
      <c r="AN31" s="53">
        <v>320000</v>
      </c>
      <c r="AO31" s="53"/>
      <c r="AP31" s="53">
        <v>0</v>
      </c>
      <c r="AQ31" s="53"/>
      <c r="AR31" s="53">
        <v>241494</v>
      </c>
      <c r="AS31" s="53"/>
      <c r="AT31" s="45">
        <f t="shared" si="4"/>
        <v>334012</v>
      </c>
      <c r="AU31" s="45"/>
      <c r="AV31" s="53">
        <v>0</v>
      </c>
      <c r="AW31" s="53"/>
      <c r="AX31" s="53">
        <v>0</v>
      </c>
      <c r="AY31" s="53"/>
      <c r="AZ31" s="53">
        <f t="shared" si="6"/>
        <v>1532020</v>
      </c>
      <c r="BA31" s="51"/>
      <c r="BB31" s="35" t="s">
        <v>41</v>
      </c>
      <c r="BD31" s="35" t="s">
        <v>27</v>
      </c>
      <c r="BE31" s="53"/>
      <c r="BF31" s="53">
        <v>0</v>
      </c>
      <c r="BG31" s="53"/>
      <c r="BH31" s="53">
        <v>0</v>
      </c>
      <c r="BI31" s="53"/>
      <c r="BJ31" s="53">
        <f>431245+5843855</f>
        <v>6275100</v>
      </c>
      <c r="BK31" s="53"/>
      <c r="BL31" s="53">
        <f>1585+25134+98631+26526</f>
        <v>151876</v>
      </c>
      <c r="BM31" s="53"/>
      <c r="BN31" s="53">
        <f t="shared" si="5"/>
        <v>6426976</v>
      </c>
      <c r="BO31" s="54"/>
      <c r="BS31" s="55"/>
      <c r="BT31" s="55"/>
      <c r="BU31" s="84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</row>
    <row r="32" spans="1:95" s="35" customFormat="1" ht="12.75" customHeight="1">
      <c r="A32" s="35" t="s">
        <v>42</v>
      </c>
      <c r="B32" s="51"/>
      <c r="C32" s="35" t="s">
        <v>43</v>
      </c>
      <c r="D32" s="44"/>
      <c r="E32" s="53">
        <f t="shared" si="0"/>
        <v>910429</v>
      </c>
      <c r="F32" s="53"/>
      <c r="G32" s="53">
        <v>2226261</v>
      </c>
      <c r="H32" s="53"/>
      <c r="I32" s="53">
        <v>3136690</v>
      </c>
      <c r="J32" s="53"/>
      <c r="K32" s="53">
        <f t="shared" si="1"/>
        <v>90718</v>
      </c>
      <c r="L32" s="53"/>
      <c r="M32" s="53">
        <v>669332</v>
      </c>
      <c r="N32" s="53"/>
      <c r="O32" s="53">
        <v>760050</v>
      </c>
      <c r="P32" s="53"/>
      <c r="Q32" s="53">
        <v>2141761</v>
      </c>
      <c r="R32" s="53"/>
      <c r="S32" s="53">
        <v>0</v>
      </c>
      <c r="T32" s="53"/>
      <c r="U32" s="53">
        <v>234879</v>
      </c>
      <c r="V32" s="53"/>
      <c r="W32" s="53">
        <f t="shared" si="8"/>
        <v>2376640</v>
      </c>
      <c r="X32" s="51"/>
      <c r="Y32" s="51"/>
      <c r="Z32" s="35" t="s">
        <v>42</v>
      </c>
      <c r="AA32" s="53"/>
      <c r="AB32" s="35" t="s">
        <v>43</v>
      </c>
      <c r="AC32" s="51"/>
      <c r="AD32" s="53">
        <v>1999254</v>
      </c>
      <c r="AE32" s="53"/>
      <c r="AF32" s="53">
        <f>1767711-86602</f>
        <v>1681109</v>
      </c>
      <c r="AG32" s="53"/>
      <c r="AH32" s="53">
        <v>86602</v>
      </c>
      <c r="AI32" s="53"/>
      <c r="AJ32" s="45">
        <f t="shared" si="7"/>
        <v>231543</v>
      </c>
      <c r="AK32" s="45"/>
      <c r="AL32" s="53">
        <v>-37214</v>
      </c>
      <c r="AM32" s="45"/>
      <c r="AN32" s="53">
        <v>0</v>
      </c>
      <c r="AO32" s="53"/>
      <c r="AP32" s="53">
        <v>70000</v>
      </c>
      <c r="AQ32" s="53"/>
      <c r="AR32" s="53">
        <v>60113</v>
      </c>
      <c r="AS32" s="53"/>
      <c r="AT32" s="45">
        <f t="shared" si="4"/>
        <v>184442</v>
      </c>
      <c r="AU32" s="45"/>
      <c r="AV32" s="53">
        <v>0</v>
      </c>
      <c r="AW32" s="53"/>
      <c r="AX32" s="53">
        <v>0</v>
      </c>
      <c r="AY32" s="53"/>
      <c r="AZ32" s="53">
        <f t="shared" si="6"/>
        <v>819711</v>
      </c>
      <c r="BA32" s="51"/>
      <c r="BB32" s="35" t="s">
        <v>42</v>
      </c>
      <c r="BD32" s="35" t="s">
        <v>43</v>
      </c>
      <c r="BE32" s="53"/>
      <c r="BF32" s="53">
        <f>53500+641000</f>
        <v>694500</v>
      </c>
      <c r="BG32" s="53"/>
      <c r="BH32" s="53">
        <v>0</v>
      </c>
      <c r="BI32" s="53"/>
      <c r="BJ32" s="53">
        <v>0</v>
      </c>
      <c r="BK32" s="53"/>
      <c r="BL32" s="53">
        <f>837+28332</f>
        <v>29169</v>
      </c>
      <c r="BM32" s="53"/>
      <c r="BN32" s="53">
        <f t="shared" si="5"/>
        <v>723669</v>
      </c>
      <c r="BO32" s="54"/>
      <c r="BS32" s="55"/>
      <c r="BT32" s="55"/>
      <c r="BU32" s="84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</row>
    <row r="33" spans="1:95" s="126" customFormat="1" ht="12.75" hidden="1" customHeight="1">
      <c r="A33" s="126" t="s">
        <v>44</v>
      </c>
      <c r="B33" s="124"/>
      <c r="C33" s="126" t="s">
        <v>45</v>
      </c>
      <c r="D33" s="121"/>
      <c r="E33" s="53">
        <f t="shared" si="0"/>
        <v>0</v>
      </c>
      <c r="F33" s="137"/>
      <c r="G33" s="53">
        <v>0</v>
      </c>
      <c r="H33" s="53"/>
      <c r="I33" s="53">
        <v>0</v>
      </c>
      <c r="J33" s="137"/>
      <c r="K33" s="137">
        <f t="shared" si="1"/>
        <v>0</v>
      </c>
      <c r="L33" s="137"/>
      <c r="M33" s="53">
        <v>0</v>
      </c>
      <c r="N33" s="53"/>
      <c r="O33" s="53">
        <v>0</v>
      </c>
      <c r="P33" s="53"/>
      <c r="Q33" s="53">
        <v>0</v>
      </c>
      <c r="R33" s="53"/>
      <c r="S33" s="53">
        <v>0</v>
      </c>
      <c r="T33" s="53"/>
      <c r="U33" s="53">
        <v>0</v>
      </c>
      <c r="V33" s="137"/>
      <c r="W33" s="137">
        <f t="shared" si="8"/>
        <v>0</v>
      </c>
      <c r="X33" s="124"/>
      <c r="Y33" s="124"/>
      <c r="Z33" s="126" t="s">
        <v>44</v>
      </c>
      <c r="AA33" s="137"/>
      <c r="AB33" s="126" t="s">
        <v>45</v>
      </c>
      <c r="AC33" s="124"/>
      <c r="AD33" s="53">
        <v>0</v>
      </c>
      <c r="AE33" s="53"/>
      <c r="AF33" s="53">
        <v>0</v>
      </c>
      <c r="AG33" s="53"/>
      <c r="AH33" s="53">
        <v>0</v>
      </c>
      <c r="AI33" s="53"/>
      <c r="AJ33" s="45">
        <f t="shared" si="7"/>
        <v>0</v>
      </c>
      <c r="AK33" s="45"/>
      <c r="AL33" s="53">
        <v>0</v>
      </c>
      <c r="AM33" s="45"/>
      <c r="AN33" s="53">
        <v>0</v>
      </c>
      <c r="AO33" s="53"/>
      <c r="AP33" s="53">
        <v>0</v>
      </c>
      <c r="AQ33" s="53"/>
      <c r="AR33" s="53">
        <v>0</v>
      </c>
      <c r="AS33" s="137"/>
      <c r="AT33" s="127">
        <f t="shared" si="4"/>
        <v>0</v>
      </c>
      <c r="AU33" s="127"/>
      <c r="AV33" s="137">
        <v>0</v>
      </c>
      <c r="AW33" s="137"/>
      <c r="AX33" s="137">
        <v>0</v>
      </c>
      <c r="AY33" s="137"/>
      <c r="AZ33" s="137">
        <f t="shared" si="6"/>
        <v>0</v>
      </c>
      <c r="BA33" s="124"/>
      <c r="BB33" s="126" t="s">
        <v>44</v>
      </c>
      <c r="BD33" s="126" t="s">
        <v>45</v>
      </c>
      <c r="BE33" s="137"/>
      <c r="BF33" s="53">
        <v>0</v>
      </c>
      <c r="BG33" s="53"/>
      <c r="BH33" s="53">
        <v>0</v>
      </c>
      <c r="BI33" s="53"/>
      <c r="BJ33" s="53">
        <v>0</v>
      </c>
      <c r="BK33" s="53"/>
      <c r="BL33" s="53">
        <v>0</v>
      </c>
      <c r="BM33" s="137"/>
      <c r="BN33" s="137">
        <f t="shared" si="5"/>
        <v>0</v>
      </c>
      <c r="BO33" s="139"/>
      <c r="BS33" s="140"/>
      <c r="BT33" s="140"/>
      <c r="BU33" s="141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</row>
    <row r="34" spans="1:95" s="35" customFormat="1" ht="12.75" customHeight="1">
      <c r="A34" s="35" t="s">
        <v>46</v>
      </c>
      <c r="B34" s="51"/>
      <c r="C34" s="35" t="s">
        <v>47</v>
      </c>
      <c r="D34" s="44"/>
      <c r="E34" s="53">
        <f t="shared" si="0"/>
        <v>4684040</v>
      </c>
      <c r="F34" s="53"/>
      <c r="G34" s="53">
        <v>34291276</v>
      </c>
      <c r="H34" s="53"/>
      <c r="I34" s="53">
        <v>38975316</v>
      </c>
      <c r="J34" s="53"/>
      <c r="K34" s="53">
        <f t="shared" si="1"/>
        <v>535236</v>
      </c>
      <c r="L34" s="53"/>
      <c r="M34" s="53">
        <v>1079178</v>
      </c>
      <c r="N34" s="53"/>
      <c r="O34" s="53">
        <v>1614414</v>
      </c>
      <c r="P34" s="53"/>
      <c r="Q34" s="53">
        <v>33263988</v>
      </c>
      <c r="R34" s="53"/>
      <c r="S34" s="53">
        <v>0</v>
      </c>
      <c r="T34" s="53"/>
      <c r="U34" s="53">
        <v>4096914</v>
      </c>
      <c r="V34" s="53"/>
      <c r="W34" s="53">
        <f t="shared" si="8"/>
        <v>37360902</v>
      </c>
      <c r="X34" s="51"/>
      <c r="Y34" s="51"/>
      <c r="Z34" s="35" t="s">
        <v>46</v>
      </c>
      <c r="AA34" s="53"/>
      <c r="AB34" s="35" t="s">
        <v>47</v>
      </c>
      <c r="AC34" s="51"/>
      <c r="AD34" s="53">
        <v>3381512</v>
      </c>
      <c r="AE34" s="53"/>
      <c r="AF34" s="53">
        <f>4503090-943100</f>
        <v>3559990</v>
      </c>
      <c r="AG34" s="53"/>
      <c r="AH34" s="53">
        <v>943100</v>
      </c>
      <c r="AI34" s="53"/>
      <c r="AJ34" s="45">
        <f t="shared" si="7"/>
        <v>-1121578</v>
      </c>
      <c r="AK34" s="45"/>
      <c r="AL34" s="53">
        <v>7109</v>
      </c>
      <c r="AM34" s="45"/>
      <c r="AN34" s="53">
        <v>0</v>
      </c>
      <c r="AO34" s="53"/>
      <c r="AP34" s="53">
        <v>0</v>
      </c>
      <c r="AQ34" s="53"/>
      <c r="AR34" s="53">
        <v>6039926</v>
      </c>
      <c r="AS34" s="53"/>
      <c r="AT34" s="45">
        <f t="shared" si="4"/>
        <v>4925457</v>
      </c>
      <c r="AU34" s="45"/>
      <c r="AV34" s="53">
        <v>0</v>
      </c>
      <c r="AW34" s="53"/>
      <c r="AX34" s="53">
        <v>0</v>
      </c>
      <c r="AY34" s="53"/>
      <c r="AZ34" s="53">
        <f t="shared" si="6"/>
        <v>4148804</v>
      </c>
      <c r="BA34" s="51"/>
      <c r="BB34" s="35" t="s">
        <v>46</v>
      </c>
      <c r="BD34" s="35" t="s">
        <v>47</v>
      </c>
      <c r="BE34" s="53"/>
      <c r="BF34" s="53">
        <f>50000+868831</f>
        <v>918831</v>
      </c>
      <c r="BG34" s="53"/>
      <c r="BH34" s="53">
        <v>0</v>
      </c>
      <c r="BI34" s="53"/>
      <c r="BJ34" s="53">
        <v>0</v>
      </c>
      <c r="BK34" s="53"/>
      <c r="BL34" s="53">
        <f>130951+52919+154809+55538</f>
        <v>394217</v>
      </c>
      <c r="BM34" s="53"/>
      <c r="BN34" s="53">
        <f t="shared" si="5"/>
        <v>1313048</v>
      </c>
      <c r="BO34" s="54"/>
      <c r="BS34" s="55"/>
      <c r="BT34" s="55"/>
      <c r="BU34" s="84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</row>
    <row r="35" spans="1:95" s="126" customFormat="1" ht="12.75" hidden="1" customHeight="1">
      <c r="A35" s="126" t="s">
        <v>48</v>
      </c>
      <c r="B35" s="124"/>
      <c r="C35" s="126" t="s">
        <v>27</v>
      </c>
      <c r="D35" s="121"/>
      <c r="E35" s="53">
        <f t="shared" si="0"/>
        <v>0</v>
      </c>
      <c r="F35" s="137"/>
      <c r="G35" s="53">
        <v>0</v>
      </c>
      <c r="H35" s="53"/>
      <c r="I35" s="53">
        <v>0</v>
      </c>
      <c r="J35" s="137"/>
      <c r="K35" s="137">
        <f t="shared" si="1"/>
        <v>0</v>
      </c>
      <c r="L35" s="137"/>
      <c r="M35" s="53">
        <v>0</v>
      </c>
      <c r="N35" s="53"/>
      <c r="O35" s="53">
        <v>0</v>
      </c>
      <c r="P35" s="53"/>
      <c r="Q35" s="53">
        <v>0</v>
      </c>
      <c r="R35" s="53"/>
      <c r="S35" s="53">
        <v>0</v>
      </c>
      <c r="T35" s="53"/>
      <c r="U35" s="53">
        <v>0</v>
      </c>
      <c r="V35" s="137"/>
      <c r="W35" s="137">
        <f t="shared" si="8"/>
        <v>0</v>
      </c>
      <c r="X35" s="124"/>
      <c r="Y35" s="124"/>
      <c r="Z35" s="126" t="s">
        <v>48</v>
      </c>
      <c r="AA35" s="137"/>
      <c r="AB35" s="126" t="s">
        <v>27</v>
      </c>
      <c r="AC35" s="124"/>
      <c r="AD35" s="53">
        <v>0</v>
      </c>
      <c r="AE35" s="53"/>
      <c r="AF35" s="53">
        <v>0</v>
      </c>
      <c r="AG35" s="53"/>
      <c r="AH35" s="53">
        <v>0</v>
      </c>
      <c r="AI35" s="53"/>
      <c r="AJ35" s="45">
        <f t="shared" si="7"/>
        <v>0</v>
      </c>
      <c r="AK35" s="45"/>
      <c r="AL35" s="53">
        <v>0</v>
      </c>
      <c r="AM35" s="45"/>
      <c r="AN35" s="53">
        <v>0</v>
      </c>
      <c r="AO35" s="53"/>
      <c r="AP35" s="53">
        <v>0</v>
      </c>
      <c r="AQ35" s="53"/>
      <c r="AR35" s="53">
        <v>0</v>
      </c>
      <c r="AS35" s="137"/>
      <c r="AT35" s="127">
        <f t="shared" si="4"/>
        <v>0</v>
      </c>
      <c r="AU35" s="127"/>
      <c r="AV35" s="137">
        <v>0</v>
      </c>
      <c r="AW35" s="137"/>
      <c r="AX35" s="137">
        <v>0</v>
      </c>
      <c r="AY35" s="137"/>
      <c r="AZ35" s="137">
        <f t="shared" si="6"/>
        <v>0</v>
      </c>
      <c r="BA35" s="124"/>
      <c r="BB35" s="126" t="s">
        <v>48</v>
      </c>
      <c r="BD35" s="126" t="s">
        <v>27</v>
      </c>
      <c r="BE35" s="137"/>
      <c r="BF35" s="53">
        <v>0</v>
      </c>
      <c r="BG35" s="53"/>
      <c r="BH35" s="53">
        <v>0</v>
      </c>
      <c r="BI35" s="53"/>
      <c r="BJ35" s="53">
        <v>0</v>
      </c>
      <c r="BK35" s="53"/>
      <c r="BL35" s="53">
        <v>0</v>
      </c>
      <c r="BM35" s="137"/>
      <c r="BN35" s="137">
        <f t="shared" si="5"/>
        <v>0</v>
      </c>
      <c r="BO35" s="139"/>
      <c r="BS35" s="140"/>
      <c r="BT35" s="140"/>
      <c r="BU35" s="141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</row>
    <row r="36" spans="1:95" s="126" customFormat="1" ht="12.75" hidden="1" customHeight="1">
      <c r="A36" s="126" t="s">
        <v>49</v>
      </c>
      <c r="B36" s="124"/>
      <c r="C36" s="126" t="s">
        <v>27</v>
      </c>
      <c r="D36" s="121"/>
      <c r="E36" s="53">
        <f t="shared" si="0"/>
        <v>0</v>
      </c>
      <c r="F36" s="137"/>
      <c r="G36" s="53">
        <v>0</v>
      </c>
      <c r="H36" s="53"/>
      <c r="I36" s="53">
        <v>0</v>
      </c>
      <c r="J36" s="137"/>
      <c r="K36" s="137">
        <f t="shared" si="1"/>
        <v>0</v>
      </c>
      <c r="L36" s="137"/>
      <c r="M36" s="53">
        <v>0</v>
      </c>
      <c r="N36" s="53"/>
      <c r="O36" s="53">
        <v>0</v>
      </c>
      <c r="P36" s="53"/>
      <c r="Q36" s="53">
        <v>0</v>
      </c>
      <c r="R36" s="53"/>
      <c r="S36" s="53">
        <v>0</v>
      </c>
      <c r="T36" s="53"/>
      <c r="U36" s="53">
        <v>0</v>
      </c>
      <c r="V36" s="137"/>
      <c r="W36" s="137">
        <f t="shared" si="8"/>
        <v>0</v>
      </c>
      <c r="X36" s="124"/>
      <c r="Y36" s="124"/>
      <c r="Z36" s="126" t="s">
        <v>49</v>
      </c>
      <c r="AA36" s="137"/>
      <c r="AB36" s="126" t="s">
        <v>27</v>
      </c>
      <c r="AC36" s="124"/>
      <c r="AD36" s="53">
        <v>0</v>
      </c>
      <c r="AE36" s="53"/>
      <c r="AF36" s="53">
        <v>0</v>
      </c>
      <c r="AG36" s="53"/>
      <c r="AH36" s="53">
        <v>0</v>
      </c>
      <c r="AI36" s="53"/>
      <c r="AJ36" s="45">
        <f t="shared" si="7"/>
        <v>0</v>
      </c>
      <c r="AK36" s="45"/>
      <c r="AL36" s="53">
        <v>0</v>
      </c>
      <c r="AM36" s="45"/>
      <c r="AN36" s="53">
        <v>0</v>
      </c>
      <c r="AO36" s="53"/>
      <c r="AP36" s="53">
        <v>0</v>
      </c>
      <c r="AQ36" s="53"/>
      <c r="AR36" s="53">
        <v>0</v>
      </c>
      <c r="AS36" s="137"/>
      <c r="AT36" s="127">
        <f t="shared" si="4"/>
        <v>0</v>
      </c>
      <c r="AU36" s="127"/>
      <c r="AV36" s="137">
        <v>0</v>
      </c>
      <c r="AW36" s="137"/>
      <c r="AX36" s="137">
        <v>0</v>
      </c>
      <c r="AY36" s="137"/>
      <c r="AZ36" s="137">
        <f t="shared" si="6"/>
        <v>0</v>
      </c>
      <c r="BA36" s="124"/>
      <c r="BB36" s="126" t="s">
        <v>49</v>
      </c>
      <c r="BD36" s="126" t="s">
        <v>27</v>
      </c>
      <c r="BE36" s="137"/>
      <c r="BF36" s="53">
        <v>0</v>
      </c>
      <c r="BG36" s="53"/>
      <c r="BH36" s="53">
        <v>0</v>
      </c>
      <c r="BI36" s="53"/>
      <c r="BJ36" s="53">
        <v>0</v>
      </c>
      <c r="BK36" s="53"/>
      <c r="BL36" s="53">
        <v>0</v>
      </c>
      <c r="BM36" s="137"/>
      <c r="BN36" s="137">
        <f t="shared" si="5"/>
        <v>0</v>
      </c>
      <c r="BO36" s="139"/>
      <c r="BS36" s="140"/>
      <c r="BT36" s="140"/>
      <c r="BU36" s="141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</row>
    <row r="37" spans="1:95" s="126" customFormat="1" ht="12.75" hidden="1" customHeight="1">
      <c r="A37" s="126" t="s">
        <v>50</v>
      </c>
      <c r="B37" s="124"/>
      <c r="C37" s="126" t="s">
        <v>27</v>
      </c>
      <c r="D37" s="121"/>
      <c r="E37" s="53">
        <f t="shared" si="0"/>
        <v>0</v>
      </c>
      <c r="F37" s="137"/>
      <c r="G37" s="53">
        <v>0</v>
      </c>
      <c r="H37" s="53"/>
      <c r="I37" s="53">
        <v>0</v>
      </c>
      <c r="J37" s="137"/>
      <c r="K37" s="137">
        <f t="shared" si="1"/>
        <v>0</v>
      </c>
      <c r="L37" s="137"/>
      <c r="M37" s="53">
        <v>0</v>
      </c>
      <c r="N37" s="53"/>
      <c r="O37" s="53">
        <v>0</v>
      </c>
      <c r="P37" s="53"/>
      <c r="Q37" s="53">
        <v>0</v>
      </c>
      <c r="R37" s="53"/>
      <c r="S37" s="53">
        <v>0</v>
      </c>
      <c r="T37" s="53"/>
      <c r="U37" s="53">
        <v>0</v>
      </c>
      <c r="V37" s="137"/>
      <c r="W37" s="137">
        <f t="shared" si="8"/>
        <v>0</v>
      </c>
      <c r="X37" s="124"/>
      <c r="Y37" s="124"/>
      <c r="Z37" s="126" t="s">
        <v>50</v>
      </c>
      <c r="AA37" s="137"/>
      <c r="AB37" s="126" t="s">
        <v>27</v>
      </c>
      <c r="AC37" s="124"/>
      <c r="AD37" s="53">
        <v>0</v>
      </c>
      <c r="AE37" s="53"/>
      <c r="AF37" s="53">
        <v>0</v>
      </c>
      <c r="AG37" s="53"/>
      <c r="AH37" s="53">
        <v>0</v>
      </c>
      <c r="AI37" s="53"/>
      <c r="AJ37" s="45">
        <f t="shared" si="7"/>
        <v>0</v>
      </c>
      <c r="AK37" s="45"/>
      <c r="AL37" s="53">
        <v>0</v>
      </c>
      <c r="AM37" s="45"/>
      <c r="AN37" s="53">
        <v>0</v>
      </c>
      <c r="AO37" s="53"/>
      <c r="AP37" s="53">
        <v>0</v>
      </c>
      <c r="AQ37" s="53"/>
      <c r="AR37" s="53">
        <v>0</v>
      </c>
      <c r="AS37" s="137"/>
      <c r="AT37" s="127">
        <f t="shared" si="4"/>
        <v>0</v>
      </c>
      <c r="AU37" s="127"/>
      <c r="AV37" s="137">
        <v>0</v>
      </c>
      <c r="AW37" s="137"/>
      <c r="AX37" s="137">
        <v>0</v>
      </c>
      <c r="AY37" s="137"/>
      <c r="AZ37" s="137">
        <f t="shared" si="6"/>
        <v>0</v>
      </c>
      <c r="BA37" s="124"/>
      <c r="BB37" s="126" t="s">
        <v>50</v>
      </c>
      <c r="BD37" s="126" t="s">
        <v>27</v>
      </c>
      <c r="BE37" s="137"/>
      <c r="BF37" s="53">
        <v>0</v>
      </c>
      <c r="BG37" s="53"/>
      <c r="BH37" s="53">
        <v>0</v>
      </c>
      <c r="BI37" s="53"/>
      <c r="BJ37" s="53">
        <v>0</v>
      </c>
      <c r="BK37" s="53"/>
      <c r="BL37" s="53">
        <v>0</v>
      </c>
      <c r="BM37" s="137"/>
      <c r="BN37" s="137">
        <f t="shared" si="5"/>
        <v>0</v>
      </c>
      <c r="BO37" s="139"/>
      <c r="BS37" s="140"/>
      <c r="BT37" s="140"/>
      <c r="BU37" s="141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</row>
    <row r="38" spans="1:95" s="35" customFormat="1" ht="12.75" customHeight="1">
      <c r="A38" s="35" t="s">
        <v>462</v>
      </c>
      <c r="B38" s="51"/>
      <c r="C38" s="35" t="s">
        <v>66</v>
      </c>
      <c r="D38" s="44"/>
      <c r="E38" s="53">
        <f t="shared" si="0"/>
        <v>452627</v>
      </c>
      <c r="F38" s="53"/>
      <c r="G38" s="53">
        <v>476213</v>
      </c>
      <c r="H38" s="53"/>
      <c r="I38" s="53">
        <v>928840</v>
      </c>
      <c r="J38" s="53"/>
      <c r="K38" s="53">
        <f t="shared" si="1"/>
        <v>185575</v>
      </c>
      <c r="L38" s="53"/>
      <c r="M38" s="53">
        <v>110937</v>
      </c>
      <c r="N38" s="53"/>
      <c r="O38" s="53">
        <v>296512</v>
      </c>
      <c r="P38" s="53"/>
      <c r="Q38" s="53">
        <v>337160</v>
      </c>
      <c r="R38" s="53"/>
      <c r="S38" s="53">
        <v>0</v>
      </c>
      <c r="T38" s="53"/>
      <c r="U38" s="53">
        <v>295168</v>
      </c>
      <c r="V38" s="53"/>
      <c r="W38" s="53">
        <f t="shared" si="8"/>
        <v>632328</v>
      </c>
      <c r="X38" s="51"/>
      <c r="Y38" s="51"/>
      <c r="Z38" s="35" t="s">
        <v>462</v>
      </c>
      <c r="AA38" s="53"/>
      <c r="AB38" s="35" t="s">
        <v>66</v>
      </c>
      <c r="AC38" s="51"/>
      <c r="AD38" s="53">
        <v>898175</v>
      </c>
      <c r="AE38" s="53"/>
      <c r="AF38" s="53">
        <f>911711-54412</f>
        <v>857299</v>
      </c>
      <c r="AG38" s="53"/>
      <c r="AH38" s="53">
        <v>54412</v>
      </c>
      <c r="AI38" s="53"/>
      <c r="AJ38" s="45">
        <f t="shared" si="7"/>
        <v>-13536</v>
      </c>
      <c r="AK38" s="45"/>
      <c r="AL38" s="53">
        <v>-8108</v>
      </c>
      <c r="AM38" s="45"/>
      <c r="AN38" s="53">
        <v>0</v>
      </c>
      <c r="AO38" s="53"/>
      <c r="AP38" s="53">
        <v>0</v>
      </c>
      <c r="AQ38" s="53"/>
      <c r="AR38" s="53">
        <v>0</v>
      </c>
      <c r="AS38" s="53"/>
      <c r="AT38" s="45">
        <f t="shared" si="4"/>
        <v>-21644</v>
      </c>
      <c r="AU38" s="45"/>
      <c r="AV38" s="53">
        <v>0</v>
      </c>
      <c r="AW38" s="53"/>
      <c r="AX38" s="53">
        <v>0</v>
      </c>
      <c r="AY38" s="53"/>
      <c r="AZ38" s="53">
        <f t="shared" si="6"/>
        <v>267052</v>
      </c>
      <c r="BA38" s="51"/>
      <c r="BB38" s="35" t="s">
        <v>462</v>
      </c>
      <c r="BD38" s="35" t="s">
        <v>66</v>
      </c>
      <c r="BE38" s="53"/>
      <c r="BF38" s="53">
        <v>0</v>
      </c>
      <c r="BG38" s="53"/>
      <c r="BH38" s="53">
        <v>0</v>
      </c>
      <c r="BI38" s="53"/>
      <c r="BJ38" s="53">
        <f>32232+106821</f>
        <v>139053</v>
      </c>
      <c r="BK38" s="53"/>
      <c r="BL38" s="53">
        <f>5603+4116</f>
        <v>9719</v>
      </c>
      <c r="BM38" s="53"/>
      <c r="BN38" s="53">
        <f t="shared" si="5"/>
        <v>148772</v>
      </c>
      <c r="BO38" s="54"/>
      <c r="BP38" s="55"/>
      <c r="BS38" s="55"/>
      <c r="BT38" s="55"/>
      <c r="BU38" s="84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</row>
    <row r="39" spans="1:95" s="126" customFormat="1" ht="12.75" hidden="1" customHeight="1">
      <c r="A39" s="126" t="s">
        <v>462</v>
      </c>
      <c r="B39" s="124"/>
      <c r="C39" s="126" t="s">
        <v>66</v>
      </c>
      <c r="D39" s="121"/>
      <c r="E39" s="53">
        <f t="shared" si="0"/>
        <v>0</v>
      </c>
      <c r="F39" s="137"/>
      <c r="G39" s="53">
        <v>0</v>
      </c>
      <c r="H39" s="53"/>
      <c r="I39" s="53">
        <v>0</v>
      </c>
      <c r="J39" s="137"/>
      <c r="K39" s="137">
        <f t="shared" si="1"/>
        <v>0</v>
      </c>
      <c r="L39" s="137"/>
      <c r="M39" s="53">
        <v>0</v>
      </c>
      <c r="N39" s="53"/>
      <c r="O39" s="53">
        <v>0</v>
      </c>
      <c r="P39" s="53"/>
      <c r="Q39" s="53">
        <v>0</v>
      </c>
      <c r="R39" s="53"/>
      <c r="S39" s="53">
        <v>0</v>
      </c>
      <c r="T39" s="53"/>
      <c r="U39" s="53">
        <v>0</v>
      </c>
      <c r="V39" s="137"/>
      <c r="W39" s="137">
        <f t="shared" si="8"/>
        <v>0</v>
      </c>
      <c r="X39" s="124"/>
      <c r="Y39" s="124"/>
      <c r="Z39" s="126" t="s">
        <v>462</v>
      </c>
      <c r="AA39" s="137"/>
      <c r="AB39" s="126" t="s">
        <v>66</v>
      </c>
      <c r="AC39" s="124"/>
      <c r="AD39" s="53">
        <v>0</v>
      </c>
      <c r="AE39" s="53"/>
      <c r="AF39" s="53">
        <v>0</v>
      </c>
      <c r="AG39" s="53"/>
      <c r="AH39" s="53">
        <v>0</v>
      </c>
      <c r="AI39" s="53"/>
      <c r="AJ39" s="45">
        <f t="shared" si="7"/>
        <v>0</v>
      </c>
      <c r="AK39" s="45"/>
      <c r="AL39" s="53">
        <v>0</v>
      </c>
      <c r="AM39" s="45"/>
      <c r="AN39" s="53">
        <v>0</v>
      </c>
      <c r="AO39" s="53"/>
      <c r="AP39" s="53">
        <v>0</v>
      </c>
      <c r="AQ39" s="53"/>
      <c r="AR39" s="53">
        <v>0</v>
      </c>
      <c r="AS39" s="137"/>
      <c r="AT39" s="127">
        <f t="shared" si="4"/>
        <v>0</v>
      </c>
      <c r="AU39" s="127"/>
      <c r="AV39" s="137">
        <v>0</v>
      </c>
      <c r="AW39" s="137"/>
      <c r="AX39" s="137">
        <v>0</v>
      </c>
      <c r="AY39" s="137"/>
      <c r="AZ39" s="137">
        <f t="shared" si="6"/>
        <v>0</v>
      </c>
      <c r="BA39" s="124"/>
      <c r="BB39" s="126" t="s">
        <v>462</v>
      </c>
      <c r="BD39" s="126" t="s">
        <v>66</v>
      </c>
      <c r="BE39" s="137"/>
      <c r="BF39" s="53">
        <v>0</v>
      </c>
      <c r="BG39" s="53"/>
      <c r="BH39" s="53">
        <v>0</v>
      </c>
      <c r="BI39" s="53"/>
      <c r="BJ39" s="53">
        <v>0</v>
      </c>
      <c r="BK39" s="53"/>
      <c r="BL39" s="53">
        <v>0</v>
      </c>
      <c r="BM39" s="137"/>
      <c r="BN39" s="137">
        <f t="shared" si="5"/>
        <v>0</v>
      </c>
      <c r="BO39" s="139"/>
      <c r="BP39" s="140"/>
      <c r="BS39" s="140"/>
      <c r="BT39" s="140"/>
      <c r="BU39" s="141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</row>
    <row r="40" spans="1:95" s="126" customFormat="1" ht="12.75" hidden="1" customHeight="1">
      <c r="A40" s="126" t="s">
        <v>52</v>
      </c>
      <c r="B40" s="124"/>
      <c r="C40" s="126" t="s">
        <v>53</v>
      </c>
      <c r="D40" s="121"/>
      <c r="E40" s="53">
        <f t="shared" si="0"/>
        <v>0</v>
      </c>
      <c r="F40" s="137"/>
      <c r="G40" s="53">
        <v>0</v>
      </c>
      <c r="H40" s="53"/>
      <c r="I40" s="53">
        <v>0</v>
      </c>
      <c r="J40" s="137"/>
      <c r="K40" s="137">
        <f t="shared" si="1"/>
        <v>0</v>
      </c>
      <c r="L40" s="137"/>
      <c r="M40" s="53">
        <v>0</v>
      </c>
      <c r="N40" s="53"/>
      <c r="O40" s="53">
        <v>0</v>
      </c>
      <c r="P40" s="53"/>
      <c r="Q40" s="53">
        <v>0</v>
      </c>
      <c r="R40" s="53"/>
      <c r="S40" s="53">
        <v>0</v>
      </c>
      <c r="T40" s="53"/>
      <c r="U40" s="53">
        <v>0</v>
      </c>
      <c r="V40" s="137"/>
      <c r="W40" s="137">
        <f t="shared" si="8"/>
        <v>0</v>
      </c>
      <c r="X40" s="124"/>
      <c r="Y40" s="124"/>
      <c r="Z40" s="126" t="s">
        <v>52</v>
      </c>
      <c r="AA40" s="137"/>
      <c r="AB40" s="126" t="s">
        <v>53</v>
      </c>
      <c r="AC40" s="124"/>
      <c r="AD40" s="53">
        <v>0</v>
      </c>
      <c r="AE40" s="53"/>
      <c r="AF40" s="53">
        <v>0</v>
      </c>
      <c r="AG40" s="53"/>
      <c r="AH40" s="53">
        <v>0</v>
      </c>
      <c r="AI40" s="53"/>
      <c r="AJ40" s="45">
        <f t="shared" si="7"/>
        <v>0</v>
      </c>
      <c r="AK40" s="45"/>
      <c r="AL40" s="53">
        <v>0</v>
      </c>
      <c r="AM40" s="45"/>
      <c r="AN40" s="53">
        <v>0</v>
      </c>
      <c r="AO40" s="53"/>
      <c r="AP40" s="53">
        <v>0</v>
      </c>
      <c r="AQ40" s="53"/>
      <c r="AR40" s="53">
        <v>0</v>
      </c>
      <c r="AS40" s="137"/>
      <c r="AT40" s="127">
        <f t="shared" si="4"/>
        <v>0</v>
      </c>
      <c r="AU40" s="127"/>
      <c r="AV40" s="137">
        <v>0</v>
      </c>
      <c r="AW40" s="137"/>
      <c r="AX40" s="137">
        <v>0</v>
      </c>
      <c r="AY40" s="137"/>
      <c r="AZ40" s="137">
        <f t="shared" si="6"/>
        <v>0</v>
      </c>
      <c r="BA40" s="124"/>
      <c r="BB40" s="126" t="s">
        <v>52</v>
      </c>
      <c r="BD40" s="126" t="s">
        <v>53</v>
      </c>
      <c r="BE40" s="137"/>
      <c r="BF40" s="53">
        <v>0</v>
      </c>
      <c r="BG40" s="53"/>
      <c r="BH40" s="53">
        <v>0</v>
      </c>
      <c r="BI40" s="53"/>
      <c r="BJ40" s="53">
        <v>0</v>
      </c>
      <c r="BK40" s="53"/>
      <c r="BL40" s="53">
        <v>0</v>
      </c>
      <c r="BM40" s="137"/>
      <c r="BN40" s="137">
        <f t="shared" si="5"/>
        <v>0</v>
      </c>
      <c r="BO40" s="139"/>
      <c r="BS40" s="140"/>
      <c r="BT40" s="140"/>
      <c r="BU40" s="141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</row>
    <row r="41" spans="1:95" s="35" customFormat="1" ht="12.75" customHeight="1">
      <c r="A41" s="35" t="s">
        <v>54</v>
      </c>
      <c r="B41" s="51"/>
      <c r="C41" s="35" t="s">
        <v>55</v>
      </c>
      <c r="D41" s="44"/>
      <c r="E41" s="53">
        <f t="shared" si="0"/>
        <v>1213618</v>
      </c>
      <c r="F41" s="53"/>
      <c r="G41" s="53">
        <v>5238317</v>
      </c>
      <c r="H41" s="53"/>
      <c r="I41" s="53">
        <v>6451935</v>
      </c>
      <c r="J41" s="53"/>
      <c r="K41" s="53">
        <f t="shared" si="1"/>
        <v>64779</v>
      </c>
      <c r="L41" s="53"/>
      <c r="M41" s="53">
        <v>562572</v>
      </c>
      <c r="N41" s="53"/>
      <c r="O41" s="53">
        <v>627351</v>
      </c>
      <c r="P41" s="53"/>
      <c r="Q41" s="53">
        <v>5238317</v>
      </c>
      <c r="R41" s="53"/>
      <c r="S41" s="53">
        <v>0</v>
      </c>
      <c r="T41" s="53"/>
      <c r="U41" s="53">
        <v>586267</v>
      </c>
      <c r="V41" s="53"/>
      <c r="W41" s="53">
        <f t="shared" si="8"/>
        <v>5824584</v>
      </c>
      <c r="Z41" s="35" t="s">
        <v>54</v>
      </c>
      <c r="AA41" s="53"/>
      <c r="AB41" s="35" t="s">
        <v>55</v>
      </c>
      <c r="AC41" s="51"/>
      <c r="AD41" s="53">
        <v>1665875</v>
      </c>
      <c r="AE41" s="53"/>
      <c r="AF41" s="53">
        <f>1508370-212371</f>
        <v>1295999</v>
      </c>
      <c r="AG41" s="53"/>
      <c r="AH41" s="53">
        <v>212371</v>
      </c>
      <c r="AI41" s="53"/>
      <c r="AJ41" s="45">
        <f t="shared" si="7"/>
        <v>157505</v>
      </c>
      <c r="AK41" s="45"/>
      <c r="AL41" s="53">
        <v>-215</v>
      </c>
      <c r="AM41" s="45"/>
      <c r="AN41" s="53">
        <v>0</v>
      </c>
      <c r="AO41" s="53"/>
      <c r="AP41" s="53">
        <v>0</v>
      </c>
      <c r="AQ41" s="53"/>
      <c r="AR41" s="53">
        <v>0</v>
      </c>
      <c r="AS41" s="53"/>
      <c r="AT41" s="45">
        <f t="shared" si="4"/>
        <v>157290</v>
      </c>
      <c r="AU41" s="45"/>
      <c r="AV41" s="53">
        <v>0</v>
      </c>
      <c r="AW41" s="53"/>
      <c r="AX41" s="53">
        <v>0</v>
      </c>
      <c r="AY41" s="53"/>
      <c r="AZ41" s="53">
        <f t="shared" si="6"/>
        <v>1148839</v>
      </c>
      <c r="BA41" s="51"/>
      <c r="BB41" s="35" t="s">
        <v>54</v>
      </c>
      <c r="BD41" s="35" t="s">
        <v>55</v>
      </c>
      <c r="BE41" s="53"/>
      <c r="BF41" s="53">
        <v>0</v>
      </c>
      <c r="BG41" s="53"/>
      <c r="BH41" s="53">
        <v>0</v>
      </c>
      <c r="BI41" s="53"/>
      <c r="BJ41" s="53">
        <v>0</v>
      </c>
      <c r="BK41" s="53"/>
      <c r="BL41" s="53">
        <f>27324+446058+116524</f>
        <v>589906</v>
      </c>
      <c r="BM41" s="53"/>
      <c r="BN41" s="53">
        <f t="shared" si="5"/>
        <v>589906</v>
      </c>
      <c r="BO41" s="54"/>
      <c r="BS41" s="55"/>
      <c r="BT41" s="55"/>
      <c r="BU41" s="84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</row>
    <row r="42" spans="1:95" s="35" customFormat="1" ht="12.75" customHeight="1">
      <c r="A42" s="35" t="s">
        <v>56</v>
      </c>
      <c r="B42" s="51"/>
      <c r="C42" s="35" t="s">
        <v>57</v>
      </c>
      <c r="D42" s="44"/>
      <c r="E42" s="53">
        <f t="shared" si="0"/>
        <v>1430722</v>
      </c>
      <c r="F42" s="53"/>
      <c r="G42" s="53">
        <v>7863799</v>
      </c>
      <c r="H42" s="53"/>
      <c r="I42" s="53">
        <v>9294521</v>
      </c>
      <c r="J42" s="53"/>
      <c r="K42" s="53">
        <f t="shared" si="1"/>
        <v>440667</v>
      </c>
      <c r="L42" s="53"/>
      <c r="M42" s="53">
        <v>1037554</v>
      </c>
      <c r="N42" s="53"/>
      <c r="O42" s="53">
        <v>1478221</v>
      </c>
      <c r="P42" s="53"/>
      <c r="Q42" s="53">
        <v>6685195</v>
      </c>
      <c r="R42" s="53"/>
      <c r="S42" s="53">
        <v>0</v>
      </c>
      <c r="T42" s="53"/>
      <c r="U42" s="53">
        <v>1131105</v>
      </c>
      <c r="V42" s="53"/>
      <c r="W42" s="53">
        <f t="shared" si="8"/>
        <v>7816300</v>
      </c>
      <c r="X42" s="51"/>
      <c r="Y42" s="51"/>
      <c r="Z42" s="35" t="s">
        <v>56</v>
      </c>
      <c r="AA42" s="53"/>
      <c r="AB42" s="35" t="s">
        <v>57</v>
      </c>
      <c r="AC42" s="51"/>
      <c r="AD42" s="53">
        <v>1964613</v>
      </c>
      <c r="AE42" s="53"/>
      <c r="AF42" s="53">
        <f>2059112-355382</f>
        <v>1703730</v>
      </c>
      <c r="AG42" s="53"/>
      <c r="AH42" s="53">
        <v>355382</v>
      </c>
      <c r="AI42" s="53"/>
      <c r="AJ42" s="45">
        <f t="shared" si="7"/>
        <v>-94499</v>
      </c>
      <c r="AK42" s="45"/>
      <c r="AL42" s="53">
        <v>-46899</v>
      </c>
      <c r="AM42" s="45"/>
      <c r="AN42" s="53">
        <v>0</v>
      </c>
      <c r="AO42" s="53"/>
      <c r="AP42" s="53">
        <v>0</v>
      </c>
      <c r="AQ42" s="53"/>
      <c r="AR42" s="53">
        <v>153575</v>
      </c>
      <c r="AS42" s="53"/>
      <c r="AT42" s="45">
        <f t="shared" si="4"/>
        <v>12177</v>
      </c>
      <c r="AU42" s="45"/>
      <c r="AV42" s="53">
        <v>0</v>
      </c>
      <c r="AW42" s="53"/>
      <c r="AX42" s="53">
        <v>0</v>
      </c>
      <c r="AY42" s="53"/>
      <c r="AZ42" s="53">
        <f t="shared" si="6"/>
        <v>990055</v>
      </c>
      <c r="BA42" s="51"/>
      <c r="BB42" s="35" t="s">
        <v>56</v>
      </c>
      <c r="BD42" s="35" t="s">
        <v>57</v>
      </c>
      <c r="BE42" s="53"/>
      <c r="BF42" s="53">
        <f>190000+395000</f>
        <v>585000</v>
      </c>
      <c r="BG42" s="53"/>
      <c r="BH42" s="53">
        <v>0</v>
      </c>
      <c r="BI42" s="53"/>
      <c r="BJ42" s="53">
        <f>25161+13277+277771+116939</f>
        <v>433148</v>
      </c>
      <c r="BK42" s="53"/>
      <c r="BL42" s="53">
        <f>26700+159456+88388</f>
        <v>274544</v>
      </c>
      <c r="BM42" s="53"/>
      <c r="BN42" s="53">
        <f t="shared" si="5"/>
        <v>1292692</v>
      </c>
      <c r="BO42" s="54"/>
      <c r="BP42" s="55"/>
      <c r="BS42" s="55"/>
      <c r="BT42" s="55"/>
      <c r="BU42" s="84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</row>
    <row r="43" spans="1:95" s="35" customFormat="1" ht="12.75" customHeight="1">
      <c r="A43" s="35" t="s">
        <v>58</v>
      </c>
      <c r="B43" s="51"/>
      <c r="C43" s="35" t="s">
        <v>59</v>
      </c>
      <c r="D43" s="44"/>
      <c r="E43" s="53">
        <f t="shared" si="0"/>
        <v>2897206</v>
      </c>
      <c r="F43" s="53"/>
      <c r="G43" s="53">
        <v>7805943</v>
      </c>
      <c r="H43" s="53"/>
      <c r="I43" s="53">
        <v>10703149</v>
      </c>
      <c r="J43" s="53"/>
      <c r="K43" s="53">
        <f t="shared" si="1"/>
        <v>793345</v>
      </c>
      <c r="L43" s="53"/>
      <c r="M43" s="53">
        <v>3157451</v>
      </c>
      <c r="N43" s="53"/>
      <c r="O43" s="53">
        <v>3950796</v>
      </c>
      <c r="P43" s="53"/>
      <c r="Q43" s="53">
        <v>4092612</v>
      </c>
      <c r="R43" s="53"/>
      <c r="S43" s="53">
        <v>0</v>
      </c>
      <c r="T43" s="53"/>
      <c r="U43" s="53">
        <v>2659741</v>
      </c>
      <c r="V43" s="53"/>
      <c r="W43" s="53">
        <f t="shared" si="8"/>
        <v>6752353</v>
      </c>
      <c r="X43" s="51"/>
      <c r="Y43" s="51"/>
      <c r="Z43" s="35" t="s">
        <v>58</v>
      </c>
      <c r="AA43" s="53"/>
      <c r="AB43" s="35" t="s">
        <v>59</v>
      </c>
      <c r="AC43" s="51"/>
      <c r="AD43" s="53">
        <v>2715705</v>
      </c>
      <c r="AE43" s="53"/>
      <c r="AF43" s="53">
        <f>2161559-432186</f>
        <v>1729373</v>
      </c>
      <c r="AG43" s="53"/>
      <c r="AH43" s="53">
        <v>432186</v>
      </c>
      <c r="AI43" s="53"/>
      <c r="AJ43" s="45">
        <f t="shared" si="7"/>
        <v>554146</v>
      </c>
      <c r="AK43" s="45"/>
      <c r="AL43" s="53">
        <v>-148764</v>
      </c>
      <c r="AM43" s="45"/>
      <c r="AN43" s="53">
        <v>0</v>
      </c>
      <c r="AO43" s="53"/>
      <c r="AP43" s="53">
        <v>0</v>
      </c>
      <c r="AQ43" s="53"/>
      <c r="AR43" s="53">
        <v>0</v>
      </c>
      <c r="AS43" s="53"/>
      <c r="AT43" s="45">
        <f t="shared" si="4"/>
        <v>405382</v>
      </c>
      <c r="AU43" s="45"/>
      <c r="AV43" s="53">
        <v>0</v>
      </c>
      <c r="AW43" s="53"/>
      <c r="AX43" s="53">
        <v>0</v>
      </c>
      <c r="AY43" s="53"/>
      <c r="AZ43" s="53">
        <f t="shared" si="6"/>
        <v>2103861</v>
      </c>
      <c r="BA43" s="51"/>
      <c r="BB43" s="35" t="s">
        <v>58</v>
      </c>
      <c r="BD43" s="35" t="s">
        <v>59</v>
      </c>
      <c r="BE43" s="53"/>
      <c r="BF43" s="53">
        <v>0</v>
      </c>
      <c r="BG43" s="53"/>
      <c r="BH43" s="53">
        <f>211000+1170000</f>
        <v>1381000</v>
      </c>
      <c r="BI43" s="53"/>
      <c r="BJ43" s="53">
        <f>9222+204330+101452+1823128</f>
        <v>2138132</v>
      </c>
      <c r="BK43" s="53"/>
      <c r="BL43" s="53">
        <f>2724+62871</f>
        <v>65595</v>
      </c>
      <c r="BM43" s="53"/>
      <c r="BN43" s="53">
        <f t="shared" si="5"/>
        <v>3584727</v>
      </c>
      <c r="BO43" s="54"/>
      <c r="BS43" s="55"/>
      <c r="BT43" s="55"/>
      <c r="BU43" s="84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</row>
    <row r="44" spans="1:95" s="35" customFormat="1" ht="12.75" customHeight="1">
      <c r="A44" s="44" t="s">
        <v>476</v>
      </c>
      <c r="B44" s="51"/>
      <c r="C44" s="35" t="s">
        <v>15</v>
      </c>
      <c r="D44" s="44"/>
      <c r="E44" s="53">
        <f t="shared" si="0"/>
        <v>312906</v>
      </c>
      <c r="F44" s="53"/>
      <c r="G44" s="53">
        <v>4343262</v>
      </c>
      <c r="H44" s="53"/>
      <c r="I44" s="53">
        <v>4656168</v>
      </c>
      <c r="J44" s="53"/>
      <c r="K44" s="53">
        <f t="shared" si="1"/>
        <v>296566</v>
      </c>
      <c r="L44" s="53"/>
      <c r="M44" s="53">
        <v>1526251</v>
      </c>
      <c r="N44" s="53"/>
      <c r="O44" s="53">
        <v>1822817</v>
      </c>
      <c r="P44" s="53"/>
      <c r="Q44" s="53">
        <v>2610973</v>
      </c>
      <c r="R44" s="53"/>
      <c r="S44" s="53">
        <v>0</v>
      </c>
      <c r="T44" s="53"/>
      <c r="U44" s="53">
        <v>222378</v>
      </c>
      <c r="V44" s="53"/>
      <c r="W44" s="53">
        <f t="shared" si="8"/>
        <v>2833351</v>
      </c>
      <c r="X44" s="51"/>
      <c r="Y44" s="51"/>
      <c r="Z44" s="44" t="s">
        <v>476</v>
      </c>
      <c r="AA44" s="53"/>
      <c r="AB44" s="35" t="s">
        <v>15</v>
      </c>
      <c r="AC44" s="51"/>
      <c r="AD44" s="53">
        <v>677870</v>
      </c>
      <c r="AE44" s="53"/>
      <c r="AF44" s="53">
        <f>661514-130268</f>
        <v>531246</v>
      </c>
      <c r="AG44" s="53"/>
      <c r="AH44" s="53">
        <v>130268</v>
      </c>
      <c r="AI44" s="53"/>
      <c r="AJ44" s="45">
        <f t="shared" si="7"/>
        <v>16356</v>
      </c>
      <c r="AK44" s="45"/>
      <c r="AL44" s="53">
        <v>-46374</v>
      </c>
      <c r="AM44" s="45"/>
      <c r="AN44" s="53">
        <v>220000</v>
      </c>
      <c r="AO44" s="53"/>
      <c r="AP44" s="53">
        <v>0</v>
      </c>
      <c r="AQ44" s="53"/>
      <c r="AR44" s="53">
        <v>0</v>
      </c>
      <c r="AS44" s="53"/>
      <c r="AT44" s="45">
        <f t="shared" si="4"/>
        <v>189982</v>
      </c>
      <c r="AU44" s="45"/>
      <c r="AV44" s="53">
        <v>0</v>
      </c>
      <c r="AW44" s="53"/>
      <c r="AX44" s="53">
        <v>0</v>
      </c>
      <c r="AY44" s="53"/>
      <c r="AZ44" s="53">
        <f t="shared" si="6"/>
        <v>16340</v>
      </c>
      <c r="BA44" s="51"/>
      <c r="BB44" s="44" t="s">
        <v>476</v>
      </c>
      <c r="BD44" s="35" t="s">
        <v>15</v>
      </c>
      <c r="BE44" s="53"/>
      <c r="BF44" s="53">
        <f>170084+738913</f>
        <v>908997</v>
      </c>
      <c r="BG44" s="53"/>
      <c r="BH44" s="53">
        <v>0</v>
      </c>
      <c r="BI44" s="53"/>
      <c r="BJ44" s="53">
        <f>68893+754399</f>
        <v>823292</v>
      </c>
      <c r="BK44" s="53"/>
      <c r="BL44" s="53">
        <v>32939</v>
      </c>
      <c r="BM44" s="53"/>
      <c r="BN44" s="53">
        <f t="shared" si="5"/>
        <v>1765228</v>
      </c>
      <c r="BO44" s="54"/>
      <c r="BS44" s="55"/>
      <c r="BT44" s="55"/>
      <c r="BU44" s="84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</row>
    <row r="45" spans="1:95" s="35" customFormat="1" ht="12.75" customHeight="1">
      <c r="A45" s="35" t="s">
        <v>60</v>
      </c>
      <c r="C45" s="35" t="s">
        <v>61</v>
      </c>
      <c r="D45" s="44"/>
      <c r="E45" s="53">
        <f t="shared" si="0"/>
        <v>1877967</v>
      </c>
      <c r="F45" s="53"/>
      <c r="G45" s="53">
        <v>5140598</v>
      </c>
      <c r="H45" s="53"/>
      <c r="I45" s="53">
        <v>7018565</v>
      </c>
      <c r="J45" s="53"/>
      <c r="K45" s="53">
        <f t="shared" si="1"/>
        <v>14650</v>
      </c>
      <c r="L45" s="53"/>
      <c r="M45" s="53">
        <v>0</v>
      </c>
      <c r="N45" s="53"/>
      <c r="O45" s="53">
        <v>14650</v>
      </c>
      <c r="P45" s="53"/>
      <c r="Q45" s="53">
        <v>5135968</v>
      </c>
      <c r="R45" s="53"/>
      <c r="S45" s="53">
        <v>0</v>
      </c>
      <c r="T45" s="53"/>
      <c r="U45" s="53">
        <v>1867947</v>
      </c>
      <c r="V45" s="53"/>
      <c r="W45" s="53">
        <f t="shared" si="8"/>
        <v>7003915</v>
      </c>
      <c r="X45" s="51"/>
      <c r="Y45" s="51"/>
      <c r="Z45" s="35" t="s">
        <v>60</v>
      </c>
      <c r="AA45" s="53"/>
      <c r="AB45" s="35" t="s">
        <v>61</v>
      </c>
      <c r="AD45" s="53">
        <v>1155117</v>
      </c>
      <c r="AE45" s="53"/>
      <c r="AF45" s="53">
        <f>1269645-200469</f>
        <v>1069176</v>
      </c>
      <c r="AG45" s="53"/>
      <c r="AH45" s="53">
        <v>200469</v>
      </c>
      <c r="AI45" s="53"/>
      <c r="AJ45" s="45">
        <f t="shared" si="7"/>
        <v>-114528</v>
      </c>
      <c r="AK45" s="45"/>
      <c r="AL45" s="53">
        <v>-10026</v>
      </c>
      <c r="AM45" s="45"/>
      <c r="AN45" s="53">
        <v>152762</v>
      </c>
      <c r="AO45" s="53"/>
      <c r="AP45" s="53">
        <v>152762</v>
      </c>
      <c r="AQ45" s="53"/>
      <c r="AR45" s="53">
        <v>0</v>
      </c>
      <c r="AS45" s="53"/>
      <c r="AT45" s="45">
        <f t="shared" si="4"/>
        <v>-124554</v>
      </c>
      <c r="AU45" s="45"/>
      <c r="AV45" s="53">
        <v>0</v>
      </c>
      <c r="AW45" s="53"/>
      <c r="AX45" s="53">
        <v>0</v>
      </c>
      <c r="AY45" s="53"/>
      <c r="AZ45" s="53">
        <f t="shared" si="6"/>
        <v>1863317</v>
      </c>
      <c r="BA45" s="51"/>
      <c r="BB45" s="35" t="s">
        <v>60</v>
      </c>
      <c r="BD45" s="35" t="s">
        <v>61</v>
      </c>
      <c r="BE45" s="53"/>
      <c r="BF45" s="53">
        <v>4630</v>
      </c>
      <c r="BG45" s="53"/>
      <c r="BH45" s="53">
        <v>0</v>
      </c>
      <c r="BI45" s="53"/>
      <c r="BJ45" s="53">
        <v>0</v>
      </c>
      <c r="BK45" s="53"/>
      <c r="BL45" s="53">
        <v>0</v>
      </c>
      <c r="BM45" s="53"/>
      <c r="BN45" s="53">
        <f t="shared" si="5"/>
        <v>4630</v>
      </c>
      <c r="BO45" s="54"/>
      <c r="BS45" s="55"/>
      <c r="BT45" s="55"/>
      <c r="BU45" s="84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</row>
    <row r="46" spans="1:95" s="35" customFormat="1" ht="12.75" customHeight="1">
      <c r="A46" s="44" t="s">
        <v>62</v>
      </c>
      <c r="B46" s="51"/>
      <c r="C46" s="35" t="s">
        <v>15</v>
      </c>
      <c r="D46" s="44"/>
      <c r="E46" s="53">
        <f t="shared" si="0"/>
        <v>13345946</v>
      </c>
      <c r="F46" s="53"/>
      <c r="G46" s="53">
        <v>47171509</v>
      </c>
      <c r="H46" s="53"/>
      <c r="I46" s="53">
        <v>60517455</v>
      </c>
      <c r="J46" s="53"/>
      <c r="K46" s="53">
        <f t="shared" si="1"/>
        <v>2698619</v>
      </c>
      <c r="L46" s="53"/>
      <c r="M46" s="53">
        <v>17257837</v>
      </c>
      <c r="N46" s="53"/>
      <c r="O46" s="53">
        <v>19956456</v>
      </c>
      <c r="P46" s="53"/>
      <c r="Q46" s="53">
        <v>28686189</v>
      </c>
      <c r="R46" s="53"/>
      <c r="S46" s="53">
        <v>0</v>
      </c>
      <c r="T46" s="53"/>
      <c r="U46" s="53">
        <v>11874810</v>
      </c>
      <c r="V46" s="53"/>
      <c r="W46" s="53">
        <f t="shared" si="8"/>
        <v>40560999</v>
      </c>
      <c r="X46" s="51"/>
      <c r="Y46" s="51"/>
      <c r="Z46" s="44" t="s">
        <v>62</v>
      </c>
      <c r="AA46" s="53"/>
      <c r="AB46" s="35" t="s">
        <v>15</v>
      </c>
      <c r="AC46" s="51"/>
      <c r="AD46" s="53">
        <v>12012071</v>
      </c>
      <c r="AE46" s="53"/>
      <c r="AF46" s="53">
        <f>11123451-1383551</f>
        <v>9739900</v>
      </c>
      <c r="AG46" s="53"/>
      <c r="AH46" s="53">
        <v>1383551</v>
      </c>
      <c r="AI46" s="53"/>
      <c r="AJ46" s="45">
        <f t="shared" si="7"/>
        <v>888620</v>
      </c>
      <c r="AK46" s="45"/>
      <c r="AL46" s="53">
        <v>-663777</v>
      </c>
      <c r="AM46" s="45"/>
      <c r="AN46" s="53">
        <v>0</v>
      </c>
      <c r="AO46" s="53"/>
      <c r="AP46" s="53">
        <v>0</v>
      </c>
      <c r="AQ46" s="53"/>
      <c r="AR46" s="53">
        <f>1108913+244112</f>
        <v>1353025</v>
      </c>
      <c r="AS46" s="53"/>
      <c r="AT46" s="45">
        <f t="shared" si="4"/>
        <v>1577868</v>
      </c>
      <c r="AU46" s="45"/>
      <c r="AV46" s="53">
        <v>0</v>
      </c>
      <c r="AW46" s="53"/>
      <c r="AX46" s="53">
        <v>0</v>
      </c>
      <c r="AY46" s="53"/>
      <c r="AZ46" s="53">
        <f t="shared" si="6"/>
        <v>10647327</v>
      </c>
      <c r="BA46" s="51"/>
      <c r="BB46" s="44" t="s">
        <v>62</v>
      </c>
      <c r="BD46" s="35" t="s">
        <v>15</v>
      </c>
      <c r="BE46" s="53"/>
      <c r="BF46" s="53">
        <v>5360866</v>
      </c>
      <c r="BG46" s="53"/>
      <c r="BH46" s="53">
        <v>0</v>
      </c>
      <c r="BI46" s="53"/>
      <c r="BJ46" s="53">
        <f>21666780-8054653+497536</f>
        <v>14109663</v>
      </c>
      <c r="BK46" s="53"/>
      <c r="BL46" s="53">
        <f>1303742/2+12113.5</f>
        <v>663984.5</v>
      </c>
      <c r="BM46" s="53"/>
      <c r="BN46" s="53">
        <f t="shared" si="5"/>
        <v>20134513.5</v>
      </c>
      <c r="BO46" s="54"/>
      <c r="BS46" s="55"/>
      <c r="BT46" s="55"/>
      <c r="BU46" s="84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</row>
    <row r="47" spans="1:95" s="35" customFormat="1" ht="12.75" customHeight="1">
      <c r="A47" s="35" t="s">
        <v>485</v>
      </c>
      <c r="B47" s="51"/>
      <c r="C47" s="35" t="s">
        <v>111</v>
      </c>
      <c r="D47" s="44"/>
      <c r="E47" s="53">
        <f t="shared" si="0"/>
        <v>126201</v>
      </c>
      <c r="F47" s="53"/>
      <c r="G47" s="53">
        <v>1167198</v>
      </c>
      <c r="H47" s="53"/>
      <c r="I47" s="53">
        <v>1293399</v>
      </c>
      <c r="J47" s="53"/>
      <c r="K47" s="53">
        <f t="shared" si="1"/>
        <v>9201</v>
      </c>
      <c r="L47" s="53"/>
      <c r="M47" s="53">
        <v>0</v>
      </c>
      <c r="N47" s="53"/>
      <c r="O47" s="53">
        <v>9201</v>
      </c>
      <c r="P47" s="53"/>
      <c r="Q47" s="53">
        <v>1167198</v>
      </c>
      <c r="R47" s="53"/>
      <c r="S47" s="53">
        <v>0</v>
      </c>
      <c r="T47" s="53"/>
      <c r="U47" s="53">
        <v>117000</v>
      </c>
      <c r="V47" s="53"/>
      <c r="W47" s="53">
        <f t="shared" si="8"/>
        <v>1284198</v>
      </c>
      <c r="X47" s="51"/>
      <c r="Y47" s="51"/>
      <c r="Z47" s="35" t="s">
        <v>485</v>
      </c>
      <c r="AA47" s="51"/>
      <c r="AB47" s="35" t="s">
        <v>111</v>
      </c>
      <c r="AC47" s="51"/>
      <c r="AD47" s="53">
        <v>207506</v>
      </c>
      <c r="AE47" s="53"/>
      <c r="AF47" s="53">
        <f>236856-53372</f>
        <v>183484</v>
      </c>
      <c r="AG47" s="53"/>
      <c r="AH47" s="53">
        <v>53372</v>
      </c>
      <c r="AI47" s="53"/>
      <c r="AJ47" s="45">
        <f t="shared" si="7"/>
        <v>-29350</v>
      </c>
      <c r="AK47" s="45"/>
      <c r="AL47" s="53">
        <v>0</v>
      </c>
      <c r="AM47" s="45"/>
      <c r="AN47" s="53">
        <v>0</v>
      </c>
      <c r="AO47" s="53"/>
      <c r="AP47" s="53">
        <v>0</v>
      </c>
      <c r="AQ47" s="53"/>
      <c r="AR47" s="53">
        <v>0</v>
      </c>
      <c r="AS47" s="53"/>
      <c r="AT47" s="45">
        <f>+AJ47+AL47+AN47-AP47+AR47</f>
        <v>-29350</v>
      </c>
      <c r="AU47" s="45"/>
      <c r="AV47" s="53">
        <v>0</v>
      </c>
      <c r="AW47" s="53"/>
      <c r="AX47" s="53">
        <v>0</v>
      </c>
      <c r="AY47" s="53"/>
      <c r="AZ47" s="53">
        <f>E47-K47</f>
        <v>117000</v>
      </c>
      <c r="BA47" s="51"/>
      <c r="BB47" s="35" t="s">
        <v>485</v>
      </c>
      <c r="BC47" s="51"/>
      <c r="BD47" s="35" t="s">
        <v>111</v>
      </c>
      <c r="BE47" s="53"/>
      <c r="BF47" s="53">
        <v>0</v>
      </c>
      <c r="BG47" s="53"/>
      <c r="BH47" s="53">
        <v>0</v>
      </c>
      <c r="BI47" s="53"/>
      <c r="BJ47" s="53">
        <v>0</v>
      </c>
      <c r="BK47" s="53"/>
      <c r="BL47" s="53">
        <v>0</v>
      </c>
      <c r="BM47" s="53"/>
      <c r="BN47" s="53">
        <f t="shared" si="5"/>
        <v>0</v>
      </c>
      <c r="BO47" s="54"/>
      <c r="BS47" s="55"/>
      <c r="BT47" s="55"/>
      <c r="BU47" s="84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</row>
    <row r="48" spans="1:95" s="35" customFormat="1" ht="12.75" customHeight="1">
      <c r="A48" s="35" t="s">
        <v>63</v>
      </c>
      <c r="B48" s="51"/>
      <c r="C48" s="35" t="s">
        <v>64</v>
      </c>
      <c r="D48" s="44"/>
      <c r="E48" s="53">
        <f t="shared" si="0"/>
        <v>1521465</v>
      </c>
      <c r="F48" s="53"/>
      <c r="G48" s="53">
        <v>12778942</v>
      </c>
      <c r="H48" s="53"/>
      <c r="I48" s="53">
        <v>14300407</v>
      </c>
      <c r="J48" s="53"/>
      <c r="K48" s="53">
        <f t="shared" si="1"/>
        <v>1128154</v>
      </c>
      <c r="L48" s="53"/>
      <c r="M48" s="53">
        <v>6901869</v>
      </c>
      <c r="N48" s="53"/>
      <c r="O48" s="53">
        <v>8030023</v>
      </c>
      <c r="P48" s="53"/>
      <c r="Q48" s="53">
        <v>5006786</v>
      </c>
      <c r="R48" s="53"/>
      <c r="S48" s="53">
        <v>0</v>
      </c>
      <c r="T48" s="53"/>
      <c r="U48" s="53">
        <v>1263598</v>
      </c>
      <c r="V48" s="53"/>
      <c r="W48" s="53">
        <f t="shared" si="8"/>
        <v>6270384</v>
      </c>
      <c r="X48" s="51"/>
      <c r="Y48" s="51"/>
      <c r="Z48" s="35" t="s">
        <v>63</v>
      </c>
      <c r="AA48" s="53"/>
      <c r="AB48" s="35" t="s">
        <v>64</v>
      </c>
      <c r="AC48" s="51"/>
      <c r="AD48" s="53">
        <v>3015480</v>
      </c>
      <c r="AE48" s="53"/>
      <c r="AF48" s="53">
        <f>2761719-378571</f>
        <v>2383148</v>
      </c>
      <c r="AG48" s="53"/>
      <c r="AH48" s="53">
        <v>378571</v>
      </c>
      <c r="AI48" s="53"/>
      <c r="AJ48" s="45">
        <f t="shared" si="7"/>
        <v>253761</v>
      </c>
      <c r="AK48" s="45"/>
      <c r="AL48" s="53">
        <v>-328488</v>
      </c>
      <c r="AM48" s="45"/>
      <c r="AN48" s="53">
        <v>20102</v>
      </c>
      <c r="AO48" s="53"/>
      <c r="AP48" s="53">
        <v>0</v>
      </c>
      <c r="AQ48" s="53"/>
      <c r="AR48" s="53">
        <v>223435</v>
      </c>
      <c r="AS48" s="53"/>
      <c r="AT48" s="45">
        <f t="shared" si="4"/>
        <v>168810</v>
      </c>
      <c r="AU48" s="45"/>
      <c r="AV48" s="53">
        <v>0</v>
      </c>
      <c r="AW48" s="53"/>
      <c r="AX48" s="53">
        <v>0</v>
      </c>
      <c r="AY48" s="53"/>
      <c r="AZ48" s="53">
        <f t="shared" si="6"/>
        <v>393311</v>
      </c>
      <c r="BA48" s="51"/>
      <c r="BB48" s="35" t="s">
        <v>63</v>
      </c>
      <c r="BC48" s="51"/>
      <c r="BD48" s="35" t="s">
        <v>64</v>
      </c>
      <c r="BE48" s="53"/>
      <c r="BF48" s="53">
        <f>115000+449687</f>
        <v>564687</v>
      </c>
      <c r="BG48" s="53"/>
      <c r="BH48" s="53">
        <v>0</v>
      </c>
      <c r="BI48" s="53"/>
      <c r="BJ48" s="53">
        <f>24162+246482+6046474+55357</f>
        <v>6372475</v>
      </c>
      <c r="BK48" s="53"/>
      <c r="BL48" s="53">
        <v>55357</v>
      </c>
      <c r="BM48" s="53"/>
      <c r="BN48" s="53">
        <f t="shared" si="5"/>
        <v>6992519</v>
      </c>
      <c r="BO48" s="54"/>
      <c r="BS48" s="55"/>
      <c r="BT48" s="55"/>
      <c r="BU48" s="84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</row>
    <row r="49" spans="1:95" s="126" customFormat="1" ht="12.75" hidden="1" customHeight="1">
      <c r="A49" s="126" t="s">
        <v>65</v>
      </c>
      <c r="B49" s="124"/>
      <c r="C49" s="126" t="s">
        <v>66</v>
      </c>
      <c r="D49" s="121"/>
      <c r="E49" s="53">
        <f t="shared" si="0"/>
        <v>0</v>
      </c>
      <c r="F49" s="53"/>
      <c r="G49" s="53">
        <v>0</v>
      </c>
      <c r="H49" s="53"/>
      <c r="I49" s="53">
        <v>0</v>
      </c>
      <c r="J49" s="53"/>
      <c r="K49" s="53">
        <f t="shared" si="1"/>
        <v>0</v>
      </c>
      <c r="L49" s="53"/>
      <c r="M49" s="53">
        <v>0</v>
      </c>
      <c r="N49" s="53"/>
      <c r="O49" s="53">
        <v>0</v>
      </c>
      <c r="P49" s="53"/>
      <c r="Q49" s="53">
        <v>0</v>
      </c>
      <c r="R49" s="53"/>
      <c r="S49" s="53">
        <v>0</v>
      </c>
      <c r="T49" s="53"/>
      <c r="U49" s="53">
        <v>0</v>
      </c>
      <c r="V49" s="53"/>
      <c r="W49" s="53">
        <f t="shared" si="8"/>
        <v>0</v>
      </c>
      <c r="X49" s="51"/>
      <c r="Y49" s="51"/>
      <c r="Z49" s="35" t="s">
        <v>65</v>
      </c>
      <c r="AA49" s="53"/>
      <c r="AB49" s="35" t="s">
        <v>66</v>
      </c>
      <c r="AC49" s="51"/>
      <c r="AD49" s="53">
        <v>0</v>
      </c>
      <c r="AE49" s="53"/>
      <c r="AF49" s="53">
        <v>0</v>
      </c>
      <c r="AG49" s="53"/>
      <c r="AH49" s="53">
        <v>0</v>
      </c>
      <c r="AI49" s="53"/>
      <c r="AJ49" s="45">
        <f t="shared" si="7"/>
        <v>0</v>
      </c>
      <c r="AK49" s="45"/>
      <c r="AL49" s="53">
        <v>0</v>
      </c>
      <c r="AM49" s="45"/>
      <c r="AN49" s="53">
        <v>0</v>
      </c>
      <c r="AO49" s="53"/>
      <c r="AP49" s="53">
        <v>0</v>
      </c>
      <c r="AQ49" s="53"/>
      <c r="AR49" s="53">
        <v>0</v>
      </c>
      <c r="AS49" s="53"/>
      <c r="AT49" s="45">
        <f t="shared" si="4"/>
        <v>0</v>
      </c>
      <c r="AU49" s="45"/>
      <c r="AV49" s="53">
        <v>0</v>
      </c>
      <c r="AW49" s="53"/>
      <c r="AX49" s="53">
        <v>0</v>
      </c>
      <c r="AY49" s="53"/>
      <c r="AZ49" s="53">
        <f t="shared" si="6"/>
        <v>0</v>
      </c>
      <c r="BA49" s="51"/>
      <c r="BB49" s="35" t="s">
        <v>65</v>
      </c>
      <c r="BC49" s="35"/>
      <c r="BD49" s="35" t="s">
        <v>66</v>
      </c>
      <c r="BE49" s="53"/>
      <c r="BF49" s="53">
        <v>0</v>
      </c>
      <c r="BG49" s="53"/>
      <c r="BH49" s="53">
        <v>0</v>
      </c>
      <c r="BI49" s="53"/>
      <c r="BJ49" s="53">
        <v>0</v>
      </c>
      <c r="BK49" s="53"/>
      <c r="BL49" s="53">
        <v>0</v>
      </c>
      <c r="BM49" s="53"/>
      <c r="BN49" s="53">
        <f t="shared" si="5"/>
        <v>0</v>
      </c>
      <c r="BO49" s="139"/>
      <c r="BS49" s="140"/>
      <c r="BT49" s="140"/>
      <c r="BU49" s="141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</row>
    <row r="50" spans="1:95" s="35" customFormat="1" ht="12.75" customHeight="1">
      <c r="A50" s="35" t="s">
        <v>67</v>
      </c>
      <c r="B50" s="51"/>
      <c r="C50" s="35" t="s">
        <v>375</v>
      </c>
      <c r="D50" s="44"/>
      <c r="E50" s="53">
        <f t="shared" si="0"/>
        <v>1654445</v>
      </c>
      <c r="F50" s="53"/>
      <c r="G50" s="53">
        <v>12744080</v>
      </c>
      <c r="H50" s="53"/>
      <c r="I50" s="53">
        <v>14398525</v>
      </c>
      <c r="J50" s="53"/>
      <c r="K50" s="53">
        <f t="shared" si="1"/>
        <v>530621</v>
      </c>
      <c r="L50" s="53"/>
      <c r="M50" s="53">
        <v>5310535</v>
      </c>
      <c r="N50" s="53"/>
      <c r="O50" s="53">
        <v>5841156</v>
      </c>
      <c r="P50" s="53"/>
      <c r="Q50" s="53">
        <v>7257527</v>
      </c>
      <c r="R50" s="53"/>
      <c r="S50" s="53">
        <v>0</v>
      </c>
      <c r="T50" s="53"/>
      <c r="U50" s="53">
        <v>1299842</v>
      </c>
      <c r="V50" s="53"/>
      <c r="W50" s="53">
        <f t="shared" si="8"/>
        <v>8557369</v>
      </c>
      <c r="X50" s="51"/>
      <c r="Y50" s="51"/>
      <c r="Z50" s="35" t="s">
        <v>67</v>
      </c>
      <c r="AA50" s="53"/>
      <c r="AB50" s="35" t="s">
        <v>375</v>
      </c>
      <c r="AC50" s="51"/>
      <c r="AD50" s="53">
        <v>850695</v>
      </c>
      <c r="AE50" s="53"/>
      <c r="AF50" s="53">
        <f>974587-155010</f>
        <v>819577</v>
      </c>
      <c r="AG50" s="53"/>
      <c r="AH50" s="53">
        <v>155010</v>
      </c>
      <c r="AI50" s="53"/>
      <c r="AJ50" s="45">
        <f t="shared" si="7"/>
        <v>-123892</v>
      </c>
      <c r="AK50" s="45"/>
      <c r="AL50" s="53">
        <v>-203126</v>
      </c>
      <c r="AM50" s="45"/>
      <c r="AN50" s="53">
        <v>387000</v>
      </c>
      <c r="AO50" s="53"/>
      <c r="AP50" s="53">
        <v>0</v>
      </c>
      <c r="AQ50" s="53"/>
      <c r="AR50" s="53">
        <v>0</v>
      </c>
      <c r="AS50" s="53"/>
      <c r="AT50" s="45">
        <f t="shared" si="4"/>
        <v>59982</v>
      </c>
      <c r="AU50" s="45"/>
      <c r="AV50" s="53">
        <v>0</v>
      </c>
      <c r="AW50" s="53"/>
      <c r="AX50" s="53">
        <v>0</v>
      </c>
      <c r="AY50" s="53"/>
      <c r="AZ50" s="53">
        <f t="shared" si="6"/>
        <v>1123824</v>
      </c>
      <c r="BA50" s="51"/>
      <c r="BB50" s="35" t="s">
        <v>67</v>
      </c>
      <c r="BD50" s="35" t="s">
        <v>375</v>
      </c>
      <c r="BE50" s="53"/>
      <c r="BF50" s="53">
        <v>0</v>
      </c>
      <c r="BG50" s="53"/>
      <c r="BH50" s="53">
        <v>0</v>
      </c>
      <c r="BI50" s="53"/>
      <c r="BJ50" s="53">
        <f>2600+236862+2600+5244491</f>
        <v>5486553</v>
      </c>
      <c r="BK50" s="53"/>
      <c r="BL50" s="53">
        <f>12794+63444</f>
        <v>76238</v>
      </c>
      <c r="BM50" s="53"/>
      <c r="BN50" s="53">
        <f t="shared" si="5"/>
        <v>5562791</v>
      </c>
      <c r="BO50" s="54"/>
      <c r="BS50" s="55"/>
      <c r="BT50" s="55"/>
      <c r="BU50" s="84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s="126" customFormat="1" ht="12.75" hidden="1" customHeight="1">
      <c r="A51" s="126" t="s">
        <v>68</v>
      </c>
      <c r="B51" s="124"/>
      <c r="C51" s="126" t="s">
        <v>45</v>
      </c>
      <c r="D51" s="121"/>
      <c r="E51" s="53">
        <f t="shared" si="0"/>
        <v>0</v>
      </c>
      <c r="F51" s="137"/>
      <c r="G51" s="53">
        <v>0</v>
      </c>
      <c r="H51" s="53"/>
      <c r="I51" s="53">
        <v>0</v>
      </c>
      <c r="J51" s="137"/>
      <c r="K51" s="137">
        <f t="shared" si="1"/>
        <v>0</v>
      </c>
      <c r="L51" s="137"/>
      <c r="M51" s="53">
        <v>0</v>
      </c>
      <c r="N51" s="53"/>
      <c r="O51" s="53">
        <v>0</v>
      </c>
      <c r="P51" s="53"/>
      <c r="Q51" s="53">
        <v>0</v>
      </c>
      <c r="R51" s="53"/>
      <c r="S51" s="53">
        <v>0</v>
      </c>
      <c r="T51" s="53"/>
      <c r="U51" s="53">
        <v>0</v>
      </c>
      <c r="V51" s="137"/>
      <c r="W51" s="137">
        <f t="shared" si="8"/>
        <v>0</v>
      </c>
      <c r="X51" s="124"/>
      <c r="Y51" s="124"/>
      <c r="Z51" s="126" t="s">
        <v>68</v>
      </c>
      <c r="AA51" s="137"/>
      <c r="AB51" s="126" t="s">
        <v>45</v>
      </c>
      <c r="AC51" s="124"/>
      <c r="AD51" s="53">
        <v>0</v>
      </c>
      <c r="AE51" s="53"/>
      <c r="AF51" s="53">
        <v>0</v>
      </c>
      <c r="AG51" s="53"/>
      <c r="AH51" s="53">
        <v>0</v>
      </c>
      <c r="AI51" s="53"/>
      <c r="AJ51" s="45">
        <f t="shared" si="7"/>
        <v>0</v>
      </c>
      <c r="AK51" s="45"/>
      <c r="AL51" s="53">
        <v>0</v>
      </c>
      <c r="AM51" s="45"/>
      <c r="AN51" s="53">
        <v>0</v>
      </c>
      <c r="AO51" s="53"/>
      <c r="AP51" s="53">
        <v>0</v>
      </c>
      <c r="AQ51" s="53"/>
      <c r="AR51" s="53">
        <v>0</v>
      </c>
      <c r="AS51" s="137"/>
      <c r="AT51" s="127">
        <f t="shared" si="4"/>
        <v>0</v>
      </c>
      <c r="AU51" s="127"/>
      <c r="AV51" s="137">
        <v>0</v>
      </c>
      <c r="AW51" s="137"/>
      <c r="AX51" s="137">
        <v>0</v>
      </c>
      <c r="AY51" s="137"/>
      <c r="AZ51" s="137">
        <f t="shared" si="6"/>
        <v>0</v>
      </c>
      <c r="BA51" s="124"/>
      <c r="BB51" s="126" t="s">
        <v>68</v>
      </c>
      <c r="BD51" s="126" t="s">
        <v>45</v>
      </c>
      <c r="BE51" s="137"/>
      <c r="BF51" s="53">
        <v>0</v>
      </c>
      <c r="BG51" s="53"/>
      <c r="BH51" s="53">
        <v>0</v>
      </c>
      <c r="BI51" s="53"/>
      <c r="BJ51" s="53">
        <v>0</v>
      </c>
      <c r="BK51" s="53"/>
      <c r="BL51" s="53">
        <v>0</v>
      </c>
      <c r="BM51" s="137"/>
      <c r="BN51" s="137">
        <f t="shared" si="5"/>
        <v>0</v>
      </c>
      <c r="BO51" s="139"/>
      <c r="BP51" s="140"/>
      <c r="BQ51" s="140"/>
      <c r="BS51" s="140"/>
      <c r="BT51" s="140"/>
      <c r="BU51" s="141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</row>
    <row r="52" spans="1:95" s="35" customFormat="1" ht="12.75" customHeight="1">
      <c r="A52" s="35" t="s">
        <v>69</v>
      </c>
      <c r="B52" s="51"/>
      <c r="C52" s="35" t="s">
        <v>70</v>
      </c>
      <c r="D52" s="44"/>
      <c r="E52" s="53">
        <f t="shared" si="0"/>
        <v>2454063</v>
      </c>
      <c r="F52" s="53"/>
      <c r="G52" s="53">
        <v>24977156</v>
      </c>
      <c r="H52" s="53"/>
      <c r="I52" s="53">
        <v>27431219</v>
      </c>
      <c r="J52" s="53"/>
      <c r="K52" s="53">
        <f t="shared" si="1"/>
        <v>1509662</v>
      </c>
      <c r="L52" s="53"/>
      <c r="M52" s="53">
        <v>4930425</v>
      </c>
      <c r="N52" s="53"/>
      <c r="O52" s="53">
        <v>6440087</v>
      </c>
      <c r="P52" s="53"/>
      <c r="Q52" s="53">
        <v>16310933</v>
      </c>
      <c r="R52" s="53"/>
      <c r="S52" s="53">
        <f>1694714+1200000</f>
        <v>2894714</v>
      </c>
      <c r="T52" s="53"/>
      <c r="U52" s="53">
        <v>1785485</v>
      </c>
      <c r="V52" s="53"/>
      <c r="W52" s="53">
        <f t="shared" si="8"/>
        <v>20991132</v>
      </c>
      <c r="X52" s="51"/>
      <c r="Y52" s="51"/>
      <c r="Z52" s="35" t="s">
        <v>69</v>
      </c>
      <c r="AA52" s="53"/>
      <c r="AB52" s="35" t="s">
        <v>70</v>
      </c>
      <c r="AC52" s="51"/>
      <c r="AD52" s="53">
        <v>4480260</v>
      </c>
      <c r="AE52" s="53"/>
      <c r="AF52" s="53">
        <f>3988773-677799</f>
        <v>3310974</v>
      </c>
      <c r="AG52" s="53"/>
      <c r="AH52" s="53">
        <v>677799</v>
      </c>
      <c r="AI52" s="53"/>
      <c r="AJ52" s="45">
        <f t="shared" si="7"/>
        <v>491487</v>
      </c>
      <c r="AK52" s="45"/>
      <c r="AL52" s="53">
        <v>-411299</v>
      </c>
      <c r="AM52" s="45"/>
      <c r="AN52" s="53">
        <v>9293</v>
      </c>
      <c r="AO52" s="53"/>
      <c r="AP52" s="53">
        <v>4382</v>
      </c>
      <c r="AQ52" s="53"/>
      <c r="AR52" s="53">
        <v>0</v>
      </c>
      <c r="AS52" s="53"/>
      <c r="AT52" s="45">
        <f t="shared" si="4"/>
        <v>85099</v>
      </c>
      <c r="AU52" s="45"/>
      <c r="AV52" s="53">
        <v>0</v>
      </c>
      <c r="AW52" s="53"/>
      <c r="AX52" s="53">
        <v>0</v>
      </c>
      <c r="AY52" s="53"/>
      <c r="AZ52" s="53">
        <f t="shared" si="6"/>
        <v>944401</v>
      </c>
      <c r="BA52" s="51"/>
      <c r="BB52" s="35" t="s">
        <v>69</v>
      </c>
      <c r="BD52" s="35" t="s">
        <v>70</v>
      </c>
      <c r="BE52" s="53"/>
      <c r="BF52" s="53">
        <v>0</v>
      </c>
      <c r="BG52" s="53"/>
      <c r="BH52" s="53">
        <f>1050000+4718523</f>
        <v>5768523</v>
      </c>
      <c r="BI52" s="53"/>
      <c r="BJ52" s="53">
        <v>0</v>
      </c>
      <c r="BK52" s="53"/>
      <c r="BL52" s="53">
        <f>132684+2538+211454+448</f>
        <v>347124</v>
      </c>
      <c r="BM52" s="53"/>
      <c r="BN52" s="53">
        <f t="shared" si="5"/>
        <v>6115647</v>
      </c>
      <c r="BO52" s="54"/>
      <c r="BS52" s="55"/>
      <c r="BT52" s="55"/>
      <c r="BU52" s="84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</row>
    <row r="53" spans="1:95" s="35" customFormat="1" ht="12.75" customHeight="1">
      <c r="A53" s="64" t="s">
        <v>71</v>
      </c>
      <c r="B53" s="64"/>
      <c r="C53" s="64" t="s">
        <v>45</v>
      </c>
      <c r="D53" s="46"/>
      <c r="E53" s="53">
        <f t="shared" si="0"/>
        <v>131515000</v>
      </c>
      <c r="F53" s="53"/>
      <c r="G53" s="53">
        <v>948737000</v>
      </c>
      <c r="H53" s="53"/>
      <c r="I53" s="53">
        <v>1080252000</v>
      </c>
      <c r="J53" s="53"/>
      <c r="K53" s="53">
        <f t="shared" si="1"/>
        <v>32777000</v>
      </c>
      <c r="L53" s="53"/>
      <c r="M53" s="53">
        <v>455910000</v>
      </c>
      <c r="N53" s="53"/>
      <c r="O53" s="53">
        <v>488687000</v>
      </c>
      <c r="P53" s="53"/>
      <c r="Q53" s="53">
        <v>486085000</v>
      </c>
      <c r="R53" s="53"/>
      <c r="S53" s="53">
        <v>104798000</v>
      </c>
      <c r="T53" s="53"/>
      <c r="U53" s="53">
        <v>682000</v>
      </c>
      <c r="V53" s="53"/>
      <c r="W53" s="53">
        <f t="shared" si="8"/>
        <v>591565000</v>
      </c>
      <c r="Z53" s="64" t="s">
        <v>71</v>
      </c>
      <c r="AA53" s="79"/>
      <c r="AB53" s="64" t="s">
        <v>45</v>
      </c>
      <c r="AC53" s="66"/>
      <c r="AD53" s="53">
        <v>117441000</v>
      </c>
      <c r="AE53" s="53"/>
      <c r="AF53" s="53">
        <f>101306000-24161000</f>
        <v>77145000</v>
      </c>
      <c r="AG53" s="53"/>
      <c r="AH53" s="53">
        <v>24161000</v>
      </c>
      <c r="AI53" s="53"/>
      <c r="AJ53" s="45">
        <f t="shared" si="7"/>
        <v>16135000</v>
      </c>
      <c r="AK53" s="45"/>
      <c r="AL53" s="53">
        <v>-12190000</v>
      </c>
      <c r="AM53" s="45"/>
      <c r="AN53" s="53">
        <v>0</v>
      </c>
      <c r="AO53" s="53"/>
      <c r="AP53" s="53">
        <v>0</v>
      </c>
      <c r="AQ53" s="53"/>
      <c r="AR53" s="53">
        <v>9704000</v>
      </c>
      <c r="AS53" s="53"/>
      <c r="AT53" s="45">
        <f t="shared" si="4"/>
        <v>13649000</v>
      </c>
      <c r="AU53" s="45"/>
      <c r="AV53" s="53">
        <v>0</v>
      </c>
      <c r="AW53" s="53"/>
      <c r="AX53" s="53">
        <v>0</v>
      </c>
      <c r="AY53" s="53"/>
      <c r="AZ53" s="53">
        <f t="shared" si="6"/>
        <v>98738000</v>
      </c>
      <c r="BA53" s="51"/>
      <c r="BB53" s="64" t="s">
        <v>71</v>
      </c>
      <c r="BC53" s="64"/>
      <c r="BD53" s="64" t="s">
        <v>45</v>
      </c>
      <c r="BE53" s="79"/>
      <c r="BF53" s="53">
        <f>2000000+7800000</f>
        <v>9800000</v>
      </c>
      <c r="BG53" s="53"/>
      <c r="BH53" s="53">
        <f>148652+401100000</f>
        <v>401248652</v>
      </c>
      <c r="BI53" s="53"/>
      <c r="BJ53" s="53">
        <f>156000+225000+2416000+4695000</f>
        <v>7492000</v>
      </c>
      <c r="BK53" s="53"/>
      <c r="BL53" s="53">
        <f>3746000+193000+3626000+158000</f>
        <v>7723000</v>
      </c>
      <c r="BM53" s="53"/>
      <c r="BN53" s="53">
        <f t="shared" si="5"/>
        <v>426263652</v>
      </c>
      <c r="BO53" s="54"/>
      <c r="BS53" s="55"/>
      <c r="BT53" s="55"/>
      <c r="BU53" s="84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</row>
    <row r="54" spans="1:95" s="35" customFormat="1" ht="12.75" customHeight="1">
      <c r="A54" s="44" t="s">
        <v>463</v>
      </c>
      <c r="B54" s="51"/>
      <c r="C54" s="44" t="s">
        <v>464</v>
      </c>
      <c r="D54" s="44"/>
      <c r="E54" s="53">
        <f t="shared" si="0"/>
        <v>4012590</v>
      </c>
      <c r="F54" s="53"/>
      <c r="G54" s="53">
        <v>6937927</v>
      </c>
      <c r="H54" s="53"/>
      <c r="I54" s="53">
        <v>10950517</v>
      </c>
      <c r="J54" s="53"/>
      <c r="K54" s="53">
        <f t="shared" si="1"/>
        <v>125222</v>
      </c>
      <c r="L54" s="53"/>
      <c r="M54" s="53">
        <v>1214345</v>
      </c>
      <c r="N54" s="53"/>
      <c r="O54" s="53">
        <v>1339567</v>
      </c>
      <c r="P54" s="53"/>
      <c r="Q54" s="53">
        <v>5698405</v>
      </c>
      <c r="R54" s="53"/>
      <c r="S54" s="53">
        <v>0</v>
      </c>
      <c r="T54" s="53"/>
      <c r="U54" s="53">
        <v>3912545</v>
      </c>
      <c r="V54" s="53"/>
      <c r="W54" s="53">
        <f t="shared" si="8"/>
        <v>9610950</v>
      </c>
      <c r="X54" s="51"/>
      <c r="Y54" s="51"/>
      <c r="Z54" s="44" t="s">
        <v>463</v>
      </c>
      <c r="AA54" s="51"/>
      <c r="AB54" s="44" t="s">
        <v>464</v>
      </c>
      <c r="AC54" s="51"/>
      <c r="AD54" s="53">
        <v>1481703</v>
      </c>
      <c r="AE54" s="53"/>
      <c r="AF54" s="53">
        <f>1413477-222673</f>
        <v>1190804</v>
      </c>
      <c r="AG54" s="53"/>
      <c r="AH54" s="53">
        <v>222673</v>
      </c>
      <c r="AI54" s="53"/>
      <c r="AJ54" s="45">
        <f t="shared" si="7"/>
        <v>68226</v>
      </c>
      <c r="AK54" s="45"/>
      <c r="AL54" s="53">
        <v>-52067</v>
      </c>
      <c r="AM54" s="45"/>
      <c r="AN54" s="53">
        <v>0</v>
      </c>
      <c r="AO54" s="53"/>
      <c r="AP54" s="53">
        <v>0</v>
      </c>
      <c r="AQ54" s="53"/>
      <c r="AR54" s="53">
        <v>0</v>
      </c>
      <c r="AS54" s="53"/>
      <c r="AT54" s="45">
        <f t="shared" si="4"/>
        <v>16159</v>
      </c>
      <c r="AU54" s="45"/>
      <c r="AV54" s="53">
        <v>0</v>
      </c>
      <c r="AW54" s="53"/>
      <c r="AX54" s="53">
        <v>0</v>
      </c>
      <c r="AY54" s="53"/>
      <c r="AZ54" s="53">
        <f t="shared" si="6"/>
        <v>3887368</v>
      </c>
      <c r="BA54" s="51"/>
      <c r="BB54" s="44" t="s">
        <v>463</v>
      </c>
      <c r="BC54" s="51"/>
      <c r="BD54" s="44" t="s">
        <v>464</v>
      </c>
      <c r="BE54" s="53"/>
      <c r="BF54" s="53">
        <f>45000+1190000</f>
        <v>1235000</v>
      </c>
      <c r="BG54" s="53"/>
      <c r="BH54" s="53">
        <v>0</v>
      </c>
      <c r="BI54" s="53"/>
      <c r="BJ54" s="53">
        <v>0</v>
      </c>
      <c r="BK54" s="53"/>
      <c r="BL54" s="53">
        <f>3467+27015+10055+23290</f>
        <v>63827</v>
      </c>
      <c r="BM54" s="53"/>
      <c r="BN54" s="53">
        <f t="shared" si="5"/>
        <v>1298827</v>
      </c>
      <c r="BO54" s="54"/>
      <c r="BS54" s="55"/>
      <c r="BT54" s="55"/>
      <c r="BU54" s="84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</row>
    <row r="55" spans="1:95" s="35" customFormat="1" ht="12.75" customHeight="1">
      <c r="A55" s="35" t="s">
        <v>72</v>
      </c>
      <c r="B55" s="51"/>
      <c r="C55" s="35" t="s">
        <v>66</v>
      </c>
      <c r="D55" s="44"/>
      <c r="E55" s="53">
        <f t="shared" si="0"/>
        <v>161893</v>
      </c>
      <c r="F55" s="53"/>
      <c r="G55" s="53">
        <v>3842784</v>
      </c>
      <c r="H55" s="53"/>
      <c r="I55" s="53">
        <v>4004677</v>
      </c>
      <c r="J55" s="53"/>
      <c r="K55" s="53">
        <f t="shared" si="1"/>
        <v>10698</v>
      </c>
      <c r="L55" s="53"/>
      <c r="M55" s="53">
        <v>4232359</v>
      </c>
      <c r="N55" s="53"/>
      <c r="O55" s="53">
        <v>4243057</v>
      </c>
      <c r="P55" s="53"/>
      <c r="Q55" s="53">
        <v>-389575</v>
      </c>
      <c r="R55" s="53"/>
      <c r="S55" s="53">
        <v>0</v>
      </c>
      <c r="T55" s="53"/>
      <c r="U55" s="53">
        <v>151195</v>
      </c>
      <c r="V55" s="53"/>
      <c r="W55" s="53">
        <f t="shared" si="8"/>
        <v>-238380</v>
      </c>
      <c r="X55" s="51"/>
      <c r="Y55" s="51"/>
      <c r="Z55" s="35" t="s">
        <v>72</v>
      </c>
      <c r="AA55" s="53"/>
      <c r="AB55" s="35" t="s">
        <v>66</v>
      </c>
      <c r="AC55" s="51"/>
      <c r="AD55" s="53">
        <v>48037</v>
      </c>
      <c r="AE55" s="53"/>
      <c r="AF55" s="53">
        <f>161076-69671</f>
        <v>91405</v>
      </c>
      <c r="AG55" s="53"/>
      <c r="AH55" s="53">
        <v>69671</v>
      </c>
      <c r="AI55" s="53"/>
      <c r="AJ55" s="45">
        <f t="shared" si="7"/>
        <v>-113039</v>
      </c>
      <c r="AK55" s="45"/>
      <c r="AL55" s="53">
        <v>0</v>
      </c>
      <c r="AM55" s="45"/>
      <c r="AN55" s="53">
        <v>0</v>
      </c>
      <c r="AO55" s="53"/>
      <c r="AP55" s="53">
        <v>0</v>
      </c>
      <c r="AQ55" s="53"/>
      <c r="AR55" s="53">
        <v>98773</v>
      </c>
      <c r="AS55" s="53"/>
      <c r="AT55" s="45">
        <f t="shared" si="4"/>
        <v>-14266</v>
      </c>
      <c r="AU55" s="45"/>
      <c r="AV55" s="53">
        <v>0</v>
      </c>
      <c r="AW55" s="53"/>
      <c r="AX55" s="53">
        <v>0</v>
      </c>
      <c r="AY55" s="53"/>
      <c r="AZ55" s="53">
        <f t="shared" si="6"/>
        <v>151195</v>
      </c>
      <c r="BA55" s="51"/>
      <c r="BB55" s="35" t="s">
        <v>72</v>
      </c>
      <c r="BD55" s="35" t="s">
        <v>66</v>
      </c>
      <c r="BE55" s="53"/>
      <c r="BF55" s="53">
        <v>0</v>
      </c>
      <c r="BG55" s="53"/>
      <c r="BH55" s="53">
        <v>0</v>
      </c>
      <c r="BI55" s="53"/>
      <c r="BJ55" s="53">
        <f>10648+4232359</f>
        <v>4243007</v>
      </c>
      <c r="BK55" s="53"/>
      <c r="BL55" s="53">
        <v>0</v>
      </c>
      <c r="BM55" s="53"/>
      <c r="BN55" s="53">
        <f t="shared" si="5"/>
        <v>4243007</v>
      </c>
      <c r="BO55" s="54"/>
      <c r="BS55" s="55"/>
      <c r="BT55" s="55"/>
      <c r="BU55" s="84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</row>
    <row r="56" spans="1:95" s="35" customFormat="1" ht="12.75" customHeight="1">
      <c r="A56" s="35" t="s">
        <v>73</v>
      </c>
      <c r="C56" s="35" t="s">
        <v>27</v>
      </c>
      <c r="D56" s="44"/>
      <c r="E56" s="53">
        <f t="shared" si="0"/>
        <v>291679000</v>
      </c>
      <c r="F56" s="53"/>
      <c r="G56" s="53">
        <v>1659745000</v>
      </c>
      <c r="H56" s="53"/>
      <c r="I56" s="53">
        <v>1951424000</v>
      </c>
      <c r="J56" s="53"/>
      <c r="K56" s="53">
        <f t="shared" si="1"/>
        <v>92285000</v>
      </c>
      <c r="L56" s="53"/>
      <c r="M56" s="53">
        <v>852303000</v>
      </c>
      <c r="N56" s="53"/>
      <c r="O56" s="53">
        <v>944588000</v>
      </c>
      <c r="P56" s="53"/>
      <c r="Q56" s="53">
        <v>682816000</v>
      </c>
      <c r="R56" s="53"/>
      <c r="S56" s="53">
        <v>98680000</v>
      </c>
      <c r="T56" s="53"/>
      <c r="U56" s="53">
        <v>225340000</v>
      </c>
      <c r="V56" s="53"/>
      <c r="W56" s="53">
        <f t="shared" si="2"/>
        <v>1006836000</v>
      </c>
      <c r="X56" s="51"/>
      <c r="Y56" s="51"/>
      <c r="Z56" s="35" t="s">
        <v>73</v>
      </c>
      <c r="AA56" s="53"/>
      <c r="AB56" s="35" t="s">
        <v>27</v>
      </c>
      <c r="AD56" s="53">
        <v>228235000</v>
      </c>
      <c r="AE56" s="53"/>
      <c r="AF56" s="53">
        <f>197498000-49782000</f>
        <v>147716000</v>
      </c>
      <c r="AG56" s="53"/>
      <c r="AH56" s="53">
        <v>49782000</v>
      </c>
      <c r="AI56" s="53"/>
      <c r="AJ56" s="45">
        <f t="shared" si="7"/>
        <v>30737000</v>
      </c>
      <c r="AK56" s="45"/>
      <c r="AL56" s="53">
        <v>-20653000</v>
      </c>
      <c r="AM56" s="45"/>
      <c r="AN56" s="53">
        <v>0</v>
      </c>
      <c r="AO56" s="53"/>
      <c r="AP56" s="53">
        <v>0</v>
      </c>
      <c r="AQ56" s="53"/>
      <c r="AR56" s="53">
        <v>460000</v>
      </c>
      <c r="AS56" s="53"/>
      <c r="AT56" s="45">
        <f t="shared" ref="AT56:AT81" si="9">+AJ56+AL56+AN56-AP56+AR56</f>
        <v>10544000</v>
      </c>
      <c r="AU56" s="45"/>
      <c r="AV56" s="53">
        <v>0</v>
      </c>
      <c r="AW56" s="53"/>
      <c r="AX56" s="53">
        <v>0</v>
      </c>
      <c r="AY56" s="53"/>
      <c r="AZ56" s="53">
        <f t="shared" ref="AZ56:AZ81" si="10">E56-K56</f>
        <v>199394000</v>
      </c>
      <c r="BA56" s="51"/>
      <c r="BB56" s="35" t="s">
        <v>73</v>
      </c>
      <c r="BD56" s="35" t="s">
        <v>27</v>
      </c>
      <c r="BE56" s="53"/>
      <c r="BF56" s="53">
        <v>0</v>
      </c>
      <c r="BG56" s="53"/>
      <c r="BH56" s="53">
        <f>751739000+37184000</f>
        <v>788923000</v>
      </c>
      <c r="BI56" s="53"/>
      <c r="BJ56" s="53">
        <v>98619000</v>
      </c>
      <c r="BK56" s="53"/>
      <c r="BL56" s="53">
        <v>1945000</v>
      </c>
      <c r="BM56" s="53"/>
      <c r="BN56" s="53">
        <f t="shared" si="5"/>
        <v>889487000</v>
      </c>
      <c r="BO56" s="54"/>
      <c r="BS56" s="55"/>
      <c r="BT56" s="55"/>
      <c r="BU56" s="84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</row>
    <row r="57" spans="1:95" s="126" customFormat="1" ht="12.75" hidden="1" customHeight="1">
      <c r="A57" s="126" t="s">
        <v>74</v>
      </c>
      <c r="B57" s="124"/>
      <c r="C57" s="126" t="s">
        <v>27</v>
      </c>
      <c r="D57" s="121"/>
      <c r="E57" s="53">
        <f t="shared" si="0"/>
        <v>0</v>
      </c>
      <c r="F57" s="137"/>
      <c r="G57" s="53">
        <v>0</v>
      </c>
      <c r="H57" s="53"/>
      <c r="I57" s="53">
        <v>0</v>
      </c>
      <c r="J57" s="137"/>
      <c r="K57" s="137">
        <f t="shared" si="1"/>
        <v>0</v>
      </c>
      <c r="L57" s="137"/>
      <c r="M57" s="53">
        <v>0</v>
      </c>
      <c r="N57" s="53"/>
      <c r="O57" s="53">
        <v>0</v>
      </c>
      <c r="P57" s="53"/>
      <c r="Q57" s="53">
        <v>0</v>
      </c>
      <c r="R57" s="53"/>
      <c r="S57" s="53">
        <v>0</v>
      </c>
      <c r="T57" s="53"/>
      <c r="U57" s="53">
        <v>0</v>
      </c>
      <c r="V57" s="137"/>
      <c r="W57" s="137">
        <f t="shared" si="2"/>
        <v>0</v>
      </c>
      <c r="X57" s="124"/>
      <c r="Y57" s="124"/>
      <c r="Z57" s="126" t="s">
        <v>74</v>
      </c>
      <c r="AA57" s="137"/>
      <c r="AB57" s="126" t="s">
        <v>27</v>
      </c>
      <c r="AC57" s="124"/>
      <c r="AD57" s="53">
        <v>0</v>
      </c>
      <c r="AE57" s="53"/>
      <c r="AF57" s="53">
        <v>0</v>
      </c>
      <c r="AG57" s="53"/>
      <c r="AH57" s="53">
        <v>0</v>
      </c>
      <c r="AI57" s="53"/>
      <c r="AJ57" s="45">
        <f t="shared" si="7"/>
        <v>0</v>
      </c>
      <c r="AK57" s="45"/>
      <c r="AL57" s="53">
        <v>0</v>
      </c>
      <c r="AM57" s="45"/>
      <c r="AN57" s="53">
        <v>0</v>
      </c>
      <c r="AO57" s="53"/>
      <c r="AP57" s="53">
        <v>0</v>
      </c>
      <c r="AQ57" s="53"/>
      <c r="AR57" s="53">
        <v>0</v>
      </c>
      <c r="AS57" s="137"/>
      <c r="AT57" s="127">
        <f t="shared" si="9"/>
        <v>0</v>
      </c>
      <c r="AU57" s="127"/>
      <c r="AV57" s="137">
        <v>0</v>
      </c>
      <c r="AW57" s="137"/>
      <c r="AX57" s="137">
        <v>0</v>
      </c>
      <c r="AY57" s="137"/>
      <c r="AZ57" s="137">
        <f t="shared" si="10"/>
        <v>0</v>
      </c>
      <c r="BA57" s="124"/>
      <c r="BB57" s="126" t="s">
        <v>74</v>
      </c>
      <c r="BD57" s="126" t="s">
        <v>27</v>
      </c>
      <c r="BE57" s="137"/>
      <c r="BF57" s="53">
        <v>0</v>
      </c>
      <c r="BG57" s="53"/>
      <c r="BH57" s="53">
        <v>0</v>
      </c>
      <c r="BI57" s="53"/>
      <c r="BJ57" s="53">
        <v>0</v>
      </c>
      <c r="BK57" s="53"/>
      <c r="BL57" s="53">
        <v>0</v>
      </c>
      <c r="BM57" s="137"/>
      <c r="BN57" s="137">
        <f t="shared" si="5"/>
        <v>0</v>
      </c>
      <c r="BO57" s="139"/>
      <c r="BS57" s="140"/>
      <c r="BT57" s="140"/>
      <c r="BU57" s="141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</row>
    <row r="58" spans="1:95" s="35" customFormat="1" ht="12.75" customHeight="1">
      <c r="A58" s="35" t="s">
        <v>75</v>
      </c>
      <c r="B58" s="51"/>
      <c r="C58" s="35" t="s">
        <v>76</v>
      </c>
      <c r="D58" s="44"/>
      <c r="E58" s="53">
        <f t="shared" si="0"/>
        <v>1503226</v>
      </c>
      <c r="F58" s="53"/>
      <c r="G58" s="53">
        <v>13463567</v>
      </c>
      <c r="H58" s="53"/>
      <c r="I58" s="53">
        <v>14966793</v>
      </c>
      <c r="J58" s="53"/>
      <c r="K58" s="53">
        <f t="shared" si="1"/>
        <v>468676</v>
      </c>
      <c r="L58" s="53"/>
      <c r="M58" s="53">
        <v>6113071</v>
      </c>
      <c r="N58" s="53"/>
      <c r="O58" s="53">
        <v>6581747</v>
      </c>
      <c r="P58" s="53"/>
      <c r="Q58" s="53">
        <v>6204524</v>
      </c>
      <c r="R58" s="53"/>
      <c r="S58" s="53">
        <v>892815</v>
      </c>
      <c r="T58" s="53"/>
      <c r="U58" s="53">
        <v>1317707</v>
      </c>
      <c r="V58" s="53"/>
      <c r="W58" s="53">
        <f t="shared" si="2"/>
        <v>8415046</v>
      </c>
      <c r="X58" s="51"/>
      <c r="Y58" s="51"/>
      <c r="Z58" s="35" t="s">
        <v>75</v>
      </c>
      <c r="AA58" s="53"/>
      <c r="AB58" s="35" t="s">
        <v>76</v>
      </c>
      <c r="AC58" s="51"/>
      <c r="AD58" s="53">
        <v>2645673</v>
      </c>
      <c r="AE58" s="53"/>
      <c r="AF58" s="53">
        <f>2374074-592936</f>
        <v>1781138</v>
      </c>
      <c r="AG58" s="53"/>
      <c r="AH58" s="53">
        <v>592936</v>
      </c>
      <c r="AI58" s="53"/>
      <c r="AJ58" s="45">
        <f t="shared" si="7"/>
        <v>271599</v>
      </c>
      <c r="AK58" s="45"/>
      <c r="AL58" s="53">
        <v>-297589</v>
      </c>
      <c r="AM58" s="45"/>
      <c r="AN58" s="53">
        <v>0</v>
      </c>
      <c r="AO58" s="53"/>
      <c r="AP58" s="53">
        <v>56000</v>
      </c>
      <c r="AQ58" s="53"/>
      <c r="AR58" s="53">
        <v>0</v>
      </c>
      <c r="AS58" s="53"/>
      <c r="AT58" s="45">
        <f t="shared" si="9"/>
        <v>-81990</v>
      </c>
      <c r="AU58" s="45"/>
      <c r="AV58" s="53">
        <v>0</v>
      </c>
      <c r="AW58" s="53"/>
      <c r="AX58" s="53">
        <v>0</v>
      </c>
      <c r="AY58" s="53"/>
      <c r="AZ58" s="53">
        <f t="shared" si="10"/>
        <v>1034550</v>
      </c>
      <c r="BA58" s="51"/>
      <c r="BB58" s="35" t="s">
        <v>75</v>
      </c>
      <c r="BD58" s="35" t="s">
        <v>76</v>
      </c>
      <c r="BE58" s="53"/>
      <c r="BF58" s="53">
        <f>240000+5150000</f>
        <v>5390000</v>
      </c>
      <c r="BG58" s="53"/>
      <c r="BH58" s="53">
        <v>0</v>
      </c>
      <c r="BI58" s="53"/>
      <c r="BJ58" s="53">
        <f>66458+909770</f>
        <v>976228</v>
      </c>
      <c r="BK58" s="53"/>
      <c r="BL58" s="53">
        <f>53301+15148</f>
        <v>68449</v>
      </c>
      <c r="BM58" s="53"/>
      <c r="BN58" s="53">
        <f t="shared" si="5"/>
        <v>6434677</v>
      </c>
      <c r="BO58" s="54"/>
      <c r="BS58" s="55"/>
      <c r="BT58" s="55"/>
      <c r="BU58" s="84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</row>
    <row r="59" spans="1:95" s="35" customFormat="1" ht="12.75" customHeight="1">
      <c r="A59" s="35" t="s">
        <v>77</v>
      </c>
      <c r="B59" s="51"/>
      <c r="C59" s="35" t="s">
        <v>43</v>
      </c>
      <c r="D59" s="44"/>
      <c r="E59" s="53">
        <f t="shared" si="0"/>
        <v>199145000</v>
      </c>
      <c r="F59" s="53"/>
      <c r="G59" s="53">
        <v>481527000</v>
      </c>
      <c r="H59" s="53"/>
      <c r="I59" s="53">
        <v>680672000</v>
      </c>
      <c r="J59" s="53"/>
      <c r="K59" s="53">
        <f t="shared" si="1"/>
        <v>49462000</v>
      </c>
      <c r="L59" s="53"/>
      <c r="M59" s="53">
        <v>370741000</v>
      </c>
      <c r="N59" s="53"/>
      <c r="O59" s="53">
        <v>420203000</v>
      </c>
      <c r="P59" s="53"/>
      <c r="Q59" s="53">
        <v>187446000</v>
      </c>
      <c r="R59" s="53"/>
      <c r="S59" s="53">
        <v>2756000</v>
      </c>
      <c r="T59" s="53"/>
      <c r="U59" s="53">
        <v>70267000</v>
      </c>
      <c r="V59" s="53"/>
      <c r="W59" s="53">
        <f t="shared" si="2"/>
        <v>260469000</v>
      </c>
      <c r="Z59" s="35" t="s">
        <v>77</v>
      </c>
      <c r="AA59" s="53"/>
      <c r="AB59" s="35" t="s">
        <v>43</v>
      </c>
      <c r="AC59" s="51"/>
      <c r="AD59" s="53">
        <v>145792000</v>
      </c>
      <c r="AE59" s="53"/>
      <c r="AF59" s="53">
        <f>113280000-17993000</f>
        <v>95287000</v>
      </c>
      <c r="AG59" s="53"/>
      <c r="AH59" s="53">
        <v>17993000</v>
      </c>
      <c r="AI59" s="53"/>
      <c r="AJ59" s="45">
        <f t="shared" si="7"/>
        <v>32512000</v>
      </c>
      <c r="AK59" s="45"/>
      <c r="AL59" s="53">
        <v>-11705000</v>
      </c>
      <c r="AM59" s="45"/>
      <c r="AN59" s="53">
        <v>66000</v>
      </c>
      <c r="AO59" s="53"/>
      <c r="AP59" s="53">
        <v>638000</v>
      </c>
      <c r="AQ59" s="53"/>
      <c r="AR59" s="53">
        <v>0</v>
      </c>
      <c r="AS59" s="53"/>
      <c r="AT59" s="45">
        <f t="shared" si="9"/>
        <v>20235000</v>
      </c>
      <c r="AU59" s="45"/>
      <c r="AV59" s="53">
        <v>0</v>
      </c>
      <c r="AW59" s="53"/>
      <c r="AX59" s="53">
        <v>0</v>
      </c>
      <c r="AY59" s="53"/>
      <c r="AZ59" s="53">
        <f t="shared" si="10"/>
        <v>149683000</v>
      </c>
      <c r="BA59" s="51"/>
      <c r="BB59" s="35" t="s">
        <v>77</v>
      </c>
      <c r="BD59" s="35" t="s">
        <v>43</v>
      </c>
      <c r="BE59" s="53"/>
      <c r="BF59" s="53">
        <f>36449000+370741000</f>
        <v>407190000</v>
      </c>
      <c r="BG59" s="53"/>
      <c r="BH59" s="53">
        <v>0</v>
      </c>
      <c r="BI59" s="53"/>
      <c r="BJ59" s="53">
        <v>0</v>
      </c>
      <c r="BK59" s="53"/>
      <c r="BL59" s="53">
        <v>0</v>
      </c>
      <c r="BM59" s="53"/>
      <c r="BN59" s="53">
        <f t="shared" si="5"/>
        <v>407190000</v>
      </c>
      <c r="BO59" s="54"/>
      <c r="BS59" s="55"/>
      <c r="BT59" s="55"/>
      <c r="BU59" s="84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</row>
    <row r="60" spans="1:95" s="35" customFormat="1" ht="12.75" customHeight="1">
      <c r="A60" s="35" t="s">
        <v>94</v>
      </c>
      <c r="B60" s="51"/>
      <c r="C60" s="35" t="s">
        <v>94</v>
      </c>
      <c r="D60" s="44"/>
      <c r="E60" s="53">
        <f t="shared" si="0"/>
        <v>723081</v>
      </c>
      <c r="F60" s="53"/>
      <c r="G60" s="53">
        <v>2849352</v>
      </c>
      <c r="H60" s="53"/>
      <c r="I60" s="53">
        <v>3572433</v>
      </c>
      <c r="J60" s="53"/>
      <c r="K60" s="53">
        <f>O60-M60</f>
        <v>1429180</v>
      </c>
      <c r="L60" s="53"/>
      <c r="M60" s="53">
        <v>184572</v>
      </c>
      <c r="N60" s="53"/>
      <c r="O60" s="53">
        <v>1613752</v>
      </c>
      <c r="P60" s="53"/>
      <c r="Q60" s="53">
        <v>1334352</v>
      </c>
      <c r="R60" s="53"/>
      <c r="S60" s="53">
        <v>0</v>
      </c>
      <c r="T60" s="53"/>
      <c r="U60" s="53">
        <v>624329</v>
      </c>
      <c r="V60" s="53"/>
      <c r="W60" s="53">
        <f>SUM(Q60:U60)</f>
        <v>1958681</v>
      </c>
      <c r="X60" s="51"/>
      <c r="Y60" s="51"/>
      <c r="Z60" s="35" t="str">
        <f>+A60</f>
        <v>Columbiana</v>
      </c>
      <c r="AA60" s="53"/>
      <c r="AB60" s="35" t="s">
        <v>94</v>
      </c>
      <c r="AC60" s="51"/>
      <c r="AD60" s="53">
        <v>1081433</v>
      </c>
      <c r="AE60" s="53"/>
      <c r="AF60" s="53">
        <f>910505-95030</f>
        <v>815475</v>
      </c>
      <c r="AG60" s="53"/>
      <c r="AH60" s="53">
        <v>95030</v>
      </c>
      <c r="AI60" s="53"/>
      <c r="AJ60" s="45">
        <f t="shared" si="7"/>
        <v>170928</v>
      </c>
      <c r="AK60" s="45"/>
      <c r="AL60" s="53">
        <v>-57041</v>
      </c>
      <c r="AM60" s="45"/>
      <c r="AN60" s="53">
        <v>0</v>
      </c>
      <c r="AO60" s="53"/>
      <c r="AP60" s="53">
        <v>2567</v>
      </c>
      <c r="AQ60" s="53"/>
      <c r="AR60" s="53">
        <v>31442</v>
      </c>
      <c r="AS60" s="53"/>
      <c r="AT60" s="45">
        <f t="shared" si="9"/>
        <v>142762</v>
      </c>
      <c r="AU60" s="45"/>
      <c r="AV60" s="53">
        <v>0</v>
      </c>
      <c r="AW60" s="53"/>
      <c r="AX60" s="53">
        <v>0</v>
      </c>
      <c r="AY60" s="53"/>
      <c r="AZ60" s="53">
        <f t="shared" si="10"/>
        <v>-706099</v>
      </c>
      <c r="BA60" s="51"/>
      <c r="BB60" s="35" t="str">
        <f>+Z60</f>
        <v>Columbiana</v>
      </c>
      <c r="BD60" s="35" t="s">
        <v>94</v>
      </c>
      <c r="BE60" s="53"/>
      <c r="BF60" s="53">
        <v>0</v>
      </c>
      <c r="BG60" s="53"/>
      <c r="BH60" s="53">
        <v>0</v>
      </c>
      <c r="BI60" s="53"/>
      <c r="BJ60" s="53">
        <v>0</v>
      </c>
      <c r="BK60" s="53"/>
      <c r="BL60" s="53">
        <f>165000+19572+10000+13991</f>
        <v>208563</v>
      </c>
      <c r="BM60" s="53"/>
      <c r="BN60" s="53">
        <f>SUM(BF60:BL60)</f>
        <v>208563</v>
      </c>
      <c r="BO60" s="54"/>
      <c r="BS60" s="55"/>
      <c r="BT60" s="55"/>
      <c r="BU60" s="84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</row>
    <row r="61" spans="1:95" s="35" customFormat="1" ht="12.75" customHeight="1">
      <c r="A61" s="35" t="s">
        <v>78</v>
      </c>
      <c r="B61" s="51"/>
      <c r="C61" s="35" t="s">
        <v>19</v>
      </c>
      <c r="D61" s="44"/>
      <c r="E61" s="53">
        <f t="shared" si="0"/>
        <v>985043</v>
      </c>
      <c r="F61" s="53"/>
      <c r="G61" s="53">
        <v>6758232</v>
      </c>
      <c r="H61" s="53"/>
      <c r="I61" s="53">
        <v>7743275</v>
      </c>
      <c r="J61" s="53"/>
      <c r="K61" s="53">
        <f t="shared" si="1"/>
        <v>783168</v>
      </c>
      <c r="L61" s="53"/>
      <c r="M61" s="53">
        <v>1181092</v>
      </c>
      <c r="N61" s="53"/>
      <c r="O61" s="53">
        <v>1964260</v>
      </c>
      <c r="P61" s="53"/>
      <c r="Q61" s="53">
        <v>5356120</v>
      </c>
      <c r="R61" s="53"/>
      <c r="S61" s="53">
        <v>0</v>
      </c>
      <c r="T61" s="53"/>
      <c r="U61" s="53">
        <v>422895</v>
      </c>
      <c r="V61" s="53"/>
      <c r="W61" s="53">
        <f t="shared" si="2"/>
        <v>5779015</v>
      </c>
      <c r="Z61" s="35" t="s">
        <v>78</v>
      </c>
      <c r="AA61" s="53"/>
      <c r="AB61" s="35" t="s">
        <v>19</v>
      </c>
      <c r="AC61" s="51"/>
      <c r="AD61" s="53">
        <v>2078764</v>
      </c>
      <c r="AE61" s="53"/>
      <c r="AF61" s="53">
        <f>2301040-208422</f>
        <v>2092618</v>
      </c>
      <c r="AG61" s="53"/>
      <c r="AH61" s="53">
        <v>208422</v>
      </c>
      <c r="AI61" s="53"/>
      <c r="AJ61" s="45">
        <f t="shared" si="7"/>
        <v>-222276</v>
      </c>
      <c r="AK61" s="45"/>
      <c r="AL61" s="53">
        <v>129302</v>
      </c>
      <c r="AM61" s="45"/>
      <c r="AN61" s="53">
        <v>0</v>
      </c>
      <c r="AO61" s="53"/>
      <c r="AP61" s="53">
        <v>0</v>
      </c>
      <c r="AQ61" s="53"/>
      <c r="AR61" s="53">
        <v>13755</v>
      </c>
      <c r="AS61" s="53"/>
      <c r="AT61" s="45">
        <f t="shared" si="9"/>
        <v>-79219</v>
      </c>
      <c r="AU61" s="45"/>
      <c r="AV61" s="53">
        <v>0</v>
      </c>
      <c r="AW61" s="53"/>
      <c r="AX61" s="53">
        <v>0</v>
      </c>
      <c r="AY61" s="53"/>
      <c r="AZ61" s="53">
        <f t="shared" si="10"/>
        <v>201875</v>
      </c>
      <c r="BA61" s="51"/>
      <c r="BB61" s="35" t="s">
        <v>78</v>
      </c>
      <c r="BD61" s="35" t="s">
        <v>19</v>
      </c>
      <c r="BE61" s="53"/>
      <c r="BF61" s="53">
        <f>531018+70000</f>
        <v>601018</v>
      </c>
      <c r="BG61" s="53"/>
      <c r="BH61" s="53">
        <v>0</v>
      </c>
      <c r="BI61" s="53"/>
      <c r="BJ61" s="53">
        <f>25174+29720+279140+227735</f>
        <v>561769</v>
      </c>
      <c r="BK61" s="53"/>
      <c r="BL61" s="53">
        <f>68260+15333+138000+5199+118053</f>
        <v>344845</v>
      </c>
      <c r="BM61" s="53"/>
      <c r="BN61" s="53">
        <f t="shared" si="5"/>
        <v>1507632</v>
      </c>
      <c r="BO61" s="54"/>
      <c r="BS61" s="55"/>
      <c r="BT61" s="55"/>
      <c r="BU61" s="84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</row>
    <row r="62" spans="1:95" s="35" customFormat="1" ht="12.75" customHeight="1">
      <c r="A62" s="35" t="s">
        <v>79</v>
      </c>
      <c r="C62" s="35" t="s">
        <v>80</v>
      </c>
      <c r="D62" s="44"/>
      <c r="E62" s="53">
        <f t="shared" si="0"/>
        <v>369882</v>
      </c>
      <c r="F62" s="53"/>
      <c r="G62" s="53">
        <v>3944092</v>
      </c>
      <c r="H62" s="53"/>
      <c r="I62" s="53">
        <v>4313974</v>
      </c>
      <c r="J62" s="53"/>
      <c r="K62" s="53">
        <f t="shared" si="1"/>
        <v>70025</v>
      </c>
      <c r="L62" s="53"/>
      <c r="M62" s="53">
        <v>861556</v>
      </c>
      <c r="N62" s="53"/>
      <c r="O62" s="53">
        <v>931581</v>
      </c>
      <c r="P62" s="53"/>
      <c r="Q62" s="53">
        <v>3062440</v>
      </c>
      <c r="R62" s="53"/>
      <c r="S62" s="53">
        <v>0</v>
      </c>
      <c r="T62" s="53"/>
      <c r="U62" s="53">
        <v>319953</v>
      </c>
      <c r="V62" s="53"/>
      <c r="W62" s="53">
        <f t="shared" si="2"/>
        <v>3382393</v>
      </c>
      <c r="X62" s="51"/>
      <c r="Y62" s="51"/>
      <c r="Z62" s="35" t="s">
        <v>79</v>
      </c>
      <c r="AA62" s="53"/>
      <c r="AB62" s="35" t="s">
        <v>80</v>
      </c>
      <c r="AD62" s="53">
        <v>594066</v>
      </c>
      <c r="AE62" s="53"/>
      <c r="AF62" s="53">
        <f>746123-127603</f>
        <v>618520</v>
      </c>
      <c r="AG62" s="53"/>
      <c r="AH62" s="53">
        <v>127603</v>
      </c>
      <c r="AI62" s="53"/>
      <c r="AJ62" s="45">
        <f t="shared" si="7"/>
        <v>-152057</v>
      </c>
      <c r="AK62" s="45"/>
      <c r="AL62" s="53">
        <v>0</v>
      </c>
      <c r="AM62" s="45"/>
      <c r="AN62" s="53">
        <v>0</v>
      </c>
      <c r="AO62" s="53"/>
      <c r="AP62" s="53">
        <v>0</v>
      </c>
      <c r="AQ62" s="53"/>
      <c r="AR62" s="53">
        <v>0</v>
      </c>
      <c r="AS62" s="53"/>
      <c r="AT62" s="45">
        <f t="shared" si="9"/>
        <v>-152057</v>
      </c>
      <c r="AU62" s="45"/>
      <c r="AV62" s="53">
        <v>0</v>
      </c>
      <c r="AW62" s="53"/>
      <c r="AX62" s="53">
        <v>0</v>
      </c>
      <c r="AY62" s="53"/>
      <c r="AZ62" s="53">
        <f t="shared" si="10"/>
        <v>299857</v>
      </c>
      <c r="BA62" s="51"/>
      <c r="BB62" s="35" t="s">
        <v>79</v>
      </c>
      <c r="BD62" s="35" t="s">
        <v>80</v>
      </c>
      <c r="BE62" s="53"/>
      <c r="BF62" s="53">
        <v>0</v>
      </c>
      <c r="BG62" s="53"/>
      <c r="BH62" s="53">
        <v>0</v>
      </c>
      <c r="BI62" s="53"/>
      <c r="BJ62" s="53">
        <v>46149</v>
      </c>
      <c r="BK62" s="53"/>
      <c r="BL62" s="53">
        <f>5400+26053</f>
        <v>31453</v>
      </c>
      <c r="BM62" s="53"/>
      <c r="BN62" s="53">
        <f t="shared" si="5"/>
        <v>77602</v>
      </c>
      <c r="BO62" s="54"/>
      <c r="BS62" s="55"/>
      <c r="BT62" s="55"/>
      <c r="BU62" s="84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</row>
    <row r="63" spans="1:95" s="35" customFormat="1" ht="12.75" customHeight="1">
      <c r="A63" s="35" t="s">
        <v>81</v>
      </c>
      <c r="C63" s="35" t="s">
        <v>81</v>
      </c>
      <c r="D63" s="44"/>
      <c r="E63" s="53">
        <f t="shared" si="0"/>
        <v>2075037</v>
      </c>
      <c r="F63" s="53"/>
      <c r="G63" s="53">
        <v>11728966</v>
      </c>
      <c r="H63" s="53"/>
      <c r="I63" s="53">
        <v>13804003</v>
      </c>
      <c r="J63" s="53"/>
      <c r="K63" s="53">
        <f t="shared" si="1"/>
        <v>1289651</v>
      </c>
      <c r="L63" s="53"/>
      <c r="M63" s="53">
        <v>8040715</v>
      </c>
      <c r="N63" s="53"/>
      <c r="O63" s="53">
        <v>9330366</v>
      </c>
      <c r="P63" s="53"/>
      <c r="Q63" s="53">
        <v>3450752</v>
      </c>
      <c r="R63" s="53"/>
      <c r="S63" s="53">
        <v>0</v>
      </c>
      <c r="T63" s="53"/>
      <c r="U63" s="53">
        <v>1022885</v>
      </c>
      <c r="V63" s="53"/>
      <c r="W63" s="53">
        <f t="shared" si="2"/>
        <v>4473637</v>
      </c>
      <c r="X63" s="51"/>
      <c r="Y63" s="51"/>
      <c r="Z63" s="35" t="s">
        <v>81</v>
      </c>
      <c r="AA63" s="53"/>
      <c r="AB63" s="35" t="s">
        <v>81</v>
      </c>
      <c r="AD63" s="53">
        <v>3430460</v>
      </c>
      <c r="AE63" s="53"/>
      <c r="AF63" s="53">
        <f>2044305-151502</f>
        <v>1892803</v>
      </c>
      <c r="AG63" s="53"/>
      <c r="AH63" s="53">
        <v>151502</v>
      </c>
      <c r="AI63" s="53"/>
      <c r="AJ63" s="45">
        <f t="shared" si="7"/>
        <v>1386155</v>
      </c>
      <c r="AK63" s="45"/>
      <c r="AL63" s="53">
        <v>369620</v>
      </c>
      <c r="AM63" s="45"/>
      <c r="AN63" s="53">
        <v>0</v>
      </c>
      <c r="AO63" s="53"/>
      <c r="AP63" s="53">
        <v>0</v>
      </c>
      <c r="AQ63" s="53"/>
      <c r="AR63" s="53">
        <v>0</v>
      </c>
      <c r="AS63" s="53"/>
      <c r="AT63" s="45">
        <f t="shared" si="9"/>
        <v>1755775</v>
      </c>
      <c r="AU63" s="45"/>
      <c r="AV63" s="53">
        <v>0</v>
      </c>
      <c r="AW63" s="53"/>
      <c r="AX63" s="53">
        <v>0</v>
      </c>
      <c r="AY63" s="53"/>
      <c r="AZ63" s="53">
        <f t="shared" si="10"/>
        <v>785386</v>
      </c>
      <c r="BA63" s="51"/>
      <c r="BB63" s="35" t="s">
        <v>81</v>
      </c>
      <c r="BD63" s="35" t="s">
        <v>81</v>
      </c>
      <c r="BE63" s="53"/>
      <c r="BF63" s="53">
        <v>0</v>
      </c>
      <c r="BG63" s="53"/>
      <c r="BH63" s="53">
        <v>0</v>
      </c>
      <c r="BI63" s="53"/>
      <c r="BJ63" s="53">
        <f>375354+7902860</f>
        <v>8278214</v>
      </c>
      <c r="BK63" s="53"/>
      <c r="BL63" s="53">
        <f>750000+17393+137855</f>
        <v>905248</v>
      </c>
      <c r="BM63" s="53"/>
      <c r="BN63" s="53">
        <f t="shared" si="5"/>
        <v>9183462</v>
      </c>
      <c r="BO63" s="54"/>
      <c r="BS63" s="55"/>
      <c r="BT63" s="55"/>
      <c r="BU63" s="84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</row>
    <row r="64" spans="1:95" s="35" customFormat="1" ht="12.75" customHeight="1">
      <c r="A64" s="47" t="s">
        <v>465</v>
      </c>
      <c r="B64" s="47"/>
      <c r="C64" s="47" t="s">
        <v>57</v>
      </c>
      <c r="D64" s="44"/>
      <c r="E64" s="53">
        <f t="shared" si="0"/>
        <v>1044769</v>
      </c>
      <c r="F64" s="53"/>
      <c r="G64" s="53">
        <v>3131045</v>
      </c>
      <c r="H64" s="53"/>
      <c r="I64" s="53">
        <v>4175814</v>
      </c>
      <c r="J64" s="53"/>
      <c r="K64" s="53">
        <f t="shared" si="1"/>
        <v>230771</v>
      </c>
      <c r="L64" s="53"/>
      <c r="M64" s="53">
        <v>173285</v>
      </c>
      <c r="N64" s="53"/>
      <c r="O64" s="53">
        <v>404056</v>
      </c>
      <c r="P64" s="53"/>
      <c r="Q64" s="53">
        <v>2593768</v>
      </c>
      <c r="R64" s="53"/>
      <c r="S64" s="53">
        <f>60000+15000+172277</f>
        <v>247277</v>
      </c>
      <c r="T64" s="53"/>
      <c r="U64" s="53">
        <v>930713</v>
      </c>
      <c r="V64" s="53"/>
      <c r="W64" s="53">
        <f t="shared" si="2"/>
        <v>3771758</v>
      </c>
      <c r="X64" s="51"/>
      <c r="Y64" s="51"/>
      <c r="Z64" s="47" t="s">
        <v>465</v>
      </c>
      <c r="AA64" s="47"/>
      <c r="AB64" s="47" t="s">
        <v>57</v>
      </c>
      <c r="AC64" s="51"/>
      <c r="AD64" s="53">
        <v>1124669</v>
      </c>
      <c r="AE64" s="53"/>
      <c r="AF64" s="53">
        <f>724504-108306</f>
        <v>616198</v>
      </c>
      <c r="AG64" s="53"/>
      <c r="AH64" s="53">
        <v>108306</v>
      </c>
      <c r="AI64" s="53"/>
      <c r="AJ64" s="45">
        <f t="shared" si="7"/>
        <v>400165</v>
      </c>
      <c r="AK64" s="45"/>
      <c r="AL64" s="53">
        <v>312</v>
      </c>
      <c r="AM64" s="45"/>
      <c r="AN64" s="53">
        <v>0</v>
      </c>
      <c r="AO64" s="53"/>
      <c r="AP64" s="53">
        <v>0</v>
      </c>
      <c r="AQ64" s="53"/>
      <c r="AR64" s="53">
        <v>0</v>
      </c>
      <c r="AS64" s="53"/>
      <c r="AT64" s="45">
        <f t="shared" si="9"/>
        <v>400477</v>
      </c>
      <c r="AU64" s="45"/>
      <c r="AV64" s="53">
        <v>0</v>
      </c>
      <c r="AW64" s="53"/>
      <c r="AX64" s="53">
        <v>0</v>
      </c>
      <c r="AY64" s="53"/>
      <c r="AZ64" s="53">
        <f t="shared" si="10"/>
        <v>813998</v>
      </c>
      <c r="BA64" s="51"/>
      <c r="BB64" s="47" t="s">
        <v>465</v>
      </c>
      <c r="BC64" s="47"/>
      <c r="BD64" s="47" t="s">
        <v>57</v>
      </c>
      <c r="BE64" s="53"/>
      <c r="BF64" s="53">
        <v>0</v>
      </c>
      <c r="BG64" s="53"/>
      <c r="BH64" s="53">
        <f>140000+150000</f>
        <v>290000</v>
      </c>
      <c r="BI64" s="53"/>
      <c r="BJ64" s="53">
        <v>0</v>
      </c>
      <c r="BK64" s="53"/>
      <c r="BL64" s="53">
        <f>9642+23285</f>
        <v>32927</v>
      </c>
      <c r="BM64" s="53"/>
      <c r="BN64" s="53">
        <f t="shared" si="5"/>
        <v>322927</v>
      </c>
      <c r="BO64" s="54"/>
      <c r="BS64" s="55"/>
      <c r="BT64" s="55"/>
      <c r="BU64" s="84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</row>
    <row r="65" spans="1:95" s="35" customFormat="1" ht="12.75" customHeight="1">
      <c r="A65" s="35" t="s">
        <v>82</v>
      </c>
      <c r="B65" s="51"/>
      <c r="C65" s="35" t="s">
        <v>13</v>
      </c>
      <c r="D65" s="44"/>
      <c r="E65" s="53">
        <f t="shared" si="0"/>
        <v>4452044</v>
      </c>
      <c r="F65" s="53"/>
      <c r="G65" s="53">
        <v>18961097</v>
      </c>
      <c r="H65" s="53"/>
      <c r="I65" s="53">
        <v>23413141</v>
      </c>
      <c r="J65" s="53"/>
      <c r="K65" s="53">
        <f t="shared" si="1"/>
        <v>1285540</v>
      </c>
      <c r="L65" s="53"/>
      <c r="M65" s="53">
        <v>10427259</v>
      </c>
      <c r="N65" s="53"/>
      <c r="O65" s="53">
        <v>11712799</v>
      </c>
      <c r="P65" s="53"/>
      <c r="Q65" s="53">
        <v>9595599</v>
      </c>
      <c r="R65" s="53"/>
      <c r="S65" s="53">
        <v>0</v>
      </c>
      <c r="T65" s="53"/>
      <c r="U65" s="53">
        <v>2104743</v>
      </c>
      <c r="V65" s="53"/>
      <c r="W65" s="53">
        <f t="shared" si="2"/>
        <v>11700342</v>
      </c>
      <c r="X65" s="51"/>
      <c r="Y65" s="51"/>
      <c r="Z65" s="35" t="s">
        <v>82</v>
      </c>
      <c r="AA65" s="53"/>
      <c r="AB65" s="35" t="s">
        <v>13</v>
      </c>
      <c r="AC65" s="51"/>
      <c r="AD65" s="53">
        <v>4858854</v>
      </c>
      <c r="AE65" s="53"/>
      <c r="AF65" s="53">
        <v>3757399</v>
      </c>
      <c r="AG65" s="53"/>
      <c r="AH65" s="53">
        <v>0</v>
      </c>
      <c r="AI65" s="53"/>
      <c r="AJ65" s="45">
        <f t="shared" si="7"/>
        <v>1101455</v>
      </c>
      <c r="AK65" s="45"/>
      <c r="AL65" s="53">
        <v>-359984</v>
      </c>
      <c r="AM65" s="45"/>
      <c r="AN65" s="53">
        <v>4684</v>
      </c>
      <c r="AO65" s="53"/>
      <c r="AP65" s="53">
        <v>0</v>
      </c>
      <c r="AQ65" s="53"/>
      <c r="AR65" s="53">
        <v>0</v>
      </c>
      <c r="AS65" s="53"/>
      <c r="AT65" s="45">
        <f t="shared" si="9"/>
        <v>746155</v>
      </c>
      <c r="AU65" s="45"/>
      <c r="AV65" s="53">
        <v>0</v>
      </c>
      <c r="AW65" s="53"/>
      <c r="AX65" s="53">
        <v>0</v>
      </c>
      <c r="AY65" s="53"/>
      <c r="AZ65" s="53">
        <f t="shared" si="10"/>
        <v>3166504</v>
      </c>
      <c r="BA65" s="51"/>
      <c r="BB65" s="35" t="s">
        <v>82</v>
      </c>
      <c r="BD65" s="35" t="s">
        <v>13</v>
      </c>
      <c r="BE65" s="53"/>
      <c r="BF65" s="53">
        <f>603000+6795955</f>
        <v>7398955</v>
      </c>
      <c r="BG65" s="53"/>
      <c r="BH65" s="53">
        <v>0</v>
      </c>
      <c r="BI65" s="53"/>
      <c r="BJ65" s="53">
        <v>0</v>
      </c>
      <c r="BK65" s="53"/>
      <c r="BL65" s="53">
        <f>191915+3439389+23331</f>
        <v>3654635</v>
      </c>
      <c r="BM65" s="53"/>
      <c r="BN65" s="53">
        <f t="shared" si="5"/>
        <v>11053590</v>
      </c>
      <c r="BO65" s="54"/>
      <c r="BS65" s="55"/>
      <c r="BT65" s="55"/>
      <c r="BU65" s="84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</row>
    <row r="66" spans="1:95" s="35" customFormat="1" ht="12.75" customHeight="1">
      <c r="A66" s="35" t="s">
        <v>83</v>
      </c>
      <c r="B66" s="51"/>
      <c r="C66" s="35" t="s">
        <v>66</v>
      </c>
      <c r="D66" s="44"/>
      <c r="E66" s="53">
        <f t="shared" si="0"/>
        <v>54929579</v>
      </c>
      <c r="F66" s="53"/>
      <c r="G66" s="53">
        <v>114224545</v>
      </c>
      <c r="H66" s="53"/>
      <c r="I66" s="53">
        <v>169154124</v>
      </c>
      <c r="J66" s="53"/>
      <c r="K66" s="53">
        <f t="shared" si="1"/>
        <v>3875788</v>
      </c>
      <c r="L66" s="53"/>
      <c r="M66" s="53">
        <v>742796</v>
      </c>
      <c r="N66" s="53"/>
      <c r="O66" s="53">
        <v>4618584</v>
      </c>
      <c r="P66" s="53"/>
      <c r="Q66" s="53">
        <v>112446767</v>
      </c>
      <c r="R66" s="53"/>
      <c r="S66" s="53">
        <v>0</v>
      </c>
      <c r="T66" s="53"/>
      <c r="U66" s="53">
        <v>52088773</v>
      </c>
      <c r="V66" s="53"/>
      <c r="W66" s="53">
        <f t="shared" si="2"/>
        <v>164535540</v>
      </c>
      <c r="Z66" s="35" t="s">
        <v>83</v>
      </c>
      <c r="AA66" s="53"/>
      <c r="AB66" s="35" t="s">
        <v>66</v>
      </c>
      <c r="AC66" s="51"/>
      <c r="AD66" s="53">
        <v>47743750</v>
      </c>
      <c r="AE66" s="53"/>
      <c r="AF66" s="53">
        <f>45517470-6450497</f>
        <v>39066973</v>
      </c>
      <c r="AG66" s="53"/>
      <c r="AH66" s="53">
        <v>6450497</v>
      </c>
      <c r="AI66" s="53"/>
      <c r="AJ66" s="45">
        <f t="shared" si="7"/>
        <v>2226280</v>
      </c>
      <c r="AK66" s="45"/>
      <c r="AL66" s="53">
        <v>244902</v>
      </c>
      <c r="AM66" s="45"/>
      <c r="AN66" s="53">
        <v>261063</v>
      </c>
      <c r="AO66" s="53"/>
      <c r="AP66" s="53">
        <v>0</v>
      </c>
      <c r="AQ66" s="53"/>
      <c r="AR66" s="53">
        <v>216235</v>
      </c>
      <c r="AS66" s="53"/>
      <c r="AT66" s="45">
        <f t="shared" si="9"/>
        <v>2948480</v>
      </c>
      <c r="AU66" s="45"/>
      <c r="AV66" s="53">
        <v>0</v>
      </c>
      <c r="AW66" s="53"/>
      <c r="AX66" s="53">
        <v>0</v>
      </c>
      <c r="AY66" s="53"/>
      <c r="AZ66" s="53">
        <f t="shared" si="10"/>
        <v>51053791</v>
      </c>
      <c r="BA66" s="51"/>
      <c r="BB66" s="35" t="s">
        <v>83</v>
      </c>
      <c r="BD66" s="35" t="s">
        <v>66</v>
      </c>
      <c r="BE66" s="53"/>
      <c r="BF66" s="53">
        <v>0</v>
      </c>
      <c r="BG66" s="53"/>
      <c r="BH66" s="53">
        <v>0</v>
      </c>
      <c r="BI66" s="53"/>
      <c r="BJ66" s="53">
        <v>0</v>
      </c>
      <c r="BK66" s="53"/>
      <c r="BL66" s="53">
        <f>742796+774257</f>
        <v>1517053</v>
      </c>
      <c r="BM66" s="53"/>
      <c r="BN66" s="53">
        <f t="shared" si="5"/>
        <v>1517053</v>
      </c>
      <c r="BO66" s="54"/>
      <c r="BS66" s="55"/>
      <c r="BT66" s="55"/>
      <c r="BU66" s="84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s="126" customFormat="1" ht="12.75" hidden="1" customHeight="1">
      <c r="A67" s="126" t="s">
        <v>84</v>
      </c>
      <c r="B67" s="124"/>
      <c r="C67" s="126" t="s">
        <v>45</v>
      </c>
      <c r="D67" s="121"/>
      <c r="E67" s="137">
        <f t="shared" si="0"/>
        <v>0</v>
      </c>
      <c r="F67" s="137"/>
      <c r="G67" s="53">
        <v>0</v>
      </c>
      <c r="H67" s="53"/>
      <c r="I67" s="53">
        <v>0</v>
      </c>
      <c r="J67" s="137"/>
      <c r="K67" s="137">
        <f t="shared" si="1"/>
        <v>0</v>
      </c>
      <c r="L67" s="137"/>
      <c r="M67" s="53">
        <v>0</v>
      </c>
      <c r="N67" s="53"/>
      <c r="O67" s="53">
        <v>0</v>
      </c>
      <c r="P67" s="53"/>
      <c r="Q67" s="53">
        <v>0</v>
      </c>
      <c r="R67" s="53"/>
      <c r="S67" s="53">
        <v>0</v>
      </c>
      <c r="T67" s="53"/>
      <c r="U67" s="53">
        <v>0</v>
      </c>
      <c r="V67" s="137"/>
      <c r="W67" s="137">
        <f t="shared" si="2"/>
        <v>0</v>
      </c>
      <c r="X67" s="124"/>
      <c r="Y67" s="124"/>
      <c r="Z67" s="126" t="s">
        <v>84</v>
      </c>
      <c r="AA67" s="137"/>
      <c r="AB67" s="126" t="s">
        <v>45</v>
      </c>
      <c r="AC67" s="124"/>
      <c r="AD67" s="53">
        <v>0</v>
      </c>
      <c r="AE67" s="53"/>
      <c r="AF67" s="53">
        <v>0</v>
      </c>
      <c r="AG67" s="53"/>
      <c r="AH67" s="53">
        <v>0</v>
      </c>
      <c r="AI67" s="53"/>
      <c r="AJ67" s="45">
        <f t="shared" si="7"/>
        <v>0</v>
      </c>
      <c r="AK67" s="45"/>
      <c r="AL67" s="53">
        <v>0</v>
      </c>
      <c r="AM67" s="45"/>
      <c r="AN67" s="53">
        <v>0</v>
      </c>
      <c r="AO67" s="53"/>
      <c r="AP67" s="53">
        <v>0</v>
      </c>
      <c r="AQ67" s="53"/>
      <c r="AR67" s="53">
        <v>0</v>
      </c>
      <c r="AS67" s="137"/>
      <c r="AT67" s="127">
        <f t="shared" si="9"/>
        <v>0</v>
      </c>
      <c r="AU67" s="127"/>
      <c r="AV67" s="137">
        <v>0</v>
      </c>
      <c r="AW67" s="137"/>
      <c r="AX67" s="137">
        <v>0</v>
      </c>
      <c r="AY67" s="137"/>
      <c r="AZ67" s="137">
        <f t="shared" si="10"/>
        <v>0</v>
      </c>
      <c r="BA67" s="124"/>
      <c r="BB67" s="126" t="s">
        <v>84</v>
      </c>
      <c r="BD67" s="126" t="s">
        <v>45</v>
      </c>
      <c r="BE67" s="137"/>
      <c r="BF67" s="53">
        <v>0</v>
      </c>
      <c r="BG67" s="53"/>
      <c r="BH67" s="53">
        <v>0</v>
      </c>
      <c r="BI67" s="53"/>
      <c r="BJ67" s="53">
        <v>0</v>
      </c>
      <c r="BK67" s="53"/>
      <c r="BL67" s="53">
        <v>0</v>
      </c>
      <c r="BM67" s="137"/>
      <c r="BN67" s="137">
        <f t="shared" si="5"/>
        <v>0</v>
      </c>
      <c r="BO67" s="139"/>
      <c r="BS67" s="140"/>
      <c r="BT67" s="140"/>
      <c r="BU67" s="141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</row>
    <row r="68" spans="1:95" s="35" customFormat="1" ht="12.75" customHeight="1">
      <c r="A68" s="35" t="s">
        <v>85</v>
      </c>
      <c r="B68" s="51"/>
      <c r="C68" s="35" t="s">
        <v>85</v>
      </c>
      <c r="D68" s="44"/>
      <c r="E68" s="53">
        <f t="shared" si="0"/>
        <v>713450</v>
      </c>
      <c r="F68" s="53"/>
      <c r="G68" s="53">
        <v>24534906</v>
      </c>
      <c r="H68" s="53"/>
      <c r="I68" s="53">
        <v>25248356</v>
      </c>
      <c r="J68" s="53"/>
      <c r="K68" s="53">
        <f t="shared" si="1"/>
        <v>886840</v>
      </c>
      <c r="L68" s="53"/>
      <c r="M68" s="53">
        <v>16409064</v>
      </c>
      <c r="N68" s="53"/>
      <c r="O68" s="53">
        <v>17295904</v>
      </c>
      <c r="P68" s="53"/>
      <c r="Q68" s="53">
        <v>7308838</v>
      </c>
      <c r="R68" s="53"/>
      <c r="S68" s="53">
        <v>0</v>
      </c>
      <c r="T68" s="53"/>
      <c r="U68" s="53">
        <v>643614</v>
      </c>
      <c r="V68" s="53"/>
      <c r="W68" s="53">
        <f t="shared" si="2"/>
        <v>7952452</v>
      </c>
      <c r="X68" s="51"/>
      <c r="Y68" s="51"/>
      <c r="Z68" s="35" t="s">
        <v>85</v>
      </c>
      <c r="AA68" s="53"/>
      <c r="AB68" s="35" t="s">
        <v>85</v>
      </c>
      <c r="AC68" s="51"/>
      <c r="AD68" s="53">
        <v>4195163</v>
      </c>
      <c r="AE68" s="53"/>
      <c r="AF68" s="53">
        <f>3410670-708256</f>
        <v>2702414</v>
      </c>
      <c r="AG68" s="53"/>
      <c r="AH68" s="53">
        <v>708256</v>
      </c>
      <c r="AI68" s="53"/>
      <c r="AJ68" s="45">
        <f t="shared" si="7"/>
        <v>784493</v>
      </c>
      <c r="AK68" s="45"/>
      <c r="AL68" s="53">
        <v>-767085</v>
      </c>
      <c r="AM68" s="45"/>
      <c r="AN68" s="53">
        <v>0</v>
      </c>
      <c r="AO68" s="53"/>
      <c r="AP68" s="53">
        <v>0</v>
      </c>
      <c r="AQ68" s="53"/>
      <c r="AR68" s="53">
        <v>0</v>
      </c>
      <c r="AS68" s="53"/>
      <c r="AT68" s="45">
        <f t="shared" si="9"/>
        <v>17408</v>
      </c>
      <c r="AU68" s="45"/>
      <c r="AV68" s="53">
        <v>0</v>
      </c>
      <c r="AW68" s="53"/>
      <c r="AX68" s="53">
        <v>0</v>
      </c>
      <c r="AY68" s="53"/>
      <c r="AZ68" s="53">
        <f t="shared" si="10"/>
        <v>-173390</v>
      </c>
      <c r="BA68" s="51"/>
      <c r="BB68" s="35" t="s">
        <v>85</v>
      </c>
      <c r="BD68" s="35" t="s">
        <v>85</v>
      </c>
      <c r="BE68" s="53"/>
      <c r="BF68" s="53">
        <f>540000+8762781</f>
        <v>9302781</v>
      </c>
      <c r="BG68" s="53"/>
      <c r="BH68" s="53">
        <v>0</v>
      </c>
      <c r="BI68" s="53"/>
      <c r="BJ68" s="53">
        <f>66418+7195365</f>
        <v>7261783</v>
      </c>
      <c r="BK68" s="53"/>
      <c r="BL68" s="53">
        <f>58145+21922+2225+428996</f>
        <v>511288</v>
      </c>
      <c r="BM68" s="53"/>
      <c r="BN68" s="53">
        <f t="shared" si="5"/>
        <v>17075852</v>
      </c>
      <c r="BO68" s="54"/>
      <c r="BS68" s="55"/>
      <c r="BT68" s="55"/>
      <c r="BU68" s="84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</row>
    <row r="69" spans="1:95" s="35" customFormat="1" ht="12.75" customHeight="1">
      <c r="A69" s="35" t="s">
        <v>86</v>
      </c>
      <c r="B69" s="51"/>
      <c r="C69" s="35" t="s">
        <v>86</v>
      </c>
      <c r="D69" s="44"/>
      <c r="E69" s="53">
        <f t="shared" si="0"/>
        <v>6544603</v>
      </c>
      <c r="F69" s="53"/>
      <c r="G69" s="53">
        <v>28372466</v>
      </c>
      <c r="H69" s="53"/>
      <c r="I69" s="53">
        <v>34917069</v>
      </c>
      <c r="J69" s="53"/>
      <c r="K69" s="53">
        <f t="shared" si="1"/>
        <v>261788</v>
      </c>
      <c r="L69" s="53"/>
      <c r="M69" s="53">
        <v>3838752</v>
      </c>
      <c r="N69" s="53"/>
      <c r="O69" s="53">
        <v>4100540</v>
      </c>
      <c r="P69" s="53"/>
      <c r="Q69" s="53">
        <v>2740562</v>
      </c>
      <c r="R69" s="53"/>
      <c r="S69" s="53">
        <v>0</v>
      </c>
      <c r="T69" s="53"/>
      <c r="U69" s="53">
        <v>6075967</v>
      </c>
      <c r="V69" s="53"/>
      <c r="W69" s="53">
        <f t="shared" si="2"/>
        <v>8816529</v>
      </c>
      <c r="X69" s="51"/>
      <c r="Y69" s="51"/>
      <c r="Z69" s="35" t="s">
        <v>86</v>
      </c>
      <c r="AA69" s="53"/>
      <c r="AB69" s="35" t="s">
        <v>86</v>
      </c>
      <c r="AC69" s="51"/>
      <c r="AD69" s="53">
        <v>4136787</v>
      </c>
      <c r="AE69" s="53"/>
      <c r="AF69" s="53">
        <f>4072028-689463</f>
        <v>3382565</v>
      </c>
      <c r="AG69" s="53"/>
      <c r="AH69" s="53">
        <v>689463</v>
      </c>
      <c r="AI69" s="53"/>
      <c r="AJ69" s="45">
        <f t="shared" si="7"/>
        <v>64759</v>
      </c>
      <c r="AK69" s="45"/>
      <c r="AL69" s="53">
        <v>-132884</v>
      </c>
      <c r="AM69" s="45"/>
      <c r="AN69" s="53">
        <v>0</v>
      </c>
      <c r="AO69" s="53"/>
      <c r="AP69" s="53">
        <v>0</v>
      </c>
      <c r="AQ69" s="53"/>
      <c r="AR69" s="53">
        <v>263000</v>
      </c>
      <c r="AS69" s="53"/>
      <c r="AT69" s="45">
        <f t="shared" si="9"/>
        <v>194875</v>
      </c>
      <c r="AU69" s="45"/>
      <c r="AV69" s="53">
        <v>0</v>
      </c>
      <c r="AW69" s="53"/>
      <c r="AX69" s="53">
        <v>0</v>
      </c>
      <c r="AY69" s="53"/>
      <c r="AZ69" s="53">
        <f t="shared" si="10"/>
        <v>6282815</v>
      </c>
      <c r="BA69" s="51"/>
      <c r="BB69" s="35" t="s">
        <v>86</v>
      </c>
      <c r="BD69" s="35" t="s">
        <v>86</v>
      </c>
      <c r="BE69" s="53"/>
      <c r="BF69" s="53">
        <f>3190892+90000</f>
        <v>3280892</v>
      </c>
      <c r="BG69" s="53"/>
      <c r="BH69" s="53">
        <v>0</v>
      </c>
      <c r="BI69" s="53"/>
      <c r="BJ69" s="53">
        <v>0</v>
      </c>
      <c r="BK69" s="53"/>
      <c r="BL69" s="53">
        <f>596848+18833+291559+40620+83366</f>
        <v>1031226</v>
      </c>
      <c r="BM69" s="53"/>
      <c r="BN69" s="53">
        <f t="shared" si="5"/>
        <v>4312118</v>
      </c>
      <c r="BO69" s="54"/>
      <c r="BS69" s="55"/>
      <c r="BT69" s="55"/>
      <c r="BU69" s="84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</row>
    <row r="70" spans="1:95" s="35" customFormat="1" ht="12.75" customHeight="1">
      <c r="A70" s="64" t="s">
        <v>87</v>
      </c>
      <c r="B70" s="64"/>
      <c r="C70" s="64" t="s">
        <v>88</v>
      </c>
      <c r="D70" s="46"/>
      <c r="E70" s="53">
        <f t="shared" si="0"/>
        <v>935325</v>
      </c>
      <c r="F70" s="53"/>
      <c r="G70" s="53">
        <v>22924245</v>
      </c>
      <c r="H70" s="53"/>
      <c r="I70" s="53">
        <v>23859570</v>
      </c>
      <c r="J70" s="53"/>
      <c r="K70" s="53">
        <f t="shared" si="1"/>
        <v>1121921</v>
      </c>
      <c r="L70" s="53"/>
      <c r="M70" s="53">
        <v>17007438</v>
      </c>
      <c r="N70" s="53"/>
      <c r="O70" s="53">
        <v>18129359</v>
      </c>
      <c r="P70" s="53"/>
      <c r="Q70" s="53">
        <v>5060156</v>
      </c>
      <c r="R70" s="53"/>
      <c r="S70" s="53">
        <v>0</v>
      </c>
      <c r="T70" s="53"/>
      <c r="U70" s="53">
        <v>670055</v>
      </c>
      <c r="V70" s="53"/>
      <c r="W70" s="53">
        <f t="shared" si="2"/>
        <v>5730211</v>
      </c>
      <c r="X70" s="51"/>
      <c r="Y70" s="51"/>
      <c r="Z70" s="64" t="s">
        <v>87</v>
      </c>
      <c r="AA70" s="79"/>
      <c r="AB70" s="64" t="s">
        <v>88</v>
      </c>
      <c r="AC70" s="64"/>
      <c r="AD70" s="53">
        <v>215960</v>
      </c>
      <c r="AE70" s="53"/>
      <c r="AF70" s="53">
        <f>1564615-576316</f>
        <v>988299</v>
      </c>
      <c r="AG70" s="53"/>
      <c r="AH70" s="53">
        <v>576316</v>
      </c>
      <c r="AI70" s="53"/>
      <c r="AJ70" s="45">
        <f t="shared" si="7"/>
        <v>-1348655</v>
      </c>
      <c r="AK70" s="45"/>
      <c r="AL70" s="53">
        <v>-273184</v>
      </c>
      <c r="AM70" s="45"/>
      <c r="AN70" s="53">
        <v>87630</v>
      </c>
      <c r="AO70" s="53"/>
      <c r="AP70" s="53">
        <v>0</v>
      </c>
      <c r="AQ70" s="53"/>
      <c r="AR70" s="53">
        <v>0</v>
      </c>
      <c r="AS70" s="53"/>
      <c r="AT70" s="45">
        <f t="shared" si="9"/>
        <v>-1534209</v>
      </c>
      <c r="AU70" s="45"/>
      <c r="AV70" s="53">
        <v>0</v>
      </c>
      <c r="AW70" s="53"/>
      <c r="AX70" s="53">
        <v>0</v>
      </c>
      <c r="AY70" s="53"/>
      <c r="AZ70" s="53">
        <f t="shared" si="10"/>
        <v>-186596</v>
      </c>
      <c r="BA70" s="51"/>
      <c r="BB70" s="64" t="s">
        <v>87</v>
      </c>
      <c r="BC70" s="64"/>
      <c r="BD70" s="64" t="s">
        <v>88</v>
      </c>
      <c r="BE70" s="79"/>
      <c r="BF70" s="53">
        <f>1820000+185000</f>
        <v>2005000</v>
      </c>
      <c r="BG70" s="53"/>
      <c r="BH70" s="53">
        <v>0</v>
      </c>
      <c r="BI70" s="53"/>
      <c r="BJ70" s="53">
        <f>21642+706740+241769+14888938</f>
        <v>15859089</v>
      </c>
      <c r="BK70" s="53"/>
      <c r="BL70" s="53">
        <f>46194+56731</f>
        <v>102925</v>
      </c>
      <c r="BM70" s="53"/>
      <c r="BN70" s="53">
        <f t="shared" si="5"/>
        <v>17967014</v>
      </c>
      <c r="BO70" s="54"/>
      <c r="BS70" s="55"/>
      <c r="BT70" s="55"/>
      <c r="BU70" s="84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</row>
    <row r="71" spans="1:95" s="35" customFormat="1" ht="12.75" customHeight="1">
      <c r="A71" s="35" t="s">
        <v>395</v>
      </c>
      <c r="C71" s="35" t="s">
        <v>89</v>
      </c>
      <c r="D71" s="44"/>
      <c r="E71" s="53">
        <f t="shared" si="0"/>
        <v>1182243</v>
      </c>
      <c r="F71" s="53"/>
      <c r="G71" s="53">
        <v>10542053</v>
      </c>
      <c r="H71" s="53"/>
      <c r="I71" s="53">
        <v>11724296</v>
      </c>
      <c r="J71" s="53"/>
      <c r="K71" s="53">
        <f t="shared" si="1"/>
        <v>542320</v>
      </c>
      <c r="L71" s="53"/>
      <c r="M71" s="53">
        <v>4898668</v>
      </c>
      <c r="N71" s="53"/>
      <c r="O71" s="53">
        <v>5440988</v>
      </c>
      <c r="P71" s="53"/>
      <c r="Q71" s="53">
        <v>4896513</v>
      </c>
      <c r="R71" s="53"/>
      <c r="S71" s="53">
        <f>535139+395677</f>
        <v>930816</v>
      </c>
      <c r="T71" s="53"/>
      <c r="U71" s="53">
        <v>455979</v>
      </c>
      <c r="V71" s="53"/>
      <c r="W71" s="53">
        <f t="shared" si="2"/>
        <v>6283308</v>
      </c>
      <c r="X71" s="51"/>
      <c r="Y71" s="51"/>
      <c r="Z71" s="35" t="s">
        <v>395</v>
      </c>
      <c r="AA71" s="53"/>
      <c r="AB71" s="35" t="s">
        <v>89</v>
      </c>
      <c r="AD71" s="53">
        <v>1979577</v>
      </c>
      <c r="AE71" s="53"/>
      <c r="AF71" s="53">
        <f>1542060-496803</f>
        <v>1045257</v>
      </c>
      <c r="AG71" s="53"/>
      <c r="AH71" s="53">
        <v>496803</v>
      </c>
      <c r="AI71" s="53"/>
      <c r="AJ71" s="45">
        <f t="shared" si="7"/>
        <v>437517</v>
      </c>
      <c r="AK71" s="45"/>
      <c r="AL71" s="53">
        <v>-157494</v>
      </c>
      <c r="AM71" s="45"/>
      <c r="AN71" s="53">
        <v>0</v>
      </c>
      <c r="AO71" s="53"/>
      <c r="AP71" s="53">
        <v>0</v>
      </c>
      <c r="AQ71" s="53"/>
      <c r="AR71" s="53">
        <v>0</v>
      </c>
      <c r="AS71" s="53"/>
      <c r="AT71" s="45">
        <f t="shared" si="9"/>
        <v>280023</v>
      </c>
      <c r="AU71" s="45"/>
      <c r="AV71" s="53">
        <v>0</v>
      </c>
      <c r="AW71" s="53"/>
      <c r="AX71" s="53">
        <v>0</v>
      </c>
      <c r="AY71" s="53"/>
      <c r="AZ71" s="53">
        <f t="shared" si="10"/>
        <v>639923</v>
      </c>
      <c r="BA71" s="51"/>
      <c r="BB71" s="35" t="s">
        <v>394</v>
      </c>
      <c r="BD71" s="35" t="s">
        <v>89</v>
      </c>
      <c r="BE71" s="53"/>
      <c r="BF71" s="53">
        <v>0</v>
      </c>
      <c r="BG71" s="53"/>
      <c r="BH71" s="53">
        <f>4668543+300000</f>
        <v>4968543</v>
      </c>
      <c r="BI71" s="53"/>
      <c r="BJ71" s="53">
        <v>0</v>
      </c>
      <c r="BK71" s="53"/>
      <c r="BL71" s="53">
        <f>230125+71318</f>
        <v>301443</v>
      </c>
      <c r="BM71" s="53"/>
      <c r="BN71" s="53">
        <f t="shared" si="5"/>
        <v>5269986</v>
      </c>
      <c r="BO71" s="54"/>
      <c r="BS71" s="55"/>
      <c r="BT71" s="55"/>
      <c r="BU71" s="84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</row>
    <row r="72" spans="1:95" s="35" customFormat="1" ht="12.75" customHeight="1">
      <c r="A72" s="35" t="s">
        <v>90</v>
      </c>
      <c r="B72" s="96"/>
      <c r="C72" s="35" t="s">
        <v>43</v>
      </c>
      <c r="D72" s="44"/>
      <c r="E72" s="53">
        <f t="shared" si="0"/>
        <v>18293401</v>
      </c>
      <c r="F72" s="53"/>
      <c r="G72" s="53">
        <v>34141927</v>
      </c>
      <c r="H72" s="53"/>
      <c r="I72" s="53">
        <v>52435328</v>
      </c>
      <c r="J72" s="53"/>
      <c r="K72" s="53">
        <f t="shared" si="1"/>
        <v>989519</v>
      </c>
      <c r="L72" s="53"/>
      <c r="M72" s="53">
        <v>3173650</v>
      </c>
      <c r="N72" s="53"/>
      <c r="O72" s="53">
        <v>4163169</v>
      </c>
      <c r="P72" s="53"/>
      <c r="Q72" s="53">
        <v>30631114</v>
      </c>
      <c r="R72" s="53"/>
      <c r="S72" s="53">
        <v>0</v>
      </c>
      <c r="T72" s="53"/>
      <c r="U72" s="53">
        <v>17641045</v>
      </c>
      <c r="V72" s="53"/>
      <c r="W72" s="53">
        <f>SUM(Q72:U72)</f>
        <v>48272159</v>
      </c>
      <c r="X72" s="96"/>
      <c r="Y72" s="96"/>
      <c r="Z72" s="35" t="s">
        <v>90</v>
      </c>
      <c r="AA72" s="53"/>
      <c r="AB72" s="35" t="s">
        <v>43</v>
      </c>
      <c r="AC72" s="96"/>
      <c r="AD72" s="53">
        <v>1153000</v>
      </c>
      <c r="AE72" s="53"/>
      <c r="AF72" s="53">
        <f>1604450-1038506</f>
        <v>565944</v>
      </c>
      <c r="AG72" s="53"/>
      <c r="AH72" s="53">
        <v>1038506</v>
      </c>
      <c r="AI72" s="53"/>
      <c r="AJ72" s="45">
        <f t="shared" si="7"/>
        <v>-451450</v>
      </c>
      <c r="AK72" s="45"/>
      <c r="AL72" s="53">
        <v>131887</v>
      </c>
      <c r="AM72" s="45"/>
      <c r="AN72" s="53">
        <v>0</v>
      </c>
      <c r="AO72" s="53"/>
      <c r="AP72" s="53">
        <v>0</v>
      </c>
      <c r="AQ72" s="53"/>
      <c r="AR72" s="53">
        <v>318429</v>
      </c>
      <c r="AS72" s="53"/>
      <c r="AT72" s="45">
        <f t="shared" si="9"/>
        <v>-1134</v>
      </c>
      <c r="AU72" s="45"/>
      <c r="AV72" s="53">
        <v>0</v>
      </c>
      <c r="AW72" s="53"/>
      <c r="AX72" s="53">
        <v>0</v>
      </c>
      <c r="AY72" s="53"/>
      <c r="AZ72" s="53">
        <f t="shared" si="10"/>
        <v>17303882</v>
      </c>
      <c r="BA72" s="96"/>
      <c r="BB72" s="35" t="s">
        <v>90</v>
      </c>
      <c r="BD72" s="35" t="s">
        <v>43</v>
      </c>
      <c r="BE72" s="53"/>
      <c r="BF72" s="53">
        <f>3402+3170813</f>
        <v>3174215</v>
      </c>
      <c r="BG72" s="53"/>
      <c r="BH72" s="53">
        <v>0</v>
      </c>
      <c r="BI72" s="53"/>
      <c r="BJ72" s="53">
        <v>0</v>
      </c>
      <c r="BK72" s="53"/>
      <c r="BL72" s="53">
        <f>2214+2837</f>
        <v>5051</v>
      </c>
      <c r="BM72" s="53"/>
      <c r="BN72" s="53">
        <f t="shared" si="5"/>
        <v>3179266</v>
      </c>
      <c r="BO72" s="54"/>
      <c r="BS72" s="55"/>
      <c r="BT72" s="55"/>
      <c r="BU72" s="84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</row>
    <row r="73" spans="1:95" s="35" customFormat="1" ht="12.75" customHeight="1">
      <c r="A73" s="47" t="s">
        <v>488</v>
      </c>
      <c r="B73" s="47"/>
      <c r="C73" s="47" t="s">
        <v>27</v>
      </c>
      <c r="D73" s="44"/>
      <c r="E73" s="53">
        <f t="shared" si="0"/>
        <v>369457</v>
      </c>
      <c r="F73" s="53"/>
      <c r="G73" s="53">
        <v>50053</v>
      </c>
      <c r="H73" s="53"/>
      <c r="I73" s="53">
        <v>419510</v>
      </c>
      <c r="J73" s="53"/>
      <c r="K73" s="53">
        <f t="shared" si="1"/>
        <v>68246</v>
      </c>
      <c r="L73" s="53"/>
      <c r="M73" s="53">
        <v>237530</v>
      </c>
      <c r="N73" s="53"/>
      <c r="O73" s="53">
        <v>305776</v>
      </c>
      <c r="P73" s="53"/>
      <c r="Q73" s="53">
        <v>50053</v>
      </c>
      <c r="R73" s="53"/>
      <c r="S73" s="53">
        <v>0</v>
      </c>
      <c r="T73" s="53"/>
      <c r="U73" s="53">
        <v>63681</v>
      </c>
      <c r="V73" s="53"/>
      <c r="W73" s="53">
        <f t="shared" si="2"/>
        <v>113734</v>
      </c>
      <c r="X73" s="51"/>
      <c r="Y73" s="51"/>
      <c r="Z73" s="47" t="s">
        <v>488</v>
      </c>
      <c r="AA73" s="47"/>
      <c r="AB73" s="47" t="s">
        <v>27</v>
      </c>
      <c r="AC73" s="51"/>
      <c r="AD73" s="53">
        <v>356419</v>
      </c>
      <c r="AE73" s="53"/>
      <c r="AF73" s="53">
        <f>134148-6163</f>
        <v>127985</v>
      </c>
      <c r="AG73" s="53"/>
      <c r="AH73" s="53">
        <v>6163</v>
      </c>
      <c r="AI73" s="53"/>
      <c r="AJ73" s="45">
        <f t="shared" si="7"/>
        <v>222271</v>
      </c>
      <c r="AK73" s="45"/>
      <c r="AL73" s="53">
        <v>32</v>
      </c>
      <c r="AM73" s="45"/>
      <c r="AN73" s="53">
        <v>0</v>
      </c>
      <c r="AO73" s="53"/>
      <c r="AP73" s="53">
        <v>0</v>
      </c>
      <c r="AQ73" s="53"/>
      <c r="AR73" s="53">
        <v>0</v>
      </c>
      <c r="AS73" s="53"/>
      <c r="AT73" s="45">
        <f t="shared" si="9"/>
        <v>222303</v>
      </c>
      <c r="AU73" s="45"/>
      <c r="AV73" s="53">
        <v>0</v>
      </c>
      <c r="AW73" s="53"/>
      <c r="AX73" s="53">
        <v>0</v>
      </c>
      <c r="AY73" s="53"/>
      <c r="AZ73" s="53">
        <f t="shared" si="10"/>
        <v>301211</v>
      </c>
      <c r="BA73" s="51"/>
      <c r="BB73" s="47" t="s">
        <v>488</v>
      </c>
      <c r="BC73" s="47"/>
      <c r="BD73" s="47" t="s">
        <v>27</v>
      </c>
      <c r="BE73" s="53"/>
      <c r="BF73" s="53">
        <v>0</v>
      </c>
      <c r="BG73" s="53"/>
      <c r="BH73" s="53">
        <v>0</v>
      </c>
      <c r="BI73" s="53"/>
      <c r="BJ73" s="53">
        <f>41869+219801</f>
        <v>261670</v>
      </c>
      <c r="BK73" s="53"/>
      <c r="BL73" s="53">
        <f>3999+17729</f>
        <v>21728</v>
      </c>
      <c r="BM73" s="53"/>
      <c r="BN73" s="53">
        <f t="shared" si="5"/>
        <v>283398</v>
      </c>
      <c r="BO73" s="54"/>
      <c r="BS73" s="55"/>
      <c r="BT73" s="55"/>
      <c r="BU73" s="84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</row>
    <row r="74" spans="1:95" s="35" customFormat="1" ht="12.75" customHeight="1">
      <c r="A74" s="44" t="s">
        <v>93</v>
      </c>
      <c r="B74" s="47"/>
      <c r="C74" s="44" t="s">
        <v>94</v>
      </c>
      <c r="D74" s="44"/>
      <c r="E74" s="53">
        <f>I74-G74</f>
        <v>3347613</v>
      </c>
      <c r="F74" s="53"/>
      <c r="G74" s="53">
        <v>8041859</v>
      </c>
      <c r="H74" s="53"/>
      <c r="I74" s="53">
        <v>11389472</v>
      </c>
      <c r="J74" s="53"/>
      <c r="K74" s="53">
        <f>O74-M74</f>
        <v>825657</v>
      </c>
      <c r="L74" s="53"/>
      <c r="M74" s="53">
        <v>3967175</v>
      </c>
      <c r="N74" s="53"/>
      <c r="O74" s="53">
        <v>4792832</v>
      </c>
      <c r="P74" s="53"/>
      <c r="Q74" s="53">
        <v>3548327</v>
      </c>
      <c r="R74" s="53"/>
      <c r="S74" s="53">
        <v>0</v>
      </c>
      <c r="T74" s="53"/>
      <c r="U74" s="53">
        <v>3048313</v>
      </c>
      <c r="V74" s="53"/>
      <c r="W74" s="53">
        <f>SUM(Q74:U74)</f>
        <v>6596640</v>
      </c>
      <c r="X74" s="51"/>
      <c r="Y74" s="51"/>
      <c r="Z74" s="44" t="s">
        <v>93</v>
      </c>
      <c r="AA74" s="47"/>
      <c r="AB74" s="44" t="s">
        <v>94</v>
      </c>
      <c r="AC74" s="51"/>
      <c r="AD74" s="53">
        <v>2456603</v>
      </c>
      <c r="AE74" s="53"/>
      <c r="AF74" s="53">
        <f>2307533-285031</f>
        <v>2022502</v>
      </c>
      <c r="AG74" s="53"/>
      <c r="AH74" s="53">
        <v>285031</v>
      </c>
      <c r="AI74" s="53"/>
      <c r="AJ74" s="45">
        <f t="shared" si="7"/>
        <v>149070</v>
      </c>
      <c r="AK74" s="45"/>
      <c r="AL74" s="53">
        <v>-278871</v>
      </c>
      <c r="AM74" s="45"/>
      <c r="AN74" s="53">
        <v>181917</v>
      </c>
      <c r="AO74" s="53"/>
      <c r="AP74" s="53">
        <v>0</v>
      </c>
      <c r="AQ74" s="53"/>
      <c r="AR74" s="53">
        <v>0</v>
      </c>
      <c r="AS74" s="53"/>
      <c r="AT74" s="45">
        <f>+AJ74+AL74+AN74-AP74+AR74</f>
        <v>52116</v>
      </c>
      <c r="AU74" s="45"/>
      <c r="AV74" s="53">
        <v>0</v>
      </c>
      <c r="AW74" s="53"/>
      <c r="AX74" s="53">
        <v>0</v>
      </c>
      <c r="AY74" s="53"/>
      <c r="AZ74" s="53">
        <f>E74-K74</f>
        <v>2521956</v>
      </c>
      <c r="BA74" s="51"/>
      <c r="BB74" s="44" t="s">
        <v>93</v>
      </c>
      <c r="BC74" s="47"/>
      <c r="BD74" s="44" t="s">
        <v>94</v>
      </c>
      <c r="BE74" s="53"/>
      <c r="BF74" s="53">
        <v>0</v>
      </c>
      <c r="BG74" s="53"/>
      <c r="BH74" s="53">
        <v>0</v>
      </c>
      <c r="BI74" s="53"/>
      <c r="BJ74" s="53">
        <f>300168+88133+3544348+51073+17263+489041</f>
        <v>4490026</v>
      </c>
      <c r="BK74" s="53"/>
      <c r="BL74" s="53">
        <f>34526+3506</f>
        <v>38032</v>
      </c>
      <c r="BM74" s="53"/>
      <c r="BN74" s="53">
        <f>SUM(BF74:BL74)</f>
        <v>4528058</v>
      </c>
      <c r="BO74" s="54"/>
      <c r="BS74" s="55"/>
      <c r="BT74" s="55"/>
      <c r="BU74" s="84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</row>
    <row r="75" spans="1:95" s="35" customFormat="1" ht="12.75" customHeight="1">
      <c r="A75" s="35" t="s">
        <v>95</v>
      </c>
      <c r="B75" s="51"/>
      <c r="C75" s="35" t="s">
        <v>94</v>
      </c>
      <c r="D75" s="44"/>
      <c r="E75" s="53">
        <f>I75-G75</f>
        <v>121821</v>
      </c>
      <c r="F75" s="53"/>
      <c r="G75" s="53">
        <v>1820664</v>
      </c>
      <c r="H75" s="53"/>
      <c r="I75" s="53">
        <v>1942485</v>
      </c>
      <c r="J75" s="53"/>
      <c r="K75" s="53">
        <f>O75-M75</f>
        <v>104479</v>
      </c>
      <c r="L75" s="53"/>
      <c r="M75" s="53">
        <v>444671</v>
      </c>
      <c r="N75" s="53"/>
      <c r="O75" s="53">
        <v>549150</v>
      </c>
      <c r="P75" s="53"/>
      <c r="Q75" s="53">
        <v>1408821</v>
      </c>
      <c r="R75" s="53"/>
      <c r="S75" s="53">
        <v>0</v>
      </c>
      <c r="T75" s="53"/>
      <c r="U75" s="53">
        <v>-15486</v>
      </c>
      <c r="V75" s="53"/>
      <c r="W75" s="53">
        <f>SUM(Q75:U75)</f>
        <v>1393335</v>
      </c>
      <c r="X75" s="51"/>
      <c r="Y75" s="51"/>
      <c r="Z75" s="35" t="s">
        <v>95</v>
      </c>
      <c r="AA75" s="53"/>
      <c r="AB75" s="35" t="s">
        <v>94</v>
      </c>
      <c r="AC75" s="51"/>
      <c r="AD75" s="53">
        <v>470480</v>
      </c>
      <c r="AE75" s="53"/>
      <c r="AF75" s="53">
        <f>527743-86529</f>
        <v>441214</v>
      </c>
      <c r="AG75" s="53"/>
      <c r="AH75" s="53">
        <v>86529</v>
      </c>
      <c r="AI75" s="53"/>
      <c r="AJ75" s="45">
        <f t="shared" si="7"/>
        <v>-57263</v>
      </c>
      <c r="AK75" s="45"/>
      <c r="AL75" s="53">
        <v>16041</v>
      </c>
      <c r="AM75" s="45"/>
      <c r="AN75" s="53">
        <v>0</v>
      </c>
      <c r="AO75" s="53"/>
      <c r="AP75" s="53">
        <v>16378</v>
      </c>
      <c r="AQ75" s="53"/>
      <c r="AR75" s="53">
        <v>0</v>
      </c>
      <c r="AS75" s="53"/>
      <c r="AT75" s="45">
        <f>+AJ75+AL75+AN75-AP75+AR75</f>
        <v>-57600</v>
      </c>
      <c r="AU75" s="45"/>
      <c r="AV75" s="53">
        <v>0</v>
      </c>
      <c r="AW75" s="53"/>
      <c r="AX75" s="53">
        <v>0</v>
      </c>
      <c r="AY75" s="53"/>
      <c r="AZ75" s="53">
        <f>E75-K75</f>
        <v>17342</v>
      </c>
      <c r="BA75" s="51"/>
      <c r="BB75" s="35" t="s">
        <v>95</v>
      </c>
      <c r="BD75" s="35" t="s">
        <v>94</v>
      </c>
      <c r="BE75" s="53"/>
      <c r="BF75" s="53">
        <f>76815+7875</f>
        <v>84690</v>
      </c>
      <c r="BG75" s="53"/>
      <c r="BH75" s="53">
        <v>0</v>
      </c>
      <c r="BI75" s="53"/>
      <c r="BJ75" s="53">
        <f>178523+101894+10000+43182+3534</f>
        <v>337133</v>
      </c>
      <c r="BK75" s="53"/>
      <c r="BL75" s="53">
        <f>15329+77439</f>
        <v>92768</v>
      </c>
      <c r="BM75" s="53"/>
      <c r="BN75" s="53">
        <f>SUM(BF75:BL75)</f>
        <v>514591</v>
      </c>
      <c r="BO75" s="54"/>
      <c r="BS75" s="55"/>
      <c r="BT75" s="55"/>
      <c r="BU75" s="84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</row>
    <row r="76" spans="1:95" s="126" customFormat="1" ht="12.75" hidden="1" customHeight="1">
      <c r="A76" s="126" t="s">
        <v>91</v>
      </c>
      <c r="B76" s="124"/>
      <c r="C76" s="126" t="s">
        <v>92</v>
      </c>
      <c r="D76" s="121"/>
      <c r="E76" s="137">
        <f t="shared" si="0"/>
        <v>0</v>
      </c>
      <c r="F76" s="137"/>
      <c r="G76" s="53">
        <v>0</v>
      </c>
      <c r="H76" s="53"/>
      <c r="I76" s="53">
        <v>0</v>
      </c>
      <c r="J76" s="137"/>
      <c r="K76" s="137">
        <f t="shared" si="1"/>
        <v>0</v>
      </c>
      <c r="L76" s="137"/>
      <c r="M76" s="53">
        <v>0</v>
      </c>
      <c r="N76" s="53"/>
      <c r="O76" s="53">
        <v>0</v>
      </c>
      <c r="P76" s="53"/>
      <c r="Q76" s="53">
        <v>0</v>
      </c>
      <c r="R76" s="53"/>
      <c r="S76" s="53">
        <v>0</v>
      </c>
      <c r="T76" s="53"/>
      <c r="U76" s="53">
        <v>0</v>
      </c>
      <c r="V76" s="137"/>
      <c r="W76" s="137">
        <f t="shared" si="2"/>
        <v>0</v>
      </c>
      <c r="X76" s="124"/>
      <c r="Y76" s="124"/>
      <c r="Z76" s="126" t="s">
        <v>91</v>
      </c>
      <c r="AA76" s="137"/>
      <c r="AB76" s="126" t="s">
        <v>92</v>
      </c>
      <c r="AC76" s="124"/>
      <c r="AD76" s="53">
        <v>0</v>
      </c>
      <c r="AE76" s="53"/>
      <c r="AF76" s="53">
        <v>0</v>
      </c>
      <c r="AG76" s="53"/>
      <c r="AH76" s="53">
        <v>0</v>
      </c>
      <c r="AI76" s="53"/>
      <c r="AJ76" s="45">
        <f t="shared" si="7"/>
        <v>0</v>
      </c>
      <c r="AK76" s="45"/>
      <c r="AL76" s="53">
        <v>0</v>
      </c>
      <c r="AM76" s="45"/>
      <c r="AN76" s="53">
        <v>0</v>
      </c>
      <c r="AO76" s="53"/>
      <c r="AP76" s="53">
        <v>0</v>
      </c>
      <c r="AQ76" s="53"/>
      <c r="AR76" s="53">
        <v>0</v>
      </c>
      <c r="AS76" s="137"/>
      <c r="AT76" s="127">
        <f t="shared" si="9"/>
        <v>0</v>
      </c>
      <c r="AU76" s="127"/>
      <c r="AV76" s="137">
        <v>0</v>
      </c>
      <c r="AW76" s="137"/>
      <c r="AX76" s="137">
        <v>0</v>
      </c>
      <c r="AY76" s="137"/>
      <c r="AZ76" s="137">
        <f t="shared" si="10"/>
        <v>0</v>
      </c>
      <c r="BA76" s="124"/>
      <c r="BB76" s="126" t="s">
        <v>91</v>
      </c>
      <c r="BD76" s="126" t="s">
        <v>92</v>
      </c>
      <c r="BE76" s="137"/>
      <c r="BF76" s="53">
        <v>0</v>
      </c>
      <c r="BG76" s="53"/>
      <c r="BH76" s="53">
        <v>0</v>
      </c>
      <c r="BI76" s="53"/>
      <c r="BJ76" s="53">
        <v>0</v>
      </c>
      <c r="BK76" s="53"/>
      <c r="BL76" s="53">
        <v>0</v>
      </c>
      <c r="BM76" s="137"/>
      <c r="BN76" s="137">
        <f t="shared" si="5"/>
        <v>0</v>
      </c>
      <c r="BO76" s="139"/>
      <c r="BS76" s="140"/>
      <c r="BT76" s="140"/>
      <c r="BU76" s="141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</row>
    <row r="77" spans="1:95" s="35" customFormat="1" ht="12.75" customHeight="1">
      <c r="A77" s="35" t="s">
        <v>96</v>
      </c>
      <c r="B77" s="51"/>
      <c r="C77" s="35" t="s">
        <v>97</v>
      </c>
      <c r="D77" s="44"/>
      <c r="E77" s="53">
        <f t="shared" si="0"/>
        <v>1423058</v>
      </c>
      <c r="F77" s="53"/>
      <c r="G77" s="53">
        <v>6793438</v>
      </c>
      <c r="H77" s="53"/>
      <c r="I77" s="53">
        <v>8216496</v>
      </c>
      <c r="J77" s="53"/>
      <c r="K77" s="53">
        <f t="shared" si="1"/>
        <v>-4020985</v>
      </c>
      <c r="L77" s="53"/>
      <c r="M77" s="53">
        <v>4179607</v>
      </c>
      <c r="N77" s="53"/>
      <c r="O77" s="53">
        <v>158622</v>
      </c>
      <c r="P77" s="53"/>
      <c r="Q77" s="53">
        <v>2677275</v>
      </c>
      <c r="R77" s="53"/>
      <c r="S77" s="53">
        <v>0</v>
      </c>
      <c r="T77" s="53"/>
      <c r="U77" s="53">
        <v>1200992</v>
      </c>
      <c r="V77" s="53"/>
      <c r="W77" s="53">
        <f t="shared" si="2"/>
        <v>3878267</v>
      </c>
      <c r="X77" s="51"/>
      <c r="Y77" s="51"/>
      <c r="Z77" s="35" t="s">
        <v>96</v>
      </c>
      <c r="AA77" s="53"/>
      <c r="AB77" s="35" t="s">
        <v>97</v>
      </c>
      <c r="AC77" s="51"/>
      <c r="AD77" s="53">
        <v>1293590</v>
      </c>
      <c r="AE77" s="53"/>
      <c r="AF77" s="53">
        <f>1014687-288674</f>
        <v>726013</v>
      </c>
      <c r="AG77" s="53"/>
      <c r="AH77" s="53">
        <v>288674</v>
      </c>
      <c r="AI77" s="53"/>
      <c r="AJ77" s="45">
        <f t="shared" si="7"/>
        <v>278903</v>
      </c>
      <c r="AK77" s="45"/>
      <c r="AL77" s="53">
        <v>-104946</v>
      </c>
      <c r="AM77" s="45"/>
      <c r="AN77" s="53">
        <v>0</v>
      </c>
      <c r="AO77" s="53"/>
      <c r="AP77" s="53">
        <v>0</v>
      </c>
      <c r="AQ77" s="53"/>
      <c r="AR77" s="53">
        <v>0</v>
      </c>
      <c r="AS77" s="53"/>
      <c r="AT77" s="45">
        <f t="shared" si="9"/>
        <v>173957</v>
      </c>
      <c r="AU77" s="45"/>
      <c r="AV77" s="53">
        <v>0</v>
      </c>
      <c r="AW77" s="53"/>
      <c r="AX77" s="53">
        <v>0</v>
      </c>
      <c r="AY77" s="53"/>
      <c r="AZ77" s="53">
        <f t="shared" si="10"/>
        <v>5444043</v>
      </c>
      <c r="BA77" s="51"/>
      <c r="BB77" s="35" t="s">
        <v>96</v>
      </c>
      <c r="BD77" s="35" t="s">
        <v>97</v>
      </c>
      <c r="BE77" s="53"/>
      <c r="BF77" s="53">
        <v>0</v>
      </c>
      <c r="BG77" s="53"/>
      <c r="BH77" s="53">
        <v>0</v>
      </c>
      <c r="BI77" s="53"/>
      <c r="BJ77" s="53">
        <v>4116163</v>
      </c>
      <c r="BK77" s="53"/>
      <c r="BL77" s="53">
        <v>63444</v>
      </c>
      <c r="BM77" s="53"/>
      <c r="BN77" s="53">
        <f t="shared" si="5"/>
        <v>4179607</v>
      </c>
      <c r="BO77" s="54"/>
      <c r="BS77" s="55"/>
      <c r="BT77" s="55"/>
      <c r="BU77" s="84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</row>
    <row r="78" spans="1:95" s="35" customFormat="1" ht="12.75" customHeight="1">
      <c r="A78" s="35" t="s">
        <v>98</v>
      </c>
      <c r="B78" s="51"/>
      <c r="C78" s="35" t="s">
        <v>17</v>
      </c>
      <c r="D78" s="44"/>
      <c r="E78" s="53">
        <f t="shared" si="0"/>
        <v>1053811</v>
      </c>
      <c r="F78" s="53"/>
      <c r="G78" s="53">
        <v>15595081</v>
      </c>
      <c r="H78" s="53"/>
      <c r="I78" s="53">
        <v>16648892</v>
      </c>
      <c r="J78" s="53"/>
      <c r="K78" s="53">
        <f t="shared" si="1"/>
        <v>791567</v>
      </c>
      <c r="L78" s="53"/>
      <c r="M78" s="53">
        <v>10815209</v>
      </c>
      <c r="N78" s="53"/>
      <c r="O78" s="53">
        <v>11606776</v>
      </c>
      <c r="P78" s="53"/>
      <c r="Q78" s="53">
        <v>4853095</v>
      </c>
      <c r="R78" s="53"/>
      <c r="S78" s="53">
        <v>0</v>
      </c>
      <c r="T78" s="53"/>
      <c r="U78" s="53">
        <v>189021</v>
      </c>
      <c r="V78" s="53"/>
      <c r="W78" s="53">
        <f t="shared" si="2"/>
        <v>5042116</v>
      </c>
      <c r="X78" s="51"/>
      <c r="Y78" s="51"/>
      <c r="Z78" s="35" t="s">
        <v>98</v>
      </c>
      <c r="AA78" s="53"/>
      <c r="AB78" s="35" t="s">
        <v>17</v>
      </c>
      <c r="AC78" s="51"/>
      <c r="AD78" s="53">
        <v>6673079</v>
      </c>
      <c r="AE78" s="53"/>
      <c r="AF78" s="53">
        <f>6852283-931731</f>
        <v>5920552</v>
      </c>
      <c r="AG78" s="53"/>
      <c r="AH78" s="53">
        <v>931731</v>
      </c>
      <c r="AI78" s="53"/>
      <c r="AJ78" s="45">
        <f t="shared" ref="AJ78:AJ94" si="11">+AD78-AF78-AH78</f>
        <v>-179204</v>
      </c>
      <c r="AK78" s="45"/>
      <c r="AL78" s="53">
        <v>-467871</v>
      </c>
      <c r="AM78" s="45"/>
      <c r="AN78" s="53">
        <v>0</v>
      </c>
      <c r="AO78" s="53"/>
      <c r="AP78" s="53">
        <v>0</v>
      </c>
      <c r="AQ78" s="53"/>
      <c r="AR78" s="53">
        <v>0</v>
      </c>
      <c r="AS78" s="53"/>
      <c r="AT78" s="45">
        <f t="shared" si="9"/>
        <v>-647075</v>
      </c>
      <c r="AU78" s="45"/>
      <c r="AV78" s="53">
        <v>0</v>
      </c>
      <c r="AW78" s="53"/>
      <c r="AX78" s="53">
        <v>0</v>
      </c>
      <c r="AY78" s="53"/>
      <c r="AZ78" s="53">
        <f t="shared" si="10"/>
        <v>262244</v>
      </c>
      <c r="BA78" s="51"/>
      <c r="BB78" s="35" t="s">
        <v>98</v>
      </c>
      <c r="BD78" s="35" t="s">
        <v>17</v>
      </c>
      <c r="BE78" s="53"/>
      <c r="BF78" s="53">
        <f>7758680+39813</f>
        <v>7798493</v>
      </c>
      <c r="BG78" s="53"/>
      <c r="BH78" s="53">
        <v>0</v>
      </c>
      <c r="BI78" s="53"/>
      <c r="BJ78" s="53">
        <f>2506206+43794</f>
        <v>2550000</v>
      </c>
      <c r="BK78" s="53"/>
      <c r="BL78" s="53">
        <v>550320</v>
      </c>
      <c r="BM78" s="53"/>
      <c r="BN78" s="53">
        <f t="shared" si="5"/>
        <v>10898813</v>
      </c>
      <c r="BO78" s="54"/>
      <c r="BS78" s="55"/>
      <c r="BT78" s="55"/>
      <c r="BU78" s="84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</row>
    <row r="79" spans="1:95" s="35" customFormat="1" ht="12.75" customHeight="1">
      <c r="A79" s="35" t="s">
        <v>99</v>
      </c>
      <c r="B79" s="51"/>
      <c r="C79" s="35" t="s">
        <v>66</v>
      </c>
      <c r="D79" s="44"/>
      <c r="E79" s="53">
        <f t="shared" si="0"/>
        <v>2699757</v>
      </c>
      <c r="F79" s="53"/>
      <c r="G79" s="53">
        <v>9907386</v>
      </c>
      <c r="H79" s="53"/>
      <c r="I79" s="53">
        <v>12607143</v>
      </c>
      <c r="J79" s="53"/>
      <c r="K79" s="53">
        <f t="shared" si="1"/>
        <v>58263</v>
      </c>
      <c r="L79" s="53"/>
      <c r="M79" s="53">
        <v>59961</v>
      </c>
      <c r="N79" s="53"/>
      <c r="O79" s="53">
        <v>118224</v>
      </c>
      <c r="P79" s="53"/>
      <c r="Q79" s="53">
        <v>9907386</v>
      </c>
      <c r="R79" s="53"/>
      <c r="S79" s="53">
        <v>0</v>
      </c>
      <c r="T79" s="53"/>
      <c r="U79" s="53">
        <v>2581533</v>
      </c>
      <c r="V79" s="53"/>
      <c r="W79" s="53">
        <f t="shared" si="2"/>
        <v>12488919</v>
      </c>
      <c r="Z79" s="35" t="s">
        <v>99</v>
      </c>
      <c r="AA79" s="53"/>
      <c r="AB79" s="35" t="s">
        <v>66</v>
      </c>
      <c r="AC79" s="51"/>
      <c r="AD79" s="53">
        <v>1178949</v>
      </c>
      <c r="AE79" s="53"/>
      <c r="AF79" s="53">
        <f>1176967-412141</f>
        <v>764826</v>
      </c>
      <c r="AG79" s="53"/>
      <c r="AH79" s="53">
        <v>412141</v>
      </c>
      <c r="AI79" s="53"/>
      <c r="AJ79" s="45">
        <f t="shared" si="11"/>
        <v>1982</v>
      </c>
      <c r="AK79" s="45"/>
      <c r="AL79" s="53">
        <v>41448</v>
      </c>
      <c r="AM79" s="45"/>
      <c r="AN79" s="53">
        <v>11864</v>
      </c>
      <c r="AO79" s="53"/>
      <c r="AP79" s="53">
        <v>0</v>
      </c>
      <c r="AQ79" s="53"/>
      <c r="AR79" s="53">
        <v>0</v>
      </c>
      <c r="AS79" s="53"/>
      <c r="AT79" s="45">
        <f t="shared" si="9"/>
        <v>55294</v>
      </c>
      <c r="AU79" s="45"/>
      <c r="AV79" s="53">
        <v>0</v>
      </c>
      <c r="AW79" s="53"/>
      <c r="AX79" s="53">
        <v>0</v>
      </c>
      <c r="AY79" s="53"/>
      <c r="AZ79" s="53">
        <f t="shared" si="10"/>
        <v>2641494</v>
      </c>
      <c r="BA79" s="51"/>
      <c r="BB79" s="35" t="s">
        <v>99</v>
      </c>
      <c r="BD79" s="35" t="s">
        <v>66</v>
      </c>
      <c r="BE79" s="53"/>
      <c r="BF79" s="53">
        <v>0</v>
      </c>
      <c r="BG79" s="53"/>
      <c r="BH79" s="53">
        <v>0</v>
      </c>
      <c r="BI79" s="53"/>
      <c r="BJ79" s="53">
        <v>0</v>
      </c>
      <c r="BK79" s="53"/>
      <c r="BL79" s="53">
        <v>59961</v>
      </c>
      <c r="BM79" s="53"/>
      <c r="BN79" s="53">
        <f t="shared" si="5"/>
        <v>59961</v>
      </c>
      <c r="BO79" s="54"/>
      <c r="BS79" s="55"/>
      <c r="BT79" s="55"/>
      <c r="BU79" s="84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</row>
    <row r="80" spans="1:95" s="35" customFormat="1" ht="12.75" customHeight="1">
      <c r="A80" s="35" t="s">
        <v>100</v>
      </c>
      <c r="B80" s="51"/>
      <c r="C80" s="35" t="s">
        <v>27</v>
      </c>
      <c r="D80" s="44"/>
      <c r="E80" s="53">
        <f>I80-G80</f>
        <v>6948132</v>
      </c>
      <c r="F80" s="53"/>
      <c r="G80" s="53">
        <v>23534921</v>
      </c>
      <c r="H80" s="53"/>
      <c r="I80" s="53">
        <v>30483053</v>
      </c>
      <c r="J80" s="53"/>
      <c r="K80" s="53">
        <f>O80-M80</f>
        <v>9193930</v>
      </c>
      <c r="L80" s="53"/>
      <c r="M80" s="53">
        <v>5424580</v>
      </c>
      <c r="N80" s="53"/>
      <c r="O80" s="53">
        <v>14618510</v>
      </c>
      <c r="P80" s="53"/>
      <c r="Q80" s="53">
        <v>11278504</v>
      </c>
      <c r="R80" s="53"/>
      <c r="S80" s="53">
        <v>0</v>
      </c>
      <c r="T80" s="53"/>
      <c r="U80" s="53">
        <v>4586039</v>
      </c>
      <c r="V80" s="53"/>
      <c r="W80" s="53">
        <f>SUM(Q80:U80)</f>
        <v>15864543</v>
      </c>
      <c r="X80" s="51"/>
      <c r="Y80" s="51"/>
      <c r="Z80" s="35" t="s">
        <v>100</v>
      </c>
      <c r="AA80" s="53"/>
      <c r="AB80" s="35" t="s">
        <v>27</v>
      </c>
      <c r="AC80" s="51"/>
      <c r="AD80" s="53">
        <v>2283091</v>
      </c>
      <c r="AE80" s="53"/>
      <c r="AF80" s="53">
        <v>977894</v>
      </c>
      <c r="AG80" s="53"/>
      <c r="AH80" s="53">
        <v>469503</v>
      </c>
      <c r="AI80" s="53"/>
      <c r="AJ80" s="45">
        <f t="shared" si="11"/>
        <v>835694</v>
      </c>
      <c r="AK80" s="45"/>
      <c r="AL80" s="53">
        <v>706005</v>
      </c>
      <c r="AM80" s="45"/>
      <c r="AN80" s="53">
        <v>0</v>
      </c>
      <c r="AO80" s="53"/>
      <c r="AP80" s="53">
        <v>0</v>
      </c>
      <c r="AQ80" s="53"/>
      <c r="AR80" s="53">
        <v>0</v>
      </c>
      <c r="AS80" s="53"/>
      <c r="AT80" s="45">
        <f t="shared" si="9"/>
        <v>1541699</v>
      </c>
      <c r="AU80" s="45"/>
      <c r="AV80" s="53">
        <v>0</v>
      </c>
      <c r="AW80" s="53"/>
      <c r="AX80" s="53">
        <v>0</v>
      </c>
      <c r="AY80" s="53"/>
      <c r="AZ80" s="53">
        <f t="shared" si="10"/>
        <v>-2245798</v>
      </c>
      <c r="BA80" s="51"/>
      <c r="BB80" s="35" t="s">
        <v>100</v>
      </c>
      <c r="BD80" s="35" t="s">
        <v>27</v>
      </c>
      <c r="BE80" s="53"/>
      <c r="BF80" s="53">
        <f>3730934+310000</f>
        <v>4040934</v>
      </c>
      <c r="BG80" s="53"/>
      <c r="BH80" s="53">
        <v>0</v>
      </c>
      <c r="BI80" s="53"/>
      <c r="BJ80" s="53">
        <f>1693646+141379</f>
        <v>1835025</v>
      </c>
      <c r="BK80" s="53"/>
      <c r="BL80" s="53">
        <v>0</v>
      </c>
      <c r="BM80" s="53"/>
      <c r="BN80" s="53">
        <f>SUM(BF80:BL80)</f>
        <v>5875959</v>
      </c>
      <c r="BO80" s="54"/>
      <c r="BS80" s="55"/>
      <c r="BT80" s="55"/>
      <c r="BU80" s="84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</row>
    <row r="81" spans="1:95" s="35" customFormat="1" ht="12.75" customHeight="1">
      <c r="A81" s="35" t="s">
        <v>101</v>
      </c>
      <c r="B81" s="51"/>
      <c r="C81" s="35" t="s">
        <v>30</v>
      </c>
      <c r="D81" s="44"/>
      <c r="E81" s="53">
        <f>I81-G81</f>
        <v>3399422</v>
      </c>
      <c r="F81" s="53"/>
      <c r="G81" s="53">
        <v>8005327</v>
      </c>
      <c r="H81" s="53"/>
      <c r="I81" s="53">
        <v>11404749</v>
      </c>
      <c r="J81" s="53"/>
      <c r="K81" s="53">
        <f>O81-M81</f>
        <v>613236</v>
      </c>
      <c r="L81" s="53"/>
      <c r="M81" s="53">
        <v>4863744</v>
      </c>
      <c r="N81" s="53"/>
      <c r="O81" s="53">
        <v>5476980</v>
      </c>
      <c r="P81" s="53"/>
      <c r="Q81" s="53">
        <v>1479491</v>
      </c>
      <c r="R81" s="53"/>
      <c r="S81" s="53">
        <v>0</v>
      </c>
      <c r="T81" s="53"/>
      <c r="U81" s="53">
        <v>4448278</v>
      </c>
      <c r="V81" s="53"/>
      <c r="W81" s="53">
        <f>SUM(Q81:U81)</f>
        <v>5927769</v>
      </c>
      <c r="X81" s="51"/>
      <c r="Y81" s="51"/>
      <c r="Z81" s="35" t="s">
        <v>101</v>
      </c>
      <c r="AA81" s="53"/>
      <c r="AB81" s="35" t="s">
        <v>30</v>
      </c>
      <c r="AC81" s="65"/>
      <c r="AD81" s="53">
        <v>3590911</v>
      </c>
      <c r="AE81" s="53"/>
      <c r="AF81" s="53">
        <f>3281557-754464</f>
        <v>2527093</v>
      </c>
      <c r="AG81" s="53"/>
      <c r="AH81" s="53">
        <v>754464</v>
      </c>
      <c r="AI81" s="53"/>
      <c r="AJ81" s="45">
        <f t="shared" si="11"/>
        <v>309354</v>
      </c>
      <c r="AK81" s="45"/>
      <c r="AL81" s="53">
        <v>-90325</v>
      </c>
      <c r="AM81" s="45"/>
      <c r="AN81" s="53">
        <v>0</v>
      </c>
      <c r="AO81" s="53"/>
      <c r="AP81" s="53">
        <v>0</v>
      </c>
      <c r="AQ81" s="53"/>
      <c r="AR81" s="53">
        <v>0</v>
      </c>
      <c r="AS81" s="53"/>
      <c r="AT81" s="45">
        <f t="shared" si="9"/>
        <v>219029</v>
      </c>
      <c r="AU81" s="45"/>
      <c r="AV81" s="53">
        <v>0</v>
      </c>
      <c r="AW81" s="53"/>
      <c r="AX81" s="53">
        <v>0</v>
      </c>
      <c r="AY81" s="53"/>
      <c r="AZ81" s="53">
        <f t="shared" si="10"/>
        <v>2786186</v>
      </c>
      <c r="BA81" s="51"/>
      <c r="BB81" s="35" t="s">
        <v>101</v>
      </c>
      <c r="BD81" s="35" t="s">
        <v>30</v>
      </c>
      <c r="BE81" s="53"/>
      <c r="BF81" s="53">
        <f>1260972+360700</f>
        <v>1621672</v>
      </c>
      <c r="BG81" s="53"/>
      <c r="BH81" s="53">
        <v>0</v>
      </c>
      <c r="BI81" s="53"/>
      <c r="BJ81" s="53">
        <f>91772+16686</f>
        <v>108458</v>
      </c>
      <c r="BK81" s="53"/>
      <c r="BL81" s="53">
        <f>490+3487000+91772+4277+19723</f>
        <v>3603262</v>
      </c>
      <c r="BM81" s="53"/>
      <c r="BN81" s="53">
        <f>SUM(BF81:BL81)</f>
        <v>5333392</v>
      </c>
      <c r="BO81" s="54"/>
      <c r="BS81" s="55"/>
      <c r="BT81" s="55"/>
      <c r="BU81" s="84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</row>
    <row r="82" spans="1:95" s="35" customFormat="1" ht="12.75" customHeight="1">
      <c r="A82" s="35" t="s">
        <v>102</v>
      </c>
      <c r="B82" s="51"/>
      <c r="C82" s="35" t="s">
        <v>103</v>
      </c>
      <c r="D82" s="44"/>
      <c r="E82" s="53">
        <f t="shared" ref="E82:E146" si="12">I82-G82</f>
        <v>8274298</v>
      </c>
      <c r="F82" s="53"/>
      <c r="G82" s="53">
        <v>17709809</v>
      </c>
      <c r="H82" s="53"/>
      <c r="I82" s="53">
        <v>25984107</v>
      </c>
      <c r="J82" s="53"/>
      <c r="K82" s="53">
        <f t="shared" ref="K82:K146" si="13">O82-M82</f>
        <v>656221</v>
      </c>
      <c r="L82" s="53"/>
      <c r="M82" s="53">
        <v>2189691</v>
      </c>
      <c r="N82" s="53"/>
      <c r="O82" s="53">
        <v>2845912</v>
      </c>
      <c r="P82" s="53"/>
      <c r="Q82" s="53">
        <v>15450977</v>
      </c>
      <c r="R82" s="53"/>
      <c r="S82" s="53">
        <v>1018871</v>
      </c>
      <c r="T82" s="53"/>
      <c r="U82" s="53">
        <v>6668347</v>
      </c>
      <c r="V82" s="53"/>
      <c r="W82" s="53">
        <f t="shared" ref="W82:W97" si="14">SUM(Q82:U82)</f>
        <v>23138195</v>
      </c>
      <c r="X82" s="51"/>
      <c r="Y82" s="51"/>
      <c r="Z82" s="35" t="s">
        <v>102</v>
      </c>
      <c r="AA82" s="53"/>
      <c r="AB82" s="35" t="s">
        <v>103</v>
      </c>
      <c r="AC82" s="51"/>
      <c r="AD82" s="53">
        <v>3861956</v>
      </c>
      <c r="AE82" s="53"/>
      <c r="AF82" s="53">
        <f>4667963-604245</f>
        <v>4063718</v>
      </c>
      <c r="AG82" s="53"/>
      <c r="AH82" s="53">
        <v>604245</v>
      </c>
      <c r="AI82" s="53"/>
      <c r="AJ82" s="45">
        <f t="shared" si="11"/>
        <v>-806007</v>
      </c>
      <c r="AK82" s="45"/>
      <c r="AL82" s="53">
        <v>-9913</v>
      </c>
      <c r="AM82" s="45"/>
      <c r="AN82" s="53">
        <v>40720</v>
      </c>
      <c r="AO82" s="53"/>
      <c r="AP82" s="53">
        <v>60660</v>
      </c>
      <c r="AQ82" s="53"/>
      <c r="AR82" s="53">
        <v>0</v>
      </c>
      <c r="AS82" s="53"/>
      <c r="AT82" s="45">
        <f t="shared" ref="AT82:AT90" si="15">+AJ82+AL82+AN82-AP82+AR82</f>
        <v>-835860</v>
      </c>
      <c r="AU82" s="45"/>
      <c r="AV82" s="53">
        <v>0</v>
      </c>
      <c r="AW82" s="53"/>
      <c r="AX82" s="53">
        <v>0</v>
      </c>
      <c r="AY82" s="53"/>
      <c r="AZ82" s="53">
        <f t="shared" ref="AZ82:AZ90" si="16">E82-K82</f>
        <v>7618077</v>
      </c>
      <c r="BA82" s="51"/>
      <c r="BB82" s="35" t="s">
        <v>102</v>
      </c>
      <c r="BD82" s="35" t="s">
        <v>103</v>
      </c>
      <c r="BE82" s="53"/>
      <c r="BF82" s="53">
        <v>0</v>
      </c>
      <c r="BG82" s="53"/>
      <c r="BH82" s="53">
        <v>0</v>
      </c>
      <c r="BI82" s="53"/>
      <c r="BJ82" s="53">
        <f>1988489+250000</f>
        <v>2238489</v>
      </c>
      <c r="BK82" s="53"/>
      <c r="BL82" s="53">
        <f>28357+201202</f>
        <v>229559</v>
      </c>
      <c r="BM82" s="53"/>
      <c r="BN82" s="53">
        <f t="shared" ref="BN82:BN146" si="17">SUM(BF82:BL82)</f>
        <v>2468048</v>
      </c>
      <c r="BO82" s="54"/>
      <c r="BS82" s="55"/>
      <c r="BT82" s="55"/>
      <c r="BU82" s="84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</row>
    <row r="83" spans="1:95" s="126" customFormat="1" ht="12.75" hidden="1" customHeight="1">
      <c r="A83" s="126" t="s">
        <v>104</v>
      </c>
      <c r="B83" s="124"/>
      <c r="C83" s="126" t="s">
        <v>13</v>
      </c>
      <c r="D83" s="121"/>
      <c r="E83" s="137">
        <f t="shared" si="12"/>
        <v>0</v>
      </c>
      <c r="F83" s="137"/>
      <c r="G83" s="53">
        <v>0</v>
      </c>
      <c r="H83" s="53"/>
      <c r="I83" s="53">
        <v>0</v>
      </c>
      <c r="J83" s="137"/>
      <c r="K83" s="137">
        <f t="shared" si="13"/>
        <v>0</v>
      </c>
      <c r="L83" s="137"/>
      <c r="M83" s="53">
        <v>0</v>
      </c>
      <c r="N83" s="53"/>
      <c r="O83" s="53">
        <v>0</v>
      </c>
      <c r="P83" s="53"/>
      <c r="Q83" s="53">
        <v>0</v>
      </c>
      <c r="R83" s="53"/>
      <c r="S83" s="53">
        <v>0</v>
      </c>
      <c r="T83" s="53"/>
      <c r="U83" s="53">
        <v>0</v>
      </c>
      <c r="V83" s="137"/>
      <c r="W83" s="137">
        <f t="shared" si="14"/>
        <v>0</v>
      </c>
      <c r="X83" s="124"/>
      <c r="Y83" s="124"/>
      <c r="Z83" s="126" t="s">
        <v>104</v>
      </c>
      <c r="AA83" s="137"/>
      <c r="AB83" s="126" t="s">
        <v>13</v>
      </c>
      <c r="AC83" s="124"/>
      <c r="AD83" s="53">
        <v>0</v>
      </c>
      <c r="AE83" s="53"/>
      <c r="AF83" s="53">
        <v>0</v>
      </c>
      <c r="AG83" s="53"/>
      <c r="AH83" s="53">
        <v>0</v>
      </c>
      <c r="AI83" s="53"/>
      <c r="AJ83" s="45">
        <f t="shared" si="11"/>
        <v>0</v>
      </c>
      <c r="AK83" s="45"/>
      <c r="AL83" s="53">
        <v>0</v>
      </c>
      <c r="AM83" s="45"/>
      <c r="AN83" s="53">
        <v>0</v>
      </c>
      <c r="AO83" s="53"/>
      <c r="AP83" s="53">
        <v>0</v>
      </c>
      <c r="AQ83" s="53"/>
      <c r="AR83" s="53">
        <v>0</v>
      </c>
      <c r="AS83" s="137"/>
      <c r="AT83" s="127">
        <f t="shared" si="15"/>
        <v>0</v>
      </c>
      <c r="AU83" s="127"/>
      <c r="AV83" s="137">
        <v>0</v>
      </c>
      <c r="AW83" s="137"/>
      <c r="AX83" s="137">
        <v>0</v>
      </c>
      <c r="AY83" s="137"/>
      <c r="AZ83" s="137">
        <f t="shared" si="16"/>
        <v>0</v>
      </c>
      <c r="BA83" s="124"/>
      <c r="BB83" s="126" t="s">
        <v>104</v>
      </c>
      <c r="BD83" s="126" t="s">
        <v>13</v>
      </c>
      <c r="BE83" s="137"/>
      <c r="BF83" s="53">
        <v>0</v>
      </c>
      <c r="BG83" s="53"/>
      <c r="BH83" s="53">
        <v>0</v>
      </c>
      <c r="BI83" s="53"/>
      <c r="BJ83" s="53">
        <v>0</v>
      </c>
      <c r="BK83" s="53"/>
      <c r="BL83" s="53">
        <v>0</v>
      </c>
      <c r="BM83" s="137"/>
      <c r="BN83" s="137">
        <f t="shared" si="17"/>
        <v>0</v>
      </c>
      <c r="BO83" s="139"/>
      <c r="BP83" s="140"/>
      <c r="BS83" s="140"/>
      <c r="BT83" s="140"/>
      <c r="BU83" s="141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0"/>
      <c r="CP83" s="140"/>
      <c r="CQ83" s="140"/>
    </row>
    <row r="84" spans="1:95" s="126" customFormat="1" ht="12.75" hidden="1" customHeight="1">
      <c r="A84" s="126" t="s">
        <v>105</v>
      </c>
      <c r="B84" s="124"/>
      <c r="C84" s="126" t="s">
        <v>27</v>
      </c>
      <c r="D84" s="121"/>
      <c r="E84" s="137">
        <f t="shared" si="12"/>
        <v>0</v>
      </c>
      <c r="F84" s="137"/>
      <c r="G84" s="53">
        <v>0</v>
      </c>
      <c r="H84" s="53"/>
      <c r="I84" s="53">
        <v>0</v>
      </c>
      <c r="J84" s="137"/>
      <c r="K84" s="137">
        <f t="shared" si="13"/>
        <v>0</v>
      </c>
      <c r="L84" s="137"/>
      <c r="M84" s="53">
        <v>0</v>
      </c>
      <c r="N84" s="53"/>
      <c r="O84" s="53">
        <v>0</v>
      </c>
      <c r="P84" s="53"/>
      <c r="Q84" s="53">
        <v>0</v>
      </c>
      <c r="R84" s="53"/>
      <c r="S84" s="53">
        <v>0</v>
      </c>
      <c r="T84" s="53"/>
      <c r="U84" s="53">
        <v>0</v>
      </c>
      <c r="V84" s="137"/>
      <c r="W84" s="137">
        <f t="shared" si="14"/>
        <v>0</v>
      </c>
      <c r="X84" s="124"/>
      <c r="Y84" s="124"/>
      <c r="Z84" s="126" t="s">
        <v>105</v>
      </c>
      <c r="AA84" s="137"/>
      <c r="AB84" s="126" t="s">
        <v>27</v>
      </c>
      <c r="AC84" s="124"/>
      <c r="AD84" s="53">
        <v>0</v>
      </c>
      <c r="AE84" s="53"/>
      <c r="AF84" s="53">
        <v>0</v>
      </c>
      <c r="AG84" s="53"/>
      <c r="AH84" s="53">
        <v>0</v>
      </c>
      <c r="AI84" s="53"/>
      <c r="AJ84" s="45">
        <f t="shared" si="11"/>
        <v>0</v>
      </c>
      <c r="AK84" s="45"/>
      <c r="AL84" s="53">
        <v>0</v>
      </c>
      <c r="AM84" s="45"/>
      <c r="AN84" s="53">
        <v>0</v>
      </c>
      <c r="AO84" s="53"/>
      <c r="AP84" s="53">
        <v>0</v>
      </c>
      <c r="AQ84" s="53"/>
      <c r="AR84" s="53">
        <v>0</v>
      </c>
      <c r="AS84" s="137"/>
      <c r="AT84" s="127">
        <f t="shared" si="15"/>
        <v>0</v>
      </c>
      <c r="AU84" s="127"/>
      <c r="AV84" s="137">
        <v>0</v>
      </c>
      <c r="AW84" s="137"/>
      <c r="AX84" s="137">
        <v>0</v>
      </c>
      <c r="AY84" s="137"/>
      <c r="AZ84" s="137">
        <f t="shared" si="16"/>
        <v>0</v>
      </c>
      <c r="BA84" s="124"/>
      <c r="BB84" s="126" t="s">
        <v>105</v>
      </c>
      <c r="BD84" s="126" t="s">
        <v>27</v>
      </c>
      <c r="BE84" s="137"/>
      <c r="BF84" s="53">
        <v>0</v>
      </c>
      <c r="BG84" s="53"/>
      <c r="BH84" s="53">
        <v>0</v>
      </c>
      <c r="BI84" s="53"/>
      <c r="BJ84" s="53">
        <v>0</v>
      </c>
      <c r="BK84" s="53"/>
      <c r="BL84" s="53">
        <v>0</v>
      </c>
      <c r="BM84" s="137"/>
      <c r="BN84" s="137">
        <f t="shared" si="17"/>
        <v>0</v>
      </c>
      <c r="BO84" s="139"/>
      <c r="BS84" s="140"/>
      <c r="BT84" s="140"/>
      <c r="BU84" s="141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0"/>
      <c r="CP84" s="140"/>
      <c r="CQ84" s="140"/>
    </row>
    <row r="85" spans="1:95" s="35" customFormat="1" ht="12.75" customHeight="1">
      <c r="A85" s="35" t="s">
        <v>106</v>
      </c>
      <c r="B85" s="51"/>
      <c r="C85" s="35" t="s">
        <v>107</v>
      </c>
      <c r="D85" s="44"/>
      <c r="E85" s="53">
        <f t="shared" si="12"/>
        <v>5673796</v>
      </c>
      <c r="F85" s="53"/>
      <c r="G85" s="53">
        <v>54526388</v>
      </c>
      <c r="H85" s="53"/>
      <c r="I85" s="53">
        <v>60200184</v>
      </c>
      <c r="J85" s="53"/>
      <c r="K85" s="53">
        <f t="shared" si="13"/>
        <v>2269664</v>
      </c>
      <c r="L85" s="53"/>
      <c r="M85" s="53">
        <v>9450914</v>
      </c>
      <c r="N85" s="53"/>
      <c r="O85" s="53">
        <v>11720578</v>
      </c>
      <c r="P85" s="53"/>
      <c r="Q85" s="53">
        <v>43478652</v>
      </c>
      <c r="R85" s="53"/>
      <c r="S85" s="53">
        <f>410041+386521</f>
        <v>796562</v>
      </c>
      <c r="T85" s="53"/>
      <c r="U85" s="53">
        <v>3904392</v>
      </c>
      <c r="V85" s="53"/>
      <c r="W85" s="53">
        <f t="shared" si="14"/>
        <v>48179606</v>
      </c>
      <c r="Z85" s="35" t="s">
        <v>106</v>
      </c>
      <c r="AA85" s="53"/>
      <c r="AB85" s="35" t="s">
        <v>107</v>
      </c>
      <c r="AC85" s="51"/>
      <c r="AD85" s="53">
        <v>7234830</v>
      </c>
      <c r="AE85" s="53"/>
      <c r="AF85" s="53">
        <f>5438246-1236059</f>
        <v>4202187</v>
      </c>
      <c r="AG85" s="53"/>
      <c r="AH85" s="53">
        <v>1236059</v>
      </c>
      <c r="AI85" s="53"/>
      <c r="AJ85" s="45">
        <f t="shared" si="11"/>
        <v>1796584</v>
      </c>
      <c r="AK85" s="45"/>
      <c r="AL85" s="53">
        <v>-378582</v>
      </c>
      <c r="AM85" s="45"/>
      <c r="AN85" s="53">
        <v>150000</v>
      </c>
      <c r="AO85" s="53"/>
      <c r="AP85" s="53">
        <v>0</v>
      </c>
      <c r="AQ85" s="53"/>
      <c r="AR85" s="53">
        <v>893130</v>
      </c>
      <c r="AS85" s="53"/>
      <c r="AT85" s="45">
        <f t="shared" si="15"/>
        <v>2461132</v>
      </c>
      <c r="AU85" s="45"/>
      <c r="AV85" s="53">
        <v>0</v>
      </c>
      <c r="AW85" s="53"/>
      <c r="AX85" s="53">
        <v>0</v>
      </c>
      <c r="AY85" s="53"/>
      <c r="AZ85" s="53">
        <f t="shared" si="16"/>
        <v>3404132</v>
      </c>
      <c r="BA85" s="65"/>
      <c r="BB85" s="35" t="s">
        <v>106</v>
      </c>
      <c r="BD85" s="35" t="s">
        <v>107</v>
      </c>
      <c r="BE85" s="53"/>
      <c r="BF85" s="53">
        <f>4876530+545000</f>
        <v>5421530</v>
      </c>
      <c r="BG85" s="53"/>
      <c r="BH85" s="53">
        <v>0</v>
      </c>
      <c r="BI85" s="53"/>
      <c r="BJ85" s="53">
        <f>4242850+226473</f>
        <v>4469323</v>
      </c>
      <c r="BK85" s="53"/>
      <c r="BL85" s="53">
        <f>331534+180049</f>
        <v>511583</v>
      </c>
      <c r="BM85" s="53"/>
      <c r="BN85" s="53">
        <v>880450</v>
      </c>
      <c r="BO85" s="54"/>
      <c r="BS85" s="55"/>
      <c r="BT85" s="55"/>
      <c r="BU85" s="84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</row>
    <row r="86" spans="1:95" s="126" customFormat="1" ht="12.75" hidden="1" customHeight="1">
      <c r="A86" s="126" t="s">
        <v>108</v>
      </c>
      <c r="B86" s="124"/>
      <c r="C86" s="126" t="s">
        <v>45</v>
      </c>
      <c r="D86" s="121"/>
      <c r="E86" s="137">
        <f t="shared" si="12"/>
        <v>0</v>
      </c>
      <c r="F86" s="137"/>
      <c r="G86" s="53">
        <v>0</v>
      </c>
      <c r="H86" s="53"/>
      <c r="I86" s="53">
        <v>0</v>
      </c>
      <c r="J86" s="137"/>
      <c r="K86" s="137">
        <f t="shared" si="13"/>
        <v>0</v>
      </c>
      <c r="L86" s="137"/>
      <c r="M86" s="53">
        <v>0</v>
      </c>
      <c r="N86" s="53"/>
      <c r="O86" s="53">
        <v>0</v>
      </c>
      <c r="P86" s="53"/>
      <c r="Q86" s="53">
        <v>0</v>
      </c>
      <c r="R86" s="53"/>
      <c r="S86" s="53">
        <v>0</v>
      </c>
      <c r="T86" s="53"/>
      <c r="U86" s="53">
        <v>0</v>
      </c>
      <c r="V86" s="137"/>
      <c r="W86" s="137">
        <f t="shared" si="14"/>
        <v>0</v>
      </c>
      <c r="X86" s="124"/>
      <c r="Y86" s="124"/>
      <c r="Z86" s="126" t="s">
        <v>108</v>
      </c>
      <c r="AA86" s="137"/>
      <c r="AB86" s="126" t="s">
        <v>45</v>
      </c>
      <c r="AC86" s="124"/>
      <c r="AD86" s="53">
        <v>0</v>
      </c>
      <c r="AE86" s="53"/>
      <c r="AF86" s="53">
        <v>0</v>
      </c>
      <c r="AG86" s="53"/>
      <c r="AH86" s="53">
        <v>0</v>
      </c>
      <c r="AI86" s="53"/>
      <c r="AJ86" s="45">
        <f t="shared" si="11"/>
        <v>0</v>
      </c>
      <c r="AK86" s="45"/>
      <c r="AL86" s="53">
        <v>0</v>
      </c>
      <c r="AM86" s="45"/>
      <c r="AN86" s="53">
        <v>0</v>
      </c>
      <c r="AO86" s="53"/>
      <c r="AP86" s="53">
        <v>0</v>
      </c>
      <c r="AQ86" s="53"/>
      <c r="AR86" s="53">
        <v>0</v>
      </c>
      <c r="AS86" s="137"/>
      <c r="AT86" s="127">
        <f t="shared" si="15"/>
        <v>0</v>
      </c>
      <c r="AU86" s="127"/>
      <c r="AV86" s="137">
        <v>0</v>
      </c>
      <c r="AW86" s="137"/>
      <c r="AX86" s="137">
        <v>0</v>
      </c>
      <c r="AY86" s="137"/>
      <c r="AZ86" s="137">
        <f t="shared" si="16"/>
        <v>0</v>
      </c>
      <c r="BA86" s="124"/>
      <c r="BB86" s="126" t="s">
        <v>108</v>
      </c>
      <c r="BD86" s="126" t="s">
        <v>45</v>
      </c>
      <c r="BE86" s="137"/>
      <c r="BF86" s="53">
        <v>0</v>
      </c>
      <c r="BG86" s="53"/>
      <c r="BH86" s="53">
        <v>0</v>
      </c>
      <c r="BI86" s="53"/>
      <c r="BJ86" s="53">
        <v>0</v>
      </c>
      <c r="BK86" s="53"/>
      <c r="BL86" s="53">
        <v>0</v>
      </c>
      <c r="BM86" s="137"/>
      <c r="BN86" s="137">
        <f t="shared" si="17"/>
        <v>0</v>
      </c>
      <c r="BO86" s="139"/>
      <c r="BS86" s="140"/>
      <c r="BT86" s="140"/>
      <c r="BU86" s="141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</row>
    <row r="87" spans="1:95" s="35" customFormat="1" ht="12.75" customHeight="1">
      <c r="A87" s="35" t="s">
        <v>109</v>
      </c>
      <c r="C87" s="35" t="s">
        <v>110</v>
      </c>
      <c r="D87" s="44"/>
      <c r="E87" s="53">
        <f t="shared" si="12"/>
        <v>760367</v>
      </c>
      <c r="F87" s="53"/>
      <c r="G87" s="53">
        <v>17043693</v>
      </c>
      <c r="H87" s="53"/>
      <c r="I87" s="53">
        <v>17804060</v>
      </c>
      <c r="J87" s="53"/>
      <c r="K87" s="53">
        <f t="shared" si="13"/>
        <v>649276</v>
      </c>
      <c r="L87" s="53"/>
      <c r="M87" s="53">
        <v>777241</v>
      </c>
      <c r="N87" s="53"/>
      <c r="O87" s="53">
        <v>1426517</v>
      </c>
      <c r="P87" s="53"/>
      <c r="Q87" s="53">
        <v>16014159</v>
      </c>
      <c r="R87" s="53"/>
      <c r="S87" s="53">
        <v>0</v>
      </c>
      <c r="T87" s="53"/>
      <c r="U87" s="53">
        <v>363384</v>
      </c>
      <c r="V87" s="53"/>
      <c r="W87" s="53">
        <f t="shared" si="14"/>
        <v>16377543</v>
      </c>
      <c r="X87" s="65"/>
      <c r="Y87" s="65"/>
      <c r="Z87" s="35" t="s">
        <v>109</v>
      </c>
      <c r="AA87" s="53"/>
      <c r="AB87" s="35" t="s">
        <v>110</v>
      </c>
      <c r="AD87" s="53">
        <v>2460409</v>
      </c>
      <c r="AE87" s="53"/>
      <c r="AF87" s="53">
        <f>2741855-329970</f>
        <v>2411885</v>
      </c>
      <c r="AG87" s="53"/>
      <c r="AH87" s="53">
        <v>329970</v>
      </c>
      <c r="AI87" s="53"/>
      <c r="AJ87" s="45">
        <f t="shared" si="11"/>
        <v>-281446</v>
      </c>
      <c r="AK87" s="45"/>
      <c r="AL87" s="53">
        <v>-100543</v>
      </c>
      <c r="AM87" s="45"/>
      <c r="AN87" s="53">
        <v>171992</v>
      </c>
      <c r="AO87" s="53"/>
      <c r="AP87" s="53">
        <v>0</v>
      </c>
      <c r="AQ87" s="53"/>
      <c r="AR87" s="53">
        <v>0</v>
      </c>
      <c r="AS87" s="53"/>
      <c r="AT87" s="45">
        <f t="shared" si="15"/>
        <v>-209997</v>
      </c>
      <c r="AU87" s="45"/>
      <c r="AV87" s="53">
        <v>0</v>
      </c>
      <c r="AW87" s="53"/>
      <c r="AX87" s="53">
        <v>0</v>
      </c>
      <c r="AY87" s="53"/>
      <c r="AZ87" s="53">
        <f t="shared" si="16"/>
        <v>111091</v>
      </c>
      <c r="BA87" s="65"/>
      <c r="BB87" s="35" t="s">
        <v>109</v>
      </c>
      <c r="BD87" s="35" t="s">
        <v>110</v>
      </c>
      <c r="BE87" s="53"/>
      <c r="BF87" s="53">
        <v>0</v>
      </c>
      <c r="BG87" s="53"/>
      <c r="BH87" s="53">
        <v>0</v>
      </c>
      <c r="BI87" s="53"/>
      <c r="BJ87" s="53">
        <f>676360+37682+51560+6852</f>
        <v>772454</v>
      </c>
      <c r="BK87" s="53"/>
      <c r="BL87" s="53">
        <v>63198</v>
      </c>
      <c r="BM87" s="53"/>
      <c r="BN87" s="53">
        <f t="shared" si="17"/>
        <v>835652</v>
      </c>
      <c r="BO87" s="54"/>
      <c r="BS87" s="55"/>
      <c r="BT87" s="55"/>
      <c r="BU87" s="84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</row>
    <row r="88" spans="1:95" s="35" customFormat="1" ht="12.75" customHeight="1">
      <c r="A88" s="35" t="s">
        <v>43</v>
      </c>
      <c r="B88" s="51"/>
      <c r="C88" s="35" t="s">
        <v>111</v>
      </c>
      <c r="D88" s="44"/>
      <c r="E88" s="53">
        <f t="shared" si="12"/>
        <v>1631277</v>
      </c>
      <c r="F88" s="53"/>
      <c r="G88" s="53">
        <v>10867901</v>
      </c>
      <c r="H88" s="53"/>
      <c r="I88" s="53">
        <v>12499178</v>
      </c>
      <c r="J88" s="53"/>
      <c r="K88" s="53">
        <f t="shared" si="13"/>
        <v>1082720</v>
      </c>
      <c r="L88" s="53"/>
      <c r="M88" s="53">
        <v>7662474</v>
      </c>
      <c r="N88" s="53"/>
      <c r="O88" s="53">
        <v>8745194</v>
      </c>
      <c r="P88" s="53"/>
      <c r="Q88" s="53">
        <v>2222482</v>
      </c>
      <c r="R88" s="53"/>
      <c r="S88" s="53">
        <f>620446+232630</f>
        <v>853076</v>
      </c>
      <c r="T88" s="53"/>
      <c r="U88" s="53">
        <v>678426</v>
      </c>
      <c r="V88" s="53"/>
      <c r="W88" s="53">
        <f t="shared" si="14"/>
        <v>3753984</v>
      </c>
      <c r="Z88" s="35" t="s">
        <v>43</v>
      </c>
      <c r="AA88" s="53"/>
      <c r="AB88" s="35" t="s">
        <v>111</v>
      </c>
      <c r="AC88" s="51"/>
      <c r="AD88" s="53">
        <v>2514213</v>
      </c>
      <c r="AE88" s="53"/>
      <c r="AF88" s="53">
        <f>1613948-180219</f>
        <v>1433729</v>
      </c>
      <c r="AG88" s="53"/>
      <c r="AH88" s="53">
        <v>180219</v>
      </c>
      <c r="AI88" s="53"/>
      <c r="AJ88" s="45">
        <f t="shared" si="11"/>
        <v>900265</v>
      </c>
      <c r="AK88" s="45"/>
      <c r="AL88" s="53">
        <v>-445459</v>
      </c>
      <c r="AM88" s="45"/>
      <c r="AN88" s="53">
        <v>0</v>
      </c>
      <c r="AO88" s="53"/>
      <c r="AP88" s="53">
        <v>221610</v>
      </c>
      <c r="AQ88" s="53"/>
      <c r="AR88" s="53">
        <f>370506+316599</f>
        <v>687105</v>
      </c>
      <c r="AS88" s="53"/>
      <c r="AT88" s="45">
        <f t="shared" si="15"/>
        <v>920301</v>
      </c>
      <c r="AU88" s="45"/>
      <c r="AV88" s="53">
        <v>0</v>
      </c>
      <c r="AW88" s="53"/>
      <c r="AX88" s="53">
        <v>0</v>
      </c>
      <c r="AY88" s="53"/>
      <c r="AZ88" s="53">
        <f t="shared" si="16"/>
        <v>548557</v>
      </c>
      <c r="BA88" s="65"/>
      <c r="BB88" s="35" t="s">
        <v>43</v>
      </c>
      <c r="BD88" s="35" t="s">
        <v>111</v>
      </c>
      <c r="BE88" s="53"/>
      <c r="BF88" s="53">
        <v>0</v>
      </c>
      <c r="BG88" s="53"/>
      <c r="BH88" s="53">
        <f>4738614+380000</f>
        <v>5118614</v>
      </c>
      <c r="BI88" s="53"/>
      <c r="BJ88" s="53">
        <f>2819975+171822</f>
        <v>2991797</v>
      </c>
      <c r="BK88" s="53"/>
      <c r="BL88" s="53">
        <f>32184+41953+62932</f>
        <v>137069</v>
      </c>
      <c r="BM88" s="53"/>
      <c r="BN88" s="53">
        <f t="shared" si="17"/>
        <v>8247480</v>
      </c>
      <c r="BO88" s="54"/>
      <c r="BS88" s="55"/>
      <c r="BT88" s="55"/>
      <c r="BU88" s="84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</row>
    <row r="89" spans="1:95" s="35" customFormat="1" ht="12.75" customHeight="1">
      <c r="D89" s="44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 t="s">
        <v>484</v>
      </c>
      <c r="X89" s="51"/>
      <c r="Y89" s="51"/>
      <c r="AA89" s="53"/>
      <c r="AD89" s="53"/>
      <c r="AE89" s="53"/>
      <c r="AF89" s="53"/>
      <c r="AG89" s="53"/>
      <c r="AH89" s="53"/>
      <c r="AI89" s="53"/>
      <c r="AJ89" s="45"/>
      <c r="AK89" s="45"/>
      <c r="AL89" s="53"/>
      <c r="AM89" s="45"/>
      <c r="AN89" s="53"/>
      <c r="AO89" s="53"/>
      <c r="AP89" s="53"/>
      <c r="AQ89" s="53"/>
      <c r="AR89" s="53"/>
      <c r="AS89" s="53"/>
      <c r="AT89" s="45"/>
      <c r="AU89" s="45"/>
      <c r="AV89" s="53"/>
      <c r="AW89" s="53"/>
      <c r="AX89" s="53"/>
      <c r="AY89" s="53"/>
      <c r="AZ89" s="53" t="s">
        <v>484</v>
      </c>
      <c r="BA89" s="51"/>
      <c r="BE89" s="53"/>
      <c r="BF89" s="53"/>
      <c r="BG89" s="53"/>
      <c r="BH89" s="53"/>
      <c r="BI89" s="53"/>
      <c r="BJ89" s="53"/>
      <c r="BK89" s="53"/>
      <c r="BL89" s="53"/>
      <c r="BM89" s="53"/>
      <c r="BN89" s="53" t="s">
        <v>484</v>
      </c>
      <c r="BO89" s="54"/>
      <c r="BP89" s="55"/>
      <c r="BS89" s="55"/>
      <c r="BT89" s="55"/>
      <c r="BU89" s="84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</row>
    <row r="90" spans="1:95" s="64" customFormat="1" ht="12.75" customHeight="1">
      <c r="A90" s="64" t="s">
        <v>112</v>
      </c>
      <c r="B90" s="66"/>
      <c r="C90" s="64" t="s">
        <v>76</v>
      </c>
      <c r="D90" s="46"/>
      <c r="E90" s="79">
        <f t="shared" si="12"/>
        <v>4127977</v>
      </c>
      <c r="F90" s="79"/>
      <c r="G90" s="79">
        <f>5849862+33442281</f>
        <v>39292143</v>
      </c>
      <c r="H90" s="79"/>
      <c r="I90" s="79">
        <v>43420120</v>
      </c>
      <c r="J90" s="79"/>
      <c r="K90" s="79">
        <f t="shared" si="13"/>
        <v>709743</v>
      </c>
      <c r="L90" s="79"/>
      <c r="M90" s="79">
        <v>8036961</v>
      </c>
      <c r="N90" s="79"/>
      <c r="O90" s="79">
        <v>8746704</v>
      </c>
      <c r="P90" s="79"/>
      <c r="Q90" s="79">
        <v>30947143</v>
      </c>
      <c r="R90" s="79"/>
      <c r="S90" s="79">
        <v>0</v>
      </c>
      <c r="T90" s="79"/>
      <c r="U90" s="79">
        <v>3726273</v>
      </c>
      <c r="V90" s="79"/>
      <c r="W90" s="79">
        <f t="shared" si="14"/>
        <v>34673416</v>
      </c>
      <c r="X90" s="66"/>
      <c r="Y90" s="66"/>
      <c r="Z90" s="64" t="s">
        <v>112</v>
      </c>
      <c r="AA90" s="79"/>
      <c r="AB90" s="64" t="s">
        <v>76</v>
      </c>
      <c r="AC90" s="66"/>
      <c r="AD90" s="79">
        <v>3570686</v>
      </c>
      <c r="AE90" s="79"/>
      <c r="AF90" s="79">
        <f>4002316-1381134</f>
        <v>2621182</v>
      </c>
      <c r="AG90" s="79"/>
      <c r="AH90" s="79">
        <v>1381134</v>
      </c>
      <c r="AI90" s="79"/>
      <c r="AJ90" s="94">
        <f t="shared" si="11"/>
        <v>-431630</v>
      </c>
      <c r="AK90" s="94"/>
      <c r="AL90" s="79">
        <v>-214149</v>
      </c>
      <c r="AM90" s="94"/>
      <c r="AN90" s="79">
        <v>0</v>
      </c>
      <c r="AO90" s="79"/>
      <c r="AP90" s="79">
        <v>0</v>
      </c>
      <c r="AQ90" s="79"/>
      <c r="AR90" s="79">
        <v>4082405</v>
      </c>
      <c r="AS90" s="79"/>
      <c r="AT90" s="94">
        <f t="shared" si="15"/>
        <v>3436626</v>
      </c>
      <c r="AU90" s="94"/>
      <c r="AV90" s="79">
        <v>0</v>
      </c>
      <c r="AW90" s="79"/>
      <c r="AX90" s="79">
        <v>0</v>
      </c>
      <c r="AY90" s="79"/>
      <c r="AZ90" s="79">
        <f t="shared" si="16"/>
        <v>3418234</v>
      </c>
      <c r="BA90" s="66"/>
      <c r="BB90" s="64" t="s">
        <v>112</v>
      </c>
      <c r="BD90" s="64" t="s">
        <v>76</v>
      </c>
      <c r="BE90" s="79"/>
      <c r="BF90" s="79">
        <f>7925000+420000</f>
        <v>8345000</v>
      </c>
      <c r="BG90" s="79"/>
      <c r="BH90" s="79">
        <v>0</v>
      </c>
      <c r="BI90" s="79"/>
      <c r="BJ90" s="79">
        <v>0</v>
      </c>
      <c r="BK90" s="79"/>
      <c r="BL90" s="79">
        <v>111961</v>
      </c>
      <c r="BM90" s="79"/>
      <c r="BN90" s="79">
        <f t="shared" si="17"/>
        <v>8456961</v>
      </c>
      <c r="BO90" s="91"/>
      <c r="BS90" s="90"/>
      <c r="BT90" s="90"/>
      <c r="BU90" s="95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</row>
    <row r="91" spans="1:95" s="35" customFormat="1" ht="12.75" customHeight="1">
      <c r="A91" s="35" t="s">
        <v>113</v>
      </c>
      <c r="B91" s="51"/>
      <c r="C91" s="35" t="s">
        <v>43</v>
      </c>
      <c r="D91" s="44"/>
      <c r="E91" s="53">
        <f t="shared" si="12"/>
        <v>-21108025</v>
      </c>
      <c r="F91" s="53"/>
      <c r="G91" s="53">
        <f>872575+24098340</f>
        <v>24970915</v>
      </c>
      <c r="H91" s="53"/>
      <c r="I91" s="53">
        <v>3862890</v>
      </c>
      <c r="J91" s="53"/>
      <c r="K91" s="53">
        <f t="shared" si="13"/>
        <v>111234</v>
      </c>
      <c r="L91" s="53"/>
      <c r="M91" s="53">
        <v>316891</v>
      </c>
      <c r="N91" s="53"/>
      <c r="O91" s="53">
        <v>428125</v>
      </c>
      <c r="P91" s="53"/>
      <c r="Q91" s="53">
        <v>24642075</v>
      </c>
      <c r="R91" s="53"/>
      <c r="S91" s="53">
        <v>0</v>
      </c>
      <c r="T91" s="53"/>
      <c r="U91" s="53">
        <v>5792690</v>
      </c>
      <c r="V91" s="53"/>
      <c r="W91" s="53">
        <f t="shared" si="14"/>
        <v>30434765</v>
      </c>
      <c r="X91" s="66"/>
      <c r="Y91" s="66"/>
      <c r="Z91" s="35" t="s">
        <v>113</v>
      </c>
      <c r="AA91" s="53"/>
      <c r="AB91" s="35" t="s">
        <v>43</v>
      </c>
      <c r="AC91" s="51"/>
      <c r="AD91" s="53">
        <v>4401543</v>
      </c>
      <c r="AE91" s="53"/>
      <c r="AF91" s="53">
        <f>565038-706750</f>
        <v>-141712</v>
      </c>
      <c r="AG91" s="53"/>
      <c r="AH91" s="53">
        <v>706750</v>
      </c>
      <c r="AI91" s="53"/>
      <c r="AJ91" s="45">
        <f t="shared" si="11"/>
        <v>3836505</v>
      </c>
      <c r="AK91" s="45"/>
      <c r="AL91" s="53">
        <v>-14888</v>
      </c>
      <c r="AM91" s="45"/>
      <c r="AN91" s="53">
        <v>0</v>
      </c>
      <c r="AO91" s="53"/>
      <c r="AP91" s="53">
        <v>10000</v>
      </c>
      <c r="AQ91" s="53"/>
      <c r="AR91" s="53">
        <v>0</v>
      </c>
      <c r="AS91" s="53"/>
      <c r="AT91" s="45">
        <f t="shared" ref="AT91:AT153" si="18">+AJ91+AL91+AN91-AP91+AR91</f>
        <v>3811617</v>
      </c>
      <c r="AU91" s="45"/>
      <c r="AV91" s="53">
        <v>0</v>
      </c>
      <c r="AW91" s="53"/>
      <c r="AX91" s="53">
        <v>0</v>
      </c>
      <c r="AY91" s="53"/>
      <c r="AZ91" s="53">
        <f t="shared" ref="AZ91:AZ153" si="19">E91-K91</f>
        <v>-21219259</v>
      </c>
      <c r="BA91" s="66"/>
      <c r="BB91" s="35" t="s">
        <v>113</v>
      </c>
      <c r="BD91" s="35" t="s">
        <v>43</v>
      </c>
      <c r="BE91" s="53"/>
      <c r="BF91" s="53">
        <f>316891+11949</f>
        <v>328840</v>
      </c>
      <c r="BG91" s="53"/>
      <c r="BH91" s="53">
        <v>0</v>
      </c>
      <c r="BI91" s="53"/>
      <c r="BJ91" s="53">
        <v>0</v>
      </c>
      <c r="BK91" s="53"/>
      <c r="BL91" s="53">
        <v>0</v>
      </c>
      <c r="BM91" s="53"/>
      <c r="BN91" s="53">
        <f t="shared" si="17"/>
        <v>328840</v>
      </c>
      <c r="BO91" s="54"/>
      <c r="BS91" s="55"/>
      <c r="BT91" s="55"/>
      <c r="BU91" s="84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</row>
    <row r="92" spans="1:95" s="35" customFormat="1" ht="12.75" customHeight="1">
      <c r="A92" s="35" t="s">
        <v>489</v>
      </c>
      <c r="B92" s="51"/>
      <c r="C92" s="35" t="s">
        <v>57</v>
      </c>
      <c r="D92" s="44"/>
      <c r="E92" s="53">
        <f>I92-G92</f>
        <v>2391702</v>
      </c>
      <c r="F92" s="53"/>
      <c r="G92" s="53">
        <v>8767455</v>
      </c>
      <c r="H92" s="53"/>
      <c r="I92" s="53">
        <v>11159157</v>
      </c>
      <c r="J92" s="53"/>
      <c r="K92" s="53">
        <f>O92-M92</f>
        <v>409118</v>
      </c>
      <c r="L92" s="53"/>
      <c r="M92" s="53">
        <v>7045106</v>
      </c>
      <c r="N92" s="53"/>
      <c r="O92" s="53">
        <v>7454224</v>
      </c>
      <c r="P92" s="53"/>
      <c r="Q92" s="53">
        <v>1520911</v>
      </c>
      <c r="R92" s="53"/>
      <c r="S92" s="53">
        <v>0</v>
      </c>
      <c r="T92" s="53"/>
      <c r="U92" s="53">
        <v>2184022</v>
      </c>
      <c r="V92" s="53"/>
      <c r="W92" s="53">
        <f>SUM(Q92:U92)</f>
        <v>3704933</v>
      </c>
      <c r="X92" s="51"/>
      <c r="Y92" s="66"/>
      <c r="Z92" s="35" t="s">
        <v>489</v>
      </c>
      <c r="AA92" s="53"/>
      <c r="AB92" s="35" t="s">
        <v>57</v>
      </c>
      <c r="AC92" s="51"/>
      <c r="AD92" s="53">
        <v>1805615</v>
      </c>
      <c r="AE92" s="53"/>
      <c r="AF92" s="53">
        <f>1534155-353885</f>
        <v>1180270</v>
      </c>
      <c r="AG92" s="53"/>
      <c r="AH92" s="53">
        <v>353885</v>
      </c>
      <c r="AI92" s="53"/>
      <c r="AJ92" s="45">
        <f t="shared" si="11"/>
        <v>271460</v>
      </c>
      <c r="AK92" s="45"/>
      <c r="AL92" s="53">
        <v>-212738</v>
      </c>
      <c r="AM92" s="45"/>
      <c r="AN92" s="53">
        <v>27287</v>
      </c>
      <c r="AO92" s="53"/>
      <c r="AP92" s="53">
        <v>28114</v>
      </c>
      <c r="AQ92" s="53"/>
      <c r="AR92" s="53">
        <v>0</v>
      </c>
      <c r="AS92" s="53"/>
      <c r="AT92" s="45">
        <f>+AJ92+AL92+AN92-AP92+AR92</f>
        <v>57895</v>
      </c>
      <c r="AU92" s="45"/>
      <c r="AV92" s="53">
        <v>0</v>
      </c>
      <c r="AW92" s="53"/>
      <c r="AX92" s="53">
        <v>0</v>
      </c>
      <c r="AY92" s="53"/>
      <c r="AZ92" s="53">
        <f>E92-K92</f>
        <v>1982584</v>
      </c>
      <c r="BA92" s="51"/>
      <c r="BB92" s="35" t="s">
        <v>489</v>
      </c>
      <c r="BD92" s="35" t="s">
        <v>57</v>
      </c>
      <c r="BE92" s="53"/>
      <c r="BF92" s="53">
        <v>0</v>
      </c>
      <c r="BG92" s="53"/>
      <c r="BH92" s="53">
        <v>0</v>
      </c>
      <c r="BI92" s="53"/>
      <c r="BJ92" s="53">
        <f>138885+6733988+10555+21751</f>
        <v>6905179</v>
      </c>
      <c r="BK92" s="53"/>
      <c r="BL92" s="53">
        <f>72047+100186</f>
        <v>172233</v>
      </c>
      <c r="BM92" s="53"/>
      <c r="BN92" s="53">
        <f>SUM(BF92:BL92)</f>
        <v>7077412</v>
      </c>
      <c r="BO92" s="54"/>
      <c r="BS92" s="55"/>
      <c r="BT92" s="55"/>
      <c r="BU92" s="84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</row>
    <row r="93" spans="1:95" s="126" customFormat="1" ht="12.75" hidden="1" customHeight="1">
      <c r="A93" s="126" t="s">
        <v>114</v>
      </c>
      <c r="B93" s="124"/>
      <c r="C93" s="126" t="s">
        <v>27</v>
      </c>
      <c r="D93" s="121"/>
      <c r="E93" s="137">
        <f t="shared" si="12"/>
        <v>0</v>
      </c>
      <c r="F93" s="137"/>
      <c r="G93" s="53">
        <v>0</v>
      </c>
      <c r="H93" s="53"/>
      <c r="I93" s="53">
        <v>0</v>
      </c>
      <c r="J93" s="137"/>
      <c r="K93" s="137">
        <f t="shared" si="13"/>
        <v>0</v>
      </c>
      <c r="L93" s="137"/>
      <c r="M93" s="53">
        <v>0</v>
      </c>
      <c r="N93" s="53"/>
      <c r="O93" s="53">
        <v>0</v>
      </c>
      <c r="P93" s="53"/>
      <c r="Q93" s="53">
        <v>0</v>
      </c>
      <c r="R93" s="53"/>
      <c r="S93" s="53">
        <v>0</v>
      </c>
      <c r="T93" s="53"/>
      <c r="U93" s="53">
        <v>0</v>
      </c>
      <c r="V93" s="137"/>
      <c r="W93" s="137">
        <f t="shared" si="14"/>
        <v>0</v>
      </c>
      <c r="X93" s="124"/>
      <c r="Y93" s="124"/>
      <c r="Z93" s="126" t="s">
        <v>114</v>
      </c>
      <c r="AA93" s="137"/>
      <c r="AB93" s="126" t="s">
        <v>27</v>
      </c>
      <c r="AC93" s="124"/>
      <c r="AD93" s="53">
        <v>0</v>
      </c>
      <c r="AE93" s="53"/>
      <c r="AF93" s="53">
        <v>0</v>
      </c>
      <c r="AG93" s="53"/>
      <c r="AH93" s="53">
        <v>0</v>
      </c>
      <c r="AI93" s="53"/>
      <c r="AJ93" s="45">
        <f t="shared" si="11"/>
        <v>0</v>
      </c>
      <c r="AK93" s="45"/>
      <c r="AL93" s="53">
        <v>0</v>
      </c>
      <c r="AM93" s="45"/>
      <c r="AN93" s="53">
        <v>0</v>
      </c>
      <c r="AO93" s="53"/>
      <c r="AP93" s="53">
        <v>0</v>
      </c>
      <c r="AQ93" s="53"/>
      <c r="AR93" s="53">
        <v>0</v>
      </c>
      <c r="AS93" s="137"/>
      <c r="AT93" s="127">
        <f t="shared" si="18"/>
        <v>0</v>
      </c>
      <c r="AU93" s="127"/>
      <c r="AV93" s="137">
        <v>0</v>
      </c>
      <c r="AW93" s="137"/>
      <c r="AX93" s="137">
        <v>0</v>
      </c>
      <c r="AY93" s="137"/>
      <c r="AZ93" s="137">
        <f t="shared" si="19"/>
        <v>0</v>
      </c>
      <c r="BA93" s="124"/>
      <c r="BB93" s="126" t="s">
        <v>114</v>
      </c>
      <c r="BD93" s="126" t="s">
        <v>27</v>
      </c>
      <c r="BE93" s="137"/>
      <c r="BF93" s="53">
        <v>0</v>
      </c>
      <c r="BG93" s="53"/>
      <c r="BH93" s="53">
        <v>0</v>
      </c>
      <c r="BI93" s="53"/>
      <c r="BJ93" s="53">
        <v>0</v>
      </c>
      <c r="BK93" s="53"/>
      <c r="BL93" s="53">
        <v>0</v>
      </c>
      <c r="BM93" s="137"/>
      <c r="BN93" s="137">
        <f t="shared" si="17"/>
        <v>0</v>
      </c>
      <c r="BO93" s="139"/>
      <c r="BS93" s="140"/>
      <c r="BT93" s="140"/>
      <c r="BU93" s="141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0"/>
      <c r="CP93" s="140"/>
      <c r="CQ93" s="140"/>
    </row>
    <row r="94" spans="1:95" s="35" customFormat="1" ht="12.75" customHeight="1">
      <c r="A94" s="35" t="s">
        <v>115</v>
      </c>
      <c r="C94" s="35" t="s">
        <v>19</v>
      </c>
      <c r="D94" s="44"/>
      <c r="E94" s="53">
        <f t="shared" si="12"/>
        <v>719531</v>
      </c>
      <c r="F94" s="53"/>
      <c r="G94" s="53">
        <v>6420921</v>
      </c>
      <c r="H94" s="53"/>
      <c r="I94" s="53">
        <v>7140452</v>
      </c>
      <c r="J94" s="53"/>
      <c r="K94" s="53">
        <f t="shared" si="13"/>
        <v>228746</v>
      </c>
      <c r="L94" s="53"/>
      <c r="M94" s="53">
        <v>5806553</v>
      </c>
      <c r="N94" s="53"/>
      <c r="O94" s="53">
        <v>6035299</v>
      </c>
      <c r="P94" s="53"/>
      <c r="Q94" s="53">
        <v>421788</v>
      </c>
      <c r="R94" s="53"/>
      <c r="S94" s="53">
        <v>0</v>
      </c>
      <c r="T94" s="53"/>
      <c r="U94" s="53">
        <v>683365</v>
      </c>
      <c r="V94" s="53"/>
      <c r="W94" s="53">
        <f t="shared" si="14"/>
        <v>1105153</v>
      </c>
      <c r="X94" s="51"/>
      <c r="Y94" s="51"/>
      <c r="Z94" s="35" t="s">
        <v>115</v>
      </c>
      <c r="AA94" s="53"/>
      <c r="AB94" s="35" t="s">
        <v>19</v>
      </c>
      <c r="AD94" s="53">
        <v>1387283</v>
      </c>
      <c r="AE94" s="53"/>
      <c r="AF94" s="53">
        <f>885520-141135</f>
        <v>744385</v>
      </c>
      <c r="AG94" s="53"/>
      <c r="AH94" s="53">
        <v>141135</v>
      </c>
      <c r="AI94" s="53"/>
      <c r="AJ94" s="45">
        <f t="shared" si="11"/>
        <v>501763</v>
      </c>
      <c r="AK94" s="45"/>
      <c r="AL94" s="53">
        <v>-274439</v>
      </c>
      <c r="AM94" s="45"/>
      <c r="AN94" s="53">
        <v>5000</v>
      </c>
      <c r="AO94" s="53"/>
      <c r="AP94" s="53">
        <v>12313</v>
      </c>
      <c r="AQ94" s="53"/>
      <c r="AR94" s="53">
        <v>0</v>
      </c>
      <c r="AS94" s="53"/>
      <c r="AT94" s="45">
        <f t="shared" si="18"/>
        <v>220011</v>
      </c>
      <c r="AU94" s="45"/>
      <c r="AV94" s="53">
        <v>0</v>
      </c>
      <c r="AW94" s="53"/>
      <c r="AX94" s="53">
        <v>0</v>
      </c>
      <c r="AY94" s="53"/>
      <c r="AZ94" s="53">
        <f t="shared" si="19"/>
        <v>490785</v>
      </c>
      <c r="BA94" s="51"/>
      <c r="BB94" s="35" t="s">
        <v>115</v>
      </c>
      <c r="BD94" s="35" t="s">
        <v>19</v>
      </c>
      <c r="BE94" s="53"/>
      <c r="BF94" s="53">
        <v>0</v>
      </c>
      <c r="BG94" s="53"/>
      <c r="BH94" s="53">
        <v>0</v>
      </c>
      <c r="BI94" s="53"/>
      <c r="BJ94" s="53">
        <f>40000+5677553+5000+187580</f>
        <v>5910133</v>
      </c>
      <c r="BK94" s="53"/>
      <c r="BL94" s="53">
        <v>0</v>
      </c>
      <c r="BM94" s="53"/>
      <c r="BN94" s="53">
        <f t="shared" si="17"/>
        <v>5910133</v>
      </c>
      <c r="BO94" s="54"/>
      <c r="BP94" s="55"/>
      <c r="BS94" s="55"/>
      <c r="BT94" s="55"/>
      <c r="BU94" s="84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</row>
    <row r="95" spans="1:95" s="35" customFormat="1" ht="12.75" customHeight="1">
      <c r="A95" s="35" t="s">
        <v>116</v>
      </c>
      <c r="B95" s="65"/>
      <c r="C95" s="35" t="s">
        <v>80</v>
      </c>
      <c r="D95" s="44"/>
      <c r="E95" s="53">
        <f t="shared" si="12"/>
        <v>642123</v>
      </c>
      <c r="F95" s="53"/>
      <c r="G95" s="53">
        <v>3683096</v>
      </c>
      <c r="H95" s="53"/>
      <c r="I95" s="53">
        <v>4325219</v>
      </c>
      <c r="J95" s="53"/>
      <c r="K95" s="53">
        <f t="shared" si="13"/>
        <v>327531</v>
      </c>
      <c r="L95" s="53"/>
      <c r="M95" s="53">
        <v>1387347</v>
      </c>
      <c r="N95" s="53"/>
      <c r="O95" s="53">
        <v>1714878</v>
      </c>
      <c r="P95" s="53"/>
      <c r="Q95" s="53">
        <v>2153086</v>
      </c>
      <c r="R95" s="53"/>
      <c r="S95" s="53">
        <v>0</v>
      </c>
      <c r="T95" s="53"/>
      <c r="U95" s="53">
        <v>457255</v>
      </c>
      <c r="V95" s="53"/>
      <c r="W95" s="53">
        <f t="shared" si="14"/>
        <v>2610341</v>
      </c>
      <c r="X95" s="65"/>
      <c r="Y95" s="65"/>
      <c r="Z95" s="35" t="s">
        <v>116</v>
      </c>
      <c r="AA95" s="53"/>
      <c r="AB95" s="35" t="s">
        <v>80</v>
      </c>
      <c r="AC95" s="65"/>
      <c r="AD95" s="53">
        <v>3067156</v>
      </c>
      <c r="AE95" s="53"/>
      <c r="AF95" s="53">
        <f>2172287-41383</f>
        <v>2130904</v>
      </c>
      <c r="AG95" s="53"/>
      <c r="AH95" s="53">
        <v>41383</v>
      </c>
      <c r="AI95" s="53"/>
      <c r="AJ95" s="45">
        <f t="shared" ref="AJ95:AJ158" si="20">+AD95-AF95-AH95</f>
        <v>894869</v>
      </c>
      <c r="AK95" s="45"/>
      <c r="AL95" s="53">
        <v>-394652</v>
      </c>
      <c r="AM95" s="45"/>
      <c r="AN95" s="53">
        <v>0</v>
      </c>
      <c r="AO95" s="53"/>
      <c r="AP95" s="53">
        <v>0</v>
      </c>
      <c r="AQ95" s="53"/>
      <c r="AR95" s="53">
        <v>0</v>
      </c>
      <c r="AS95" s="53"/>
      <c r="AT95" s="45">
        <f t="shared" si="18"/>
        <v>500217</v>
      </c>
      <c r="AU95" s="45"/>
      <c r="AV95" s="53">
        <v>0</v>
      </c>
      <c r="AW95" s="53"/>
      <c r="AX95" s="53">
        <v>0</v>
      </c>
      <c r="AY95" s="53"/>
      <c r="AZ95" s="53">
        <f t="shared" si="19"/>
        <v>314592</v>
      </c>
      <c r="BA95" s="65"/>
      <c r="BB95" s="35" t="s">
        <v>116</v>
      </c>
      <c r="BD95" s="35" t="s">
        <v>80</v>
      </c>
      <c r="BE95" s="53"/>
      <c r="BF95" s="53">
        <v>0</v>
      </c>
      <c r="BG95" s="53"/>
      <c r="BH95" s="53">
        <v>0</v>
      </c>
      <c r="BI95" s="53"/>
      <c r="BJ95" s="53">
        <f>1330133+199877</f>
        <v>1530010</v>
      </c>
      <c r="BK95" s="53"/>
      <c r="BL95" s="53">
        <f>14580+57214</f>
        <v>71794</v>
      </c>
      <c r="BM95" s="53"/>
      <c r="BN95" s="53">
        <f t="shared" si="17"/>
        <v>1601804</v>
      </c>
      <c r="BO95" s="54"/>
      <c r="BS95" s="55"/>
      <c r="BT95" s="55"/>
      <c r="BU95" s="84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</row>
    <row r="96" spans="1:95" s="126" customFormat="1" ht="12.75" hidden="1" customHeight="1">
      <c r="A96" s="121" t="s">
        <v>117</v>
      </c>
      <c r="B96" s="124"/>
      <c r="C96" s="126" t="s">
        <v>43</v>
      </c>
      <c r="D96" s="121"/>
      <c r="E96" s="137">
        <f t="shared" si="12"/>
        <v>0</v>
      </c>
      <c r="F96" s="137"/>
      <c r="G96" s="137"/>
      <c r="H96" s="137"/>
      <c r="I96" s="137"/>
      <c r="J96" s="137"/>
      <c r="K96" s="137">
        <f t="shared" si="13"/>
        <v>0</v>
      </c>
      <c r="L96" s="137"/>
      <c r="M96" s="137"/>
      <c r="N96" s="137"/>
      <c r="O96" s="137"/>
      <c r="P96" s="137"/>
      <c r="Q96" s="137"/>
      <c r="R96" s="137"/>
      <c r="S96" s="137">
        <v>0</v>
      </c>
      <c r="T96" s="137"/>
      <c r="U96" s="137"/>
      <c r="V96" s="137"/>
      <c r="W96" s="137">
        <f t="shared" si="14"/>
        <v>0</v>
      </c>
      <c r="X96" s="124"/>
      <c r="Y96" s="124"/>
      <c r="Z96" s="121" t="s">
        <v>117</v>
      </c>
      <c r="AA96" s="137"/>
      <c r="AB96" s="126" t="s">
        <v>43</v>
      </c>
      <c r="AC96" s="124"/>
      <c r="AD96" s="137"/>
      <c r="AE96" s="137"/>
      <c r="AF96" s="137"/>
      <c r="AG96" s="137"/>
      <c r="AH96" s="137"/>
      <c r="AI96" s="137"/>
      <c r="AJ96" s="127">
        <f t="shared" si="20"/>
        <v>0</v>
      </c>
      <c r="AK96" s="127"/>
      <c r="AL96" s="137"/>
      <c r="AM96" s="127"/>
      <c r="AN96" s="137"/>
      <c r="AO96" s="137"/>
      <c r="AP96" s="137"/>
      <c r="AQ96" s="137"/>
      <c r="AR96" s="137"/>
      <c r="AS96" s="137"/>
      <c r="AT96" s="127">
        <f t="shared" si="18"/>
        <v>0</v>
      </c>
      <c r="AU96" s="127"/>
      <c r="AV96" s="137">
        <v>0</v>
      </c>
      <c r="AW96" s="137"/>
      <c r="AX96" s="137">
        <v>0</v>
      </c>
      <c r="AY96" s="137"/>
      <c r="AZ96" s="137">
        <f t="shared" si="19"/>
        <v>0</v>
      </c>
      <c r="BA96" s="124"/>
      <c r="BB96" s="121" t="s">
        <v>117</v>
      </c>
      <c r="BD96" s="126" t="s">
        <v>43</v>
      </c>
      <c r="BE96" s="137"/>
      <c r="BF96" s="137"/>
      <c r="BG96" s="137"/>
      <c r="BH96" s="137"/>
      <c r="BI96" s="137"/>
      <c r="BJ96" s="137"/>
      <c r="BK96" s="137"/>
      <c r="BL96" s="137"/>
      <c r="BM96" s="137"/>
      <c r="BN96" s="137">
        <f t="shared" si="17"/>
        <v>0</v>
      </c>
      <c r="BO96" s="139"/>
      <c r="BS96" s="140"/>
      <c r="BT96" s="140"/>
      <c r="BU96" s="141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</row>
    <row r="97" spans="1:95" s="126" customFormat="1" ht="12.75" hidden="1" customHeight="1">
      <c r="A97" s="126" t="s">
        <v>118</v>
      </c>
      <c r="B97" s="124"/>
      <c r="C97" s="126" t="s">
        <v>13</v>
      </c>
      <c r="D97" s="121"/>
      <c r="E97" s="137">
        <f t="shared" si="12"/>
        <v>0</v>
      </c>
      <c r="F97" s="137"/>
      <c r="G97" s="137"/>
      <c r="H97" s="137"/>
      <c r="I97" s="137"/>
      <c r="J97" s="137"/>
      <c r="K97" s="137">
        <f t="shared" si="13"/>
        <v>0</v>
      </c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>
        <f t="shared" si="14"/>
        <v>0</v>
      </c>
      <c r="X97" s="124"/>
      <c r="Y97" s="124"/>
      <c r="Z97" s="126" t="s">
        <v>118</v>
      </c>
      <c r="AA97" s="137"/>
      <c r="AB97" s="126" t="s">
        <v>13</v>
      </c>
      <c r="AC97" s="124"/>
      <c r="AD97" s="137"/>
      <c r="AE97" s="137"/>
      <c r="AF97" s="137"/>
      <c r="AG97" s="137"/>
      <c r="AH97" s="137"/>
      <c r="AI97" s="137"/>
      <c r="AJ97" s="127">
        <f t="shared" si="20"/>
        <v>0</v>
      </c>
      <c r="AK97" s="127"/>
      <c r="AL97" s="137"/>
      <c r="AM97" s="127"/>
      <c r="AN97" s="137"/>
      <c r="AO97" s="137"/>
      <c r="AP97" s="137"/>
      <c r="AQ97" s="137"/>
      <c r="AR97" s="137"/>
      <c r="AS97" s="137"/>
      <c r="AT97" s="127">
        <f t="shared" si="18"/>
        <v>0</v>
      </c>
      <c r="AU97" s="127"/>
      <c r="AV97" s="137">
        <v>0</v>
      </c>
      <c r="AW97" s="137"/>
      <c r="AX97" s="137">
        <v>0</v>
      </c>
      <c r="AY97" s="137"/>
      <c r="AZ97" s="137">
        <f t="shared" si="19"/>
        <v>0</v>
      </c>
      <c r="BA97" s="124"/>
      <c r="BB97" s="126" t="s">
        <v>118</v>
      </c>
      <c r="BD97" s="126" t="s">
        <v>13</v>
      </c>
      <c r="BE97" s="137"/>
      <c r="BF97" s="137"/>
      <c r="BG97" s="137"/>
      <c r="BH97" s="137"/>
      <c r="BI97" s="137"/>
      <c r="BJ97" s="137"/>
      <c r="BK97" s="137"/>
      <c r="BL97" s="137"/>
      <c r="BM97" s="137"/>
      <c r="BN97" s="137">
        <f t="shared" si="17"/>
        <v>0</v>
      </c>
      <c r="BO97" s="139"/>
      <c r="BS97" s="140"/>
      <c r="BT97" s="140"/>
      <c r="BU97" s="141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</row>
    <row r="98" spans="1:95" s="35" customFormat="1" ht="12.75" customHeight="1">
      <c r="A98" s="35" t="s">
        <v>120</v>
      </c>
      <c r="B98" s="51"/>
      <c r="C98" s="35" t="s">
        <v>121</v>
      </c>
      <c r="D98" s="44"/>
      <c r="E98" s="53">
        <f t="shared" si="12"/>
        <v>2481575</v>
      </c>
      <c r="F98" s="53"/>
      <c r="G98" s="53">
        <v>7872108</v>
      </c>
      <c r="H98" s="53"/>
      <c r="I98" s="53">
        <v>10353683</v>
      </c>
      <c r="J98" s="53"/>
      <c r="K98" s="53">
        <f t="shared" si="13"/>
        <v>80691</v>
      </c>
      <c r="L98" s="53"/>
      <c r="M98" s="53">
        <v>64604</v>
      </c>
      <c r="N98" s="53"/>
      <c r="O98" s="53">
        <v>145295</v>
      </c>
      <c r="P98" s="53"/>
      <c r="Q98" s="53">
        <v>7872108</v>
      </c>
      <c r="R98" s="53"/>
      <c r="S98" s="53">
        <v>0</v>
      </c>
      <c r="T98" s="53"/>
      <c r="U98" s="53">
        <v>2336280</v>
      </c>
      <c r="V98" s="53"/>
      <c r="W98" s="53">
        <f t="shared" ref="W98:W161" si="21">SUM(Q98:U98)</f>
        <v>10208388</v>
      </c>
      <c r="X98" s="51"/>
      <c r="Y98" s="51"/>
      <c r="Z98" s="35" t="s">
        <v>120</v>
      </c>
      <c r="AA98" s="53"/>
      <c r="AB98" s="35" t="s">
        <v>121</v>
      </c>
      <c r="AC98" s="51"/>
      <c r="AD98" s="53">
        <v>1627219</v>
      </c>
      <c r="AE98" s="53"/>
      <c r="AF98" s="53">
        <f>1724432-299946</f>
        <v>1424486</v>
      </c>
      <c r="AG98" s="53"/>
      <c r="AH98" s="53">
        <v>299946</v>
      </c>
      <c r="AI98" s="53"/>
      <c r="AJ98" s="45">
        <f t="shared" si="20"/>
        <v>-97213</v>
      </c>
      <c r="AK98" s="45"/>
      <c r="AL98" s="53">
        <v>9616</v>
      </c>
      <c r="AM98" s="45"/>
      <c r="AN98" s="53">
        <v>0</v>
      </c>
      <c r="AO98" s="53"/>
      <c r="AP98" s="53">
        <v>0</v>
      </c>
      <c r="AQ98" s="53"/>
      <c r="AR98" s="53">
        <v>0</v>
      </c>
      <c r="AS98" s="53"/>
      <c r="AT98" s="45">
        <f t="shared" si="18"/>
        <v>-87597</v>
      </c>
      <c r="AU98" s="45"/>
      <c r="AV98" s="53">
        <v>0</v>
      </c>
      <c r="AW98" s="53"/>
      <c r="AX98" s="53">
        <v>0</v>
      </c>
      <c r="AY98" s="53"/>
      <c r="AZ98" s="53">
        <f t="shared" si="19"/>
        <v>2400884</v>
      </c>
      <c r="BA98" s="51"/>
      <c r="BB98" s="35" t="s">
        <v>120</v>
      </c>
      <c r="BD98" s="35" t="s">
        <v>121</v>
      </c>
      <c r="BE98" s="53"/>
      <c r="BF98" s="53">
        <v>0</v>
      </c>
      <c r="BG98" s="53"/>
      <c r="BH98" s="53">
        <v>0</v>
      </c>
      <c r="BI98" s="53"/>
      <c r="BJ98" s="53">
        <v>0</v>
      </c>
      <c r="BK98" s="53"/>
      <c r="BL98" s="53">
        <v>64604</v>
      </c>
      <c r="BM98" s="53"/>
      <c r="BN98" s="53">
        <f t="shared" si="17"/>
        <v>64604</v>
      </c>
      <c r="BO98" s="54"/>
      <c r="BS98" s="55"/>
      <c r="BT98" s="55"/>
      <c r="BU98" s="84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</row>
    <row r="99" spans="1:95" s="35" customFormat="1" ht="12.75" customHeight="1">
      <c r="A99" s="35" t="s">
        <v>122</v>
      </c>
      <c r="B99" s="51"/>
      <c r="C99" s="35" t="s">
        <v>43</v>
      </c>
      <c r="D99" s="44"/>
      <c r="E99" s="53">
        <f t="shared" si="12"/>
        <v>2912279</v>
      </c>
      <c r="F99" s="53"/>
      <c r="G99" s="53">
        <v>21956691</v>
      </c>
      <c r="H99" s="53"/>
      <c r="I99" s="53">
        <v>24868970</v>
      </c>
      <c r="J99" s="53"/>
      <c r="K99" s="53">
        <f t="shared" si="13"/>
        <v>58470</v>
      </c>
      <c r="L99" s="53"/>
      <c r="M99" s="53">
        <v>104634</v>
      </c>
      <c r="N99" s="53"/>
      <c r="O99" s="53">
        <v>163104</v>
      </c>
      <c r="P99" s="53"/>
      <c r="Q99" s="53">
        <v>21832506</v>
      </c>
      <c r="R99" s="53"/>
      <c r="S99" s="53">
        <v>0</v>
      </c>
      <c r="T99" s="53"/>
      <c r="U99" s="53">
        <v>2773360</v>
      </c>
      <c r="V99" s="53"/>
      <c r="W99" s="53">
        <f t="shared" si="21"/>
        <v>24605866</v>
      </c>
      <c r="X99" s="51"/>
      <c r="Y99" s="51"/>
      <c r="Z99" s="35" t="s">
        <v>122</v>
      </c>
      <c r="AA99" s="53"/>
      <c r="AB99" s="35" t="s">
        <v>43</v>
      </c>
      <c r="AC99" s="51"/>
      <c r="AD99" s="53">
        <v>547349</v>
      </c>
      <c r="AE99" s="53"/>
      <c r="AF99" s="53">
        <f>594073-581315</f>
        <v>12758</v>
      </c>
      <c r="AG99" s="53"/>
      <c r="AH99" s="53">
        <v>581315</v>
      </c>
      <c r="AI99" s="53"/>
      <c r="AJ99" s="45">
        <f t="shared" si="20"/>
        <v>-46724</v>
      </c>
      <c r="AK99" s="45"/>
      <c r="AL99" s="53">
        <v>-24417</v>
      </c>
      <c r="AM99" s="45"/>
      <c r="AN99" s="53">
        <v>0</v>
      </c>
      <c r="AO99" s="53"/>
      <c r="AP99" s="53">
        <v>141639</v>
      </c>
      <c r="AQ99" s="53"/>
      <c r="AR99" s="53">
        <v>1200664</v>
      </c>
      <c r="AS99" s="53"/>
      <c r="AT99" s="45">
        <f t="shared" si="18"/>
        <v>987884</v>
      </c>
      <c r="AU99" s="45"/>
      <c r="AV99" s="53">
        <v>0</v>
      </c>
      <c r="AW99" s="53"/>
      <c r="AX99" s="53">
        <v>0</v>
      </c>
      <c r="AY99" s="53"/>
      <c r="AZ99" s="53">
        <f t="shared" si="19"/>
        <v>2853809</v>
      </c>
      <c r="BA99" s="51"/>
      <c r="BB99" s="35" t="s">
        <v>122</v>
      </c>
      <c r="BD99" s="35" t="s">
        <v>43</v>
      </c>
      <c r="BE99" s="53"/>
      <c r="BF99" s="53">
        <v>0</v>
      </c>
      <c r="BG99" s="53"/>
      <c r="BH99" s="53">
        <v>0</v>
      </c>
      <c r="BI99" s="53"/>
      <c r="BJ99" s="53">
        <f>19551+104634</f>
        <v>124185</v>
      </c>
      <c r="BK99" s="53"/>
      <c r="BL99" s="53">
        <v>0</v>
      </c>
      <c r="BM99" s="53"/>
      <c r="BN99" s="53">
        <f t="shared" si="17"/>
        <v>124185</v>
      </c>
      <c r="BO99" s="54"/>
      <c r="BS99" s="55"/>
      <c r="BT99" s="55"/>
      <c r="BU99" s="84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</row>
    <row r="100" spans="1:95" s="35" customFormat="1" ht="12.75" customHeight="1">
      <c r="A100" s="44" t="s">
        <v>45</v>
      </c>
      <c r="B100" s="51"/>
      <c r="C100" s="35" t="s">
        <v>103</v>
      </c>
      <c r="D100" s="44"/>
      <c r="E100" s="53">
        <f t="shared" si="12"/>
        <v>19971603</v>
      </c>
      <c r="F100" s="53"/>
      <c r="G100" s="53">
        <v>91769563</v>
      </c>
      <c r="H100" s="53"/>
      <c r="I100" s="53">
        <v>111741166</v>
      </c>
      <c r="J100" s="53"/>
      <c r="K100" s="53">
        <f t="shared" si="13"/>
        <v>2328893</v>
      </c>
      <c r="L100" s="53"/>
      <c r="M100" s="53">
        <v>25891154</v>
      </c>
      <c r="N100" s="53"/>
      <c r="O100" s="53">
        <v>28220047</v>
      </c>
      <c r="P100" s="53"/>
      <c r="Q100" s="53">
        <v>73505673</v>
      </c>
      <c r="R100" s="53"/>
      <c r="S100" s="53">
        <f>582274+1000000</f>
        <v>1582274</v>
      </c>
      <c r="T100" s="53"/>
      <c r="U100" s="53">
        <v>8433172</v>
      </c>
      <c r="V100" s="53"/>
      <c r="W100" s="53">
        <f t="shared" si="21"/>
        <v>83521119</v>
      </c>
      <c r="X100" s="51"/>
      <c r="Y100" s="51"/>
      <c r="Z100" s="44" t="s">
        <v>45</v>
      </c>
      <c r="AA100" s="53"/>
      <c r="AB100" s="35" t="s">
        <v>103</v>
      </c>
      <c r="AC100" s="51"/>
      <c r="AD100" s="53">
        <v>14231316</v>
      </c>
      <c r="AE100" s="53"/>
      <c r="AF100" s="53">
        <f>14417198-2622445</f>
        <v>11794753</v>
      </c>
      <c r="AG100" s="53"/>
      <c r="AH100" s="53">
        <v>2622445</v>
      </c>
      <c r="AI100" s="53"/>
      <c r="AJ100" s="45">
        <f t="shared" si="20"/>
        <v>-185882</v>
      </c>
      <c r="AK100" s="45"/>
      <c r="AL100" s="53">
        <v>-1261332</v>
      </c>
      <c r="AM100" s="45"/>
      <c r="AN100" s="53">
        <v>0</v>
      </c>
      <c r="AO100" s="53"/>
      <c r="AP100" s="53">
        <v>0</v>
      </c>
      <c r="AQ100" s="53"/>
      <c r="AR100" s="53">
        <v>0</v>
      </c>
      <c r="AS100" s="53"/>
      <c r="AT100" s="45">
        <f t="shared" si="18"/>
        <v>-1447214</v>
      </c>
      <c r="AU100" s="45"/>
      <c r="AV100" s="53">
        <v>0</v>
      </c>
      <c r="AW100" s="53"/>
      <c r="AX100" s="53">
        <v>0</v>
      </c>
      <c r="AY100" s="53"/>
      <c r="AZ100" s="53">
        <f t="shared" si="19"/>
        <v>17642710</v>
      </c>
      <c r="BA100" s="51"/>
      <c r="BB100" s="44" t="s">
        <v>45</v>
      </c>
      <c r="BD100" s="35" t="s">
        <v>103</v>
      </c>
      <c r="BE100" s="53"/>
      <c r="BF100" s="53">
        <v>0</v>
      </c>
      <c r="BG100" s="53"/>
      <c r="BH100" s="53">
        <f>890000+25431193</f>
        <v>26321193</v>
      </c>
      <c r="BI100" s="53"/>
      <c r="BJ100" s="53">
        <v>0</v>
      </c>
      <c r="BK100" s="53"/>
      <c r="BL100" s="53">
        <f>459961+268859</f>
        <v>728820</v>
      </c>
      <c r="BM100" s="53"/>
      <c r="BN100" s="53">
        <f t="shared" si="17"/>
        <v>27050013</v>
      </c>
      <c r="BO100" s="54"/>
      <c r="BS100" s="55"/>
      <c r="BT100" s="55"/>
      <c r="BU100" s="84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</row>
    <row r="101" spans="1:95" s="35" customFormat="1" ht="12.75" customHeight="1">
      <c r="A101" s="44" t="s">
        <v>123</v>
      </c>
      <c r="B101" s="51"/>
      <c r="C101" s="35" t="s">
        <v>45</v>
      </c>
      <c r="D101" s="44"/>
      <c r="E101" s="53">
        <f t="shared" si="12"/>
        <v>2109014</v>
      </c>
      <c r="F101" s="53"/>
      <c r="G101" s="53">
        <v>14964415</v>
      </c>
      <c r="H101" s="53"/>
      <c r="I101" s="53">
        <v>17073429</v>
      </c>
      <c r="J101" s="53"/>
      <c r="K101" s="53">
        <f t="shared" si="13"/>
        <v>524195</v>
      </c>
      <c r="L101" s="53"/>
      <c r="M101" s="53">
        <v>5700607</v>
      </c>
      <c r="N101" s="53"/>
      <c r="O101" s="53">
        <v>6224802</v>
      </c>
      <c r="P101" s="53"/>
      <c r="Q101" s="53">
        <v>8952968</v>
      </c>
      <c r="R101" s="53"/>
      <c r="S101" s="53">
        <v>0</v>
      </c>
      <c r="T101" s="53"/>
      <c r="U101" s="53">
        <v>1895659</v>
      </c>
      <c r="V101" s="53"/>
      <c r="W101" s="53">
        <f t="shared" si="21"/>
        <v>10848627</v>
      </c>
      <c r="X101" s="51"/>
      <c r="Y101" s="51"/>
      <c r="Z101" s="44" t="s">
        <v>123</v>
      </c>
      <c r="AA101" s="53"/>
      <c r="AB101" s="35" t="s">
        <v>45</v>
      </c>
      <c r="AC101" s="51"/>
      <c r="AD101" s="53">
        <v>1230821</v>
      </c>
      <c r="AE101" s="53"/>
      <c r="AF101" s="53">
        <f>1162189-351872</f>
        <v>810317</v>
      </c>
      <c r="AG101" s="53"/>
      <c r="AH101" s="53">
        <v>351872</v>
      </c>
      <c r="AI101" s="53"/>
      <c r="AJ101" s="45">
        <f t="shared" si="20"/>
        <v>68632</v>
      </c>
      <c r="AK101" s="45"/>
      <c r="AL101" s="53">
        <v>-663856</v>
      </c>
      <c r="AM101" s="45"/>
      <c r="AN101" s="53">
        <v>0</v>
      </c>
      <c r="AO101" s="53"/>
      <c r="AP101" s="53">
        <v>0</v>
      </c>
      <c r="AQ101" s="53"/>
      <c r="AR101" s="53">
        <v>0</v>
      </c>
      <c r="AS101" s="53"/>
      <c r="AT101" s="45">
        <f t="shared" si="18"/>
        <v>-595224</v>
      </c>
      <c r="AU101" s="45"/>
      <c r="AV101" s="53">
        <v>0</v>
      </c>
      <c r="AW101" s="53"/>
      <c r="AX101" s="53">
        <v>0</v>
      </c>
      <c r="AY101" s="53"/>
      <c r="AZ101" s="53">
        <f t="shared" si="19"/>
        <v>1584819</v>
      </c>
      <c r="BA101" s="51"/>
      <c r="BB101" s="44" t="s">
        <v>123</v>
      </c>
      <c r="BD101" s="35" t="s">
        <v>45</v>
      </c>
      <c r="BE101" s="53"/>
      <c r="BF101" s="53">
        <v>0</v>
      </c>
      <c r="BG101" s="53"/>
      <c r="BH101" s="53">
        <v>0</v>
      </c>
      <c r="BI101" s="53"/>
      <c r="BJ101" s="53">
        <f>5664446+332247</f>
        <v>5996693</v>
      </c>
      <c r="BK101" s="53"/>
      <c r="BL101" s="53">
        <f>25557+7163+7591+28570</f>
        <v>68881</v>
      </c>
      <c r="BM101" s="53"/>
      <c r="BN101" s="53">
        <f t="shared" si="17"/>
        <v>6065574</v>
      </c>
      <c r="BO101" s="54"/>
      <c r="BS101" s="55"/>
      <c r="BT101" s="55"/>
      <c r="BU101" s="84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</row>
    <row r="102" spans="1:95" s="35" customFormat="1" ht="12.75" customHeight="1">
      <c r="A102" s="35" t="s">
        <v>124</v>
      </c>
      <c r="B102" s="51"/>
      <c r="C102" s="35" t="s">
        <v>125</v>
      </c>
      <c r="D102" s="44"/>
      <c r="E102" s="53">
        <f t="shared" si="12"/>
        <v>1304353</v>
      </c>
      <c r="F102" s="53"/>
      <c r="G102" s="53">
        <v>8648146</v>
      </c>
      <c r="H102" s="53"/>
      <c r="I102" s="53">
        <v>9952499</v>
      </c>
      <c r="J102" s="53"/>
      <c r="K102" s="53">
        <f t="shared" si="13"/>
        <v>258762</v>
      </c>
      <c r="L102" s="53"/>
      <c r="M102" s="53">
        <v>1767410</v>
      </c>
      <c r="N102" s="53"/>
      <c r="O102" s="53">
        <v>2026172</v>
      </c>
      <c r="P102" s="53"/>
      <c r="Q102" s="53">
        <v>6733146</v>
      </c>
      <c r="R102" s="53"/>
      <c r="S102" s="53">
        <v>0</v>
      </c>
      <c r="T102" s="53"/>
      <c r="U102" s="53">
        <v>1193181</v>
      </c>
      <c r="V102" s="53"/>
      <c r="W102" s="53">
        <f t="shared" si="21"/>
        <v>7926327</v>
      </c>
      <c r="X102" s="51"/>
      <c r="Y102" s="51"/>
      <c r="Z102" s="35" t="s">
        <v>124</v>
      </c>
      <c r="AA102" s="53"/>
      <c r="AB102" s="35" t="s">
        <v>125</v>
      </c>
      <c r="AC102" s="51"/>
      <c r="AD102" s="53">
        <v>1495259</v>
      </c>
      <c r="AE102" s="53"/>
      <c r="AF102" s="53">
        <f>1399810-344213</f>
        <v>1055597</v>
      </c>
      <c r="AG102" s="53"/>
      <c r="AH102" s="53">
        <v>344213</v>
      </c>
      <c r="AI102" s="53"/>
      <c r="AJ102" s="45">
        <f t="shared" si="20"/>
        <v>95449</v>
      </c>
      <c r="AK102" s="45"/>
      <c r="AL102" s="53">
        <v>-129499</v>
      </c>
      <c r="AM102" s="45"/>
      <c r="AN102" s="53">
        <v>3630</v>
      </c>
      <c r="AO102" s="53"/>
      <c r="AP102" s="53">
        <v>0</v>
      </c>
      <c r="AQ102" s="53"/>
      <c r="AR102" s="53">
        <v>0</v>
      </c>
      <c r="AS102" s="53"/>
      <c r="AT102" s="45">
        <f t="shared" si="18"/>
        <v>-30420</v>
      </c>
      <c r="AU102" s="45"/>
      <c r="AV102" s="53">
        <v>0</v>
      </c>
      <c r="AW102" s="53"/>
      <c r="AX102" s="53">
        <v>0</v>
      </c>
      <c r="AY102" s="53"/>
      <c r="AZ102" s="53">
        <f t="shared" si="19"/>
        <v>1045591</v>
      </c>
      <c r="BA102" s="51"/>
      <c r="BB102" s="35" t="s">
        <v>124</v>
      </c>
      <c r="BD102" s="35" t="s">
        <v>125</v>
      </c>
      <c r="BE102" s="53"/>
      <c r="BF102" s="53">
        <f>1720000+195000</f>
        <v>1915000</v>
      </c>
      <c r="BG102" s="53"/>
      <c r="BH102" s="53">
        <v>0</v>
      </c>
      <c r="BI102" s="53"/>
      <c r="BJ102" s="53">
        <v>0</v>
      </c>
      <c r="BK102" s="53"/>
      <c r="BL102" s="53">
        <f>6237+47410</f>
        <v>53647</v>
      </c>
      <c r="BM102" s="53"/>
      <c r="BN102" s="53">
        <f t="shared" si="17"/>
        <v>1968647</v>
      </c>
      <c r="BO102" s="54"/>
      <c r="BS102" s="55"/>
      <c r="BT102" s="55"/>
      <c r="BU102" s="84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</row>
    <row r="103" spans="1:95" s="126" customFormat="1" ht="12.75" hidden="1" customHeight="1">
      <c r="A103" s="126" t="s">
        <v>126</v>
      </c>
      <c r="B103" s="124"/>
      <c r="C103" s="126" t="s">
        <v>27</v>
      </c>
      <c r="D103" s="121"/>
      <c r="E103" s="53">
        <f t="shared" si="12"/>
        <v>0</v>
      </c>
      <c r="F103" s="53"/>
      <c r="G103" s="53">
        <v>0</v>
      </c>
      <c r="H103" s="53"/>
      <c r="I103" s="53">
        <v>0</v>
      </c>
      <c r="J103" s="53"/>
      <c r="K103" s="53">
        <f t="shared" si="13"/>
        <v>0</v>
      </c>
      <c r="L103" s="53"/>
      <c r="M103" s="53">
        <v>0</v>
      </c>
      <c r="N103" s="53"/>
      <c r="O103" s="53">
        <v>0</v>
      </c>
      <c r="P103" s="53"/>
      <c r="Q103" s="53">
        <v>0</v>
      </c>
      <c r="R103" s="53"/>
      <c r="S103" s="53">
        <v>0</v>
      </c>
      <c r="T103" s="53"/>
      <c r="U103" s="53">
        <v>0</v>
      </c>
      <c r="V103" s="53"/>
      <c r="W103" s="53">
        <f t="shared" si="21"/>
        <v>0</v>
      </c>
      <c r="X103" s="124"/>
      <c r="Y103" s="124"/>
      <c r="Z103" s="126" t="s">
        <v>126</v>
      </c>
      <c r="AA103" s="137"/>
      <c r="AB103" s="126" t="s">
        <v>27</v>
      </c>
      <c r="AC103" s="124"/>
      <c r="AD103" s="53">
        <v>0</v>
      </c>
      <c r="AE103" s="53"/>
      <c r="AF103" s="53">
        <v>0</v>
      </c>
      <c r="AG103" s="53"/>
      <c r="AH103" s="53">
        <v>0</v>
      </c>
      <c r="AI103" s="53"/>
      <c r="AJ103" s="45">
        <f t="shared" si="20"/>
        <v>0</v>
      </c>
      <c r="AK103" s="45"/>
      <c r="AL103" s="53">
        <v>0</v>
      </c>
      <c r="AM103" s="45"/>
      <c r="AN103" s="53">
        <v>0</v>
      </c>
      <c r="AO103" s="53"/>
      <c r="AP103" s="53">
        <v>0</v>
      </c>
      <c r="AQ103" s="53"/>
      <c r="AR103" s="53">
        <v>0</v>
      </c>
      <c r="AS103" s="53"/>
      <c r="AT103" s="45">
        <f t="shared" si="18"/>
        <v>0</v>
      </c>
      <c r="AU103" s="45"/>
      <c r="AV103" s="53">
        <v>0</v>
      </c>
      <c r="AW103" s="53"/>
      <c r="AX103" s="53">
        <v>0</v>
      </c>
      <c r="AY103" s="53"/>
      <c r="AZ103" s="53">
        <f t="shared" si="19"/>
        <v>0</v>
      </c>
      <c r="BA103" s="124"/>
      <c r="BB103" s="126" t="s">
        <v>126</v>
      </c>
      <c r="BD103" s="126" t="s">
        <v>27</v>
      </c>
      <c r="BE103" s="137"/>
      <c r="BF103" s="53">
        <v>0</v>
      </c>
      <c r="BG103" s="53"/>
      <c r="BH103" s="53">
        <v>0</v>
      </c>
      <c r="BI103" s="53"/>
      <c r="BJ103" s="53">
        <v>0</v>
      </c>
      <c r="BK103" s="53"/>
      <c r="BL103" s="53">
        <v>0</v>
      </c>
      <c r="BM103" s="137"/>
      <c r="BN103" s="137">
        <f t="shared" si="17"/>
        <v>0</v>
      </c>
      <c r="BO103" s="139"/>
      <c r="BS103" s="140"/>
      <c r="BT103" s="140"/>
      <c r="BU103" s="141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</row>
    <row r="104" spans="1:95" s="126" customFormat="1" ht="12.75" hidden="1" customHeight="1">
      <c r="A104" s="126" t="s">
        <v>127</v>
      </c>
      <c r="B104" s="124"/>
      <c r="C104" s="126" t="s">
        <v>43</v>
      </c>
      <c r="D104" s="121"/>
      <c r="E104" s="53">
        <f t="shared" si="12"/>
        <v>0</v>
      </c>
      <c r="F104" s="53"/>
      <c r="G104" s="53">
        <v>0</v>
      </c>
      <c r="H104" s="53"/>
      <c r="I104" s="53">
        <v>0</v>
      </c>
      <c r="J104" s="53"/>
      <c r="K104" s="53">
        <f t="shared" si="13"/>
        <v>0</v>
      </c>
      <c r="L104" s="53"/>
      <c r="M104" s="53">
        <v>0</v>
      </c>
      <c r="N104" s="53"/>
      <c r="O104" s="53">
        <v>0</v>
      </c>
      <c r="P104" s="53"/>
      <c r="Q104" s="53">
        <v>0</v>
      </c>
      <c r="R104" s="53"/>
      <c r="S104" s="53">
        <v>0</v>
      </c>
      <c r="T104" s="53"/>
      <c r="U104" s="53">
        <v>0</v>
      </c>
      <c r="V104" s="53"/>
      <c r="W104" s="53">
        <f t="shared" si="21"/>
        <v>0</v>
      </c>
      <c r="X104" s="124"/>
      <c r="Y104" s="124"/>
      <c r="Z104" s="126" t="s">
        <v>127</v>
      </c>
      <c r="AA104" s="137"/>
      <c r="AB104" s="126" t="s">
        <v>43</v>
      </c>
      <c r="AC104" s="124"/>
      <c r="AD104" s="53">
        <v>0</v>
      </c>
      <c r="AE104" s="53"/>
      <c r="AF104" s="53">
        <v>0</v>
      </c>
      <c r="AG104" s="53"/>
      <c r="AH104" s="53">
        <v>0</v>
      </c>
      <c r="AI104" s="53"/>
      <c r="AJ104" s="45">
        <f t="shared" si="20"/>
        <v>0</v>
      </c>
      <c r="AK104" s="45"/>
      <c r="AL104" s="53">
        <v>0</v>
      </c>
      <c r="AM104" s="45"/>
      <c r="AN104" s="53">
        <v>0</v>
      </c>
      <c r="AO104" s="53"/>
      <c r="AP104" s="53">
        <v>0</v>
      </c>
      <c r="AQ104" s="53"/>
      <c r="AR104" s="53">
        <v>0</v>
      </c>
      <c r="AS104" s="53"/>
      <c r="AT104" s="45">
        <f t="shared" si="18"/>
        <v>0</v>
      </c>
      <c r="AU104" s="45"/>
      <c r="AV104" s="53">
        <v>0</v>
      </c>
      <c r="AW104" s="53"/>
      <c r="AX104" s="53">
        <v>0</v>
      </c>
      <c r="AY104" s="53"/>
      <c r="AZ104" s="53">
        <f t="shared" si="19"/>
        <v>0</v>
      </c>
      <c r="BA104" s="124"/>
      <c r="BB104" s="126" t="s">
        <v>127</v>
      </c>
      <c r="BD104" s="126" t="s">
        <v>43</v>
      </c>
      <c r="BE104" s="137"/>
      <c r="BF104" s="53">
        <v>0</v>
      </c>
      <c r="BG104" s="53"/>
      <c r="BH104" s="53">
        <v>0</v>
      </c>
      <c r="BI104" s="53"/>
      <c r="BJ104" s="53">
        <v>0</v>
      </c>
      <c r="BK104" s="53"/>
      <c r="BL104" s="53">
        <v>0</v>
      </c>
      <c r="BM104" s="137"/>
      <c r="BN104" s="137">
        <f t="shared" si="17"/>
        <v>0</v>
      </c>
      <c r="BO104" s="139"/>
      <c r="BS104" s="140"/>
      <c r="BT104" s="140"/>
      <c r="BU104" s="141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</row>
    <row r="105" spans="1:95" s="35" customFormat="1" ht="12.75" customHeight="1">
      <c r="A105" s="35" t="s">
        <v>128</v>
      </c>
      <c r="B105" s="51"/>
      <c r="C105" s="35" t="s">
        <v>119</v>
      </c>
      <c r="D105" s="44"/>
      <c r="E105" s="53">
        <f t="shared" si="12"/>
        <v>888675</v>
      </c>
      <c r="F105" s="53"/>
      <c r="G105" s="53">
        <v>7726725</v>
      </c>
      <c r="H105" s="53"/>
      <c r="I105" s="53">
        <v>8615400</v>
      </c>
      <c r="J105" s="53"/>
      <c r="K105" s="53">
        <f t="shared" si="13"/>
        <v>519613</v>
      </c>
      <c r="L105" s="53"/>
      <c r="M105" s="53">
        <v>5749506</v>
      </c>
      <c r="N105" s="53"/>
      <c r="O105" s="53">
        <v>6269119</v>
      </c>
      <c r="P105" s="53"/>
      <c r="Q105" s="53">
        <v>1938248</v>
      </c>
      <c r="R105" s="53"/>
      <c r="S105" s="53">
        <v>0</v>
      </c>
      <c r="T105" s="53"/>
      <c r="U105" s="53">
        <v>408033</v>
      </c>
      <c r="V105" s="53"/>
      <c r="W105" s="53">
        <f t="shared" si="21"/>
        <v>2346281</v>
      </c>
      <c r="Z105" s="35" t="s">
        <v>128</v>
      </c>
      <c r="AA105" s="53"/>
      <c r="AB105" s="35" t="s">
        <v>119</v>
      </c>
      <c r="AC105" s="51"/>
      <c r="AD105" s="53">
        <v>1565312</v>
      </c>
      <c r="AE105" s="53"/>
      <c r="AF105" s="53">
        <f>1067707-193186</f>
        <v>874521</v>
      </c>
      <c r="AG105" s="53"/>
      <c r="AH105" s="53">
        <v>193186</v>
      </c>
      <c r="AI105" s="53"/>
      <c r="AJ105" s="45">
        <f t="shared" si="20"/>
        <v>497605</v>
      </c>
      <c r="AK105" s="45"/>
      <c r="AL105" s="53">
        <v>-228729</v>
      </c>
      <c r="AM105" s="45"/>
      <c r="AN105" s="53">
        <v>3129</v>
      </c>
      <c r="AO105" s="53"/>
      <c r="AP105" s="53">
        <v>0</v>
      </c>
      <c r="AQ105" s="53"/>
      <c r="AR105" s="53">
        <v>0</v>
      </c>
      <c r="AS105" s="53"/>
      <c r="AT105" s="45">
        <f t="shared" si="18"/>
        <v>272005</v>
      </c>
      <c r="AU105" s="45"/>
      <c r="AV105" s="53">
        <v>0</v>
      </c>
      <c r="AW105" s="53"/>
      <c r="AX105" s="53">
        <v>0</v>
      </c>
      <c r="AY105" s="53"/>
      <c r="AZ105" s="53">
        <f t="shared" si="19"/>
        <v>369062</v>
      </c>
      <c r="BA105" s="51"/>
      <c r="BB105" s="35" t="s">
        <v>128</v>
      </c>
      <c r="BD105" s="35" t="s">
        <v>119</v>
      </c>
      <c r="BE105" s="53"/>
      <c r="BF105" s="53">
        <v>0</v>
      </c>
      <c r="BG105" s="53"/>
      <c r="BH105" s="53">
        <f>5599498+120000</f>
        <v>5719498</v>
      </c>
      <c r="BI105" s="53"/>
      <c r="BJ105" s="53">
        <v>0</v>
      </c>
      <c r="BK105" s="53"/>
      <c r="BL105" s="53">
        <f>18470+54869+14110+3833</f>
        <v>91282</v>
      </c>
      <c r="BM105" s="53"/>
      <c r="BN105" s="53">
        <f t="shared" si="17"/>
        <v>5810780</v>
      </c>
      <c r="BO105" s="54"/>
      <c r="BS105" s="55"/>
      <c r="BT105" s="55"/>
      <c r="BU105" s="84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</row>
    <row r="106" spans="1:95" s="35" customFormat="1" ht="12.75" customHeight="1">
      <c r="A106" s="35" t="s">
        <v>129</v>
      </c>
      <c r="B106" s="51"/>
      <c r="C106" s="35" t="s">
        <v>80</v>
      </c>
      <c r="D106" s="44"/>
      <c r="E106" s="53">
        <f t="shared" si="12"/>
        <v>1080797</v>
      </c>
      <c r="F106" s="53"/>
      <c r="G106" s="53">
        <v>4837821</v>
      </c>
      <c r="H106" s="53"/>
      <c r="I106" s="53">
        <v>5918618</v>
      </c>
      <c r="J106" s="53"/>
      <c r="K106" s="53">
        <f t="shared" si="13"/>
        <v>232746</v>
      </c>
      <c r="L106" s="53"/>
      <c r="M106" s="53">
        <v>2063710</v>
      </c>
      <c r="N106" s="53"/>
      <c r="O106" s="53">
        <v>2296456</v>
      </c>
      <c r="P106" s="53"/>
      <c r="Q106" s="53">
        <v>2639113</v>
      </c>
      <c r="R106" s="53"/>
      <c r="S106" s="53">
        <v>0</v>
      </c>
      <c r="T106" s="53"/>
      <c r="U106" s="53">
        <v>983049</v>
      </c>
      <c r="V106" s="53"/>
      <c r="W106" s="53">
        <f t="shared" si="21"/>
        <v>3622162</v>
      </c>
      <c r="X106" s="51"/>
      <c r="Y106" s="51"/>
      <c r="Z106" s="35" t="s">
        <v>129</v>
      </c>
      <c r="AA106" s="53"/>
      <c r="AB106" s="35" t="s">
        <v>80</v>
      </c>
      <c r="AC106" s="51"/>
      <c r="AD106" s="53">
        <v>1298403</v>
      </c>
      <c r="AE106" s="53"/>
      <c r="AF106" s="53">
        <f>1215675-159366</f>
        <v>1056309</v>
      </c>
      <c r="AG106" s="53"/>
      <c r="AH106" s="53">
        <v>159366</v>
      </c>
      <c r="AI106" s="53"/>
      <c r="AJ106" s="45">
        <f t="shared" si="20"/>
        <v>82728</v>
      </c>
      <c r="AK106" s="45"/>
      <c r="AL106" s="53">
        <v>-113046</v>
      </c>
      <c r="AM106" s="45"/>
      <c r="AN106" s="53">
        <v>0</v>
      </c>
      <c r="AO106" s="53"/>
      <c r="AP106" s="53">
        <v>0</v>
      </c>
      <c r="AQ106" s="53"/>
      <c r="AR106" s="53">
        <v>20010</v>
      </c>
      <c r="AS106" s="53"/>
      <c r="AT106" s="45">
        <f t="shared" si="18"/>
        <v>-10308</v>
      </c>
      <c r="AU106" s="45"/>
      <c r="AV106" s="53">
        <v>0</v>
      </c>
      <c r="AW106" s="53"/>
      <c r="AX106" s="53">
        <v>0</v>
      </c>
      <c r="AY106" s="53"/>
      <c r="AZ106" s="53">
        <f t="shared" si="19"/>
        <v>848051</v>
      </c>
      <c r="BA106" s="51"/>
      <c r="BB106" s="35" t="s">
        <v>129</v>
      </c>
      <c r="BD106" s="35" t="s">
        <v>80</v>
      </c>
      <c r="BE106" s="53"/>
      <c r="BF106" s="53">
        <v>0</v>
      </c>
      <c r="BG106" s="53"/>
      <c r="BH106" s="53">
        <v>0</v>
      </c>
      <c r="BI106" s="53"/>
      <c r="BJ106" s="53">
        <f>1501791+541135+111564+44218</f>
        <v>2198708</v>
      </c>
      <c r="BK106" s="53"/>
      <c r="BL106" s="53">
        <f>20784+11475</f>
        <v>32259</v>
      </c>
      <c r="BM106" s="53"/>
      <c r="BN106" s="53">
        <f t="shared" si="17"/>
        <v>2230967</v>
      </c>
      <c r="BO106" s="54"/>
      <c r="BS106" s="55"/>
      <c r="BT106" s="55"/>
      <c r="BU106" s="84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</row>
    <row r="107" spans="1:95" s="35" customFormat="1" ht="12.75" customHeight="1">
      <c r="A107" s="35" t="s">
        <v>130</v>
      </c>
      <c r="B107" s="51"/>
      <c r="C107" s="35" t="s">
        <v>66</v>
      </c>
      <c r="D107" s="44"/>
      <c r="E107" s="53">
        <f t="shared" si="12"/>
        <v>12111402</v>
      </c>
      <c r="F107" s="53"/>
      <c r="G107" s="53">
        <v>27774236</v>
      </c>
      <c r="H107" s="53"/>
      <c r="I107" s="53">
        <v>39885638</v>
      </c>
      <c r="J107" s="53"/>
      <c r="K107" s="53">
        <f t="shared" si="13"/>
        <v>2365719</v>
      </c>
      <c r="L107" s="53"/>
      <c r="M107" s="53">
        <v>19946615</v>
      </c>
      <c r="N107" s="53"/>
      <c r="O107" s="53">
        <v>22312334</v>
      </c>
      <c r="P107" s="53"/>
      <c r="Q107" s="53">
        <v>12515226</v>
      </c>
      <c r="R107" s="53"/>
      <c r="S107" s="53">
        <f>60000+1140000</f>
        <v>1200000</v>
      </c>
      <c r="T107" s="53"/>
      <c r="U107" s="53">
        <v>3858078</v>
      </c>
      <c r="V107" s="53"/>
      <c r="W107" s="53">
        <f t="shared" si="21"/>
        <v>17573304</v>
      </c>
      <c r="Z107" s="35" t="s">
        <v>130</v>
      </c>
      <c r="AA107" s="53"/>
      <c r="AB107" s="35" t="s">
        <v>66</v>
      </c>
      <c r="AC107" s="51"/>
      <c r="AD107" s="53">
        <v>4460495</v>
      </c>
      <c r="AE107" s="53"/>
      <c r="AF107" s="53">
        <f>2740544-663454</f>
        <v>2077090</v>
      </c>
      <c r="AG107" s="53"/>
      <c r="AH107" s="53">
        <v>663454</v>
      </c>
      <c r="AI107" s="53"/>
      <c r="AJ107" s="45">
        <f t="shared" si="20"/>
        <v>1719951</v>
      </c>
      <c r="AK107" s="45"/>
      <c r="AL107" s="53">
        <v>-964496</v>
      </c>
      <c r="AM107" s="45"/>
      <c r="AN107" s="53">
        <v>0</v>
      </c>
      <c r="AO107" s="53"/>
      <c r="AP107" s="53">
        <v>128903</v>
      </c>
      <c r="AQ107" s="53"/>
      <c r="AR107" s="53">
        <v>630511</v>
      </c>
      <c r="AS107" s="53"/>
      <c r="AT107" s="45">
        <f t="shared" si="18"/>
        <v>1257063</v>
      </c>
      <c r="AU107" s="45"/>
      <c r="AV107" s="53">
        <v>0</v>
      </c>
      <c r="AW107" s="53"/>
      <c r="AX107" s="53">
        <v>0</v>
      </c>
      <c r="AY107" s="53"/>
      <c r="AZ107" s="53">
        <f t="shared" si="19"/>
        <v>9745683</v>
      </c>
      <c r="BA107" s="51"/>
      <c r="BB107" s="35" t="s">
        <v>130</v>
      </c>
      <c r="BD107" s="35" t="s">
        <v>66</v>
      </c>
      <c r="BE107" s="53"/>
      <c r="BF107" s="53">
        <v>0</v>
      </c>
      <c r="BG107" s="53"/>
      <c r="BH107" s="53">
        <f>1170000+19946615</f>
        <v>21116615</v>
      </c>
      <c r="BI107" s="53"/>
      <c r="BJ107" s="53">
        <v>0</v>
      </c>
      <c r="BK107" s="53"/>
      <c r="BL107" s="53">
        <v>0</v>
      </c>
      <c r="BM107" s="53"/>
      <c r="BN107" s="53">
        <f t="shared" si="17"/>
        <v>21116615</v>
      </c>
      <c r="BO107" s="54"/>
      <c r="BP107" s="55"/>
      <c r="BS107" s="55"/>
      <c r="BT107" s="55"/>
      <c r="BU107" s="84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</row>
    <row r="108" spans="1:95" s="35" customFormat="1" ht="12.75" customHeight="1">
      <c r="A108" s="35" t="s">
        <v>131</v>
      </c>
      <c r="C108" s="35" t="s">
        <v>13</v>
      </c>
      <c r="D108" s="44"/>
      <c r="E108" s="53">
        <f t="shared" si="12"/>
        <v>1026767</v>
      </c>
      <c r="F108" s="53"/>
      <c r="G108" s="53">
        <v>9809358</v>
      </c>
      <c r="H108" s="53"/>
      <c r="I108" s="53">
        <v>10836125</v>
      </c>
      <c r="J108" s="53"/>
      <c r="K108" s="53">
        <f t="shared" si="13"/>
        <v>500492</v>
      </c>
      <c r="L108" s="53"/>
      <c r="M108" s="53">
        <v>5765803</v>
      </c>
      <c r="N108" s="53"/>
      <c r="O108" s="53">
        <v>6266295</v>
      </c>
      <c r="P108" s="53"/>
      <c r="Q108" s="53">
        <v>3867736</v>
      </c>
      <c r="R108" s="53"/>
      <c r="S108" s="53">
        <v>0</v>
      </c>
      <c r="T108" s="53"/>
      <c r="U108" s="53">
        <v>702094</v>
      </c>
      <c r="V108" s="53"/>
      <c r="W108" s="53">
        <f t="shared" si="21"/>
        <v>4569830</v>
      </c>
      <c r="X108" s="51"/>
      <c r="Y108" s="51"/>
      <c r="Z108" s="35" t="s">
        <v>131</v>
      </c>
      <c r="AA108" s="53"/>
      <c r="AB108" s="35" t="s">
        <v>13</v>
      </c>
      <c r="AD108" s="53">
        <v>1186698</v>
      </c>
      <c r="AE108" s="53"/>
      <c r="AF108" s="53">
        <f>1381962-336758</f>
        <v>1045204</v>
      </c>
      <c r="AG108" s="53"/>
      <c r="AH108" s="53">
        <v>336758</v>
      </c>
      <c r="AI108" s="53"/>
      <c r="AJ108" s="45">
        <f t="shared" si="20"/>
        <v>-195264</v>
      </c>
      <c r="AK108" s="45"/>
      <c r="AL108" s="53">
        <v>-273352</v>
      </c>
      <c r="AM108" s="45"/>
      <c r="AN108" s="53">
        <v>0</v>
      </c>
      <c r="AO108" s="53"/>
      <c r="AP108" s="53">
        <v>0</v>
      </c>
      <c r="AQ108" s="53"/>
      <c r="AR108" s="53">
        <v>0</v>
      </c>
      <c r="AS108" s="53"/>
      <c r="AT108" s="45">
        <f t="shared" si="18"/>
        <v>-468616</v>
      </c>
      <c r="AU108" s="45"/>
      <c r="AV108" s="53">
        <v>0</v>
      </c>
      <c r="AW108" s="53"/>
      <c r="AX108" s="53">
        <v>0</v>
      </c>
      <c r="AY108" s="53"/>
      <c r="AZ108" s="53">
        <f t="shared" si="19"/>
        <v>526275</v>
      </c>
      <c r="BA108" s="51"/>
      <c r="BB108" s="35" t="s">
        <v>131</v>
      </c>
      <c r="BD108" s="35" t="s">
        <v>13</v>
      </c>
      <c r="BE108" s="53"/>
      <c r="BF108" s="53">
        <f>5582998+345096</f>
        <v>5928094</v>
      </c>
      <c r="BG108" s="53"/>
      <c r="BH108" s="53">
        <v>0</v>
      </c>
      <c r="BI108" s="53"/>
      <c r="BJ108" s="53">
        <v>0</v>
      </c>
      <c r="BK108" s="53"/>
      <c r="BL108" s="53">
        <f>182805+61256</f>
        <v>244061</v>
      </c>
      <c r="BM108" s="53"/>
      <c r="BN108" s="53">
        <f t="shared" si="17"/>
        <v>6172155</v>
      </c>
      <c r="BO108" s="54"/>
      <c r="BS108" s="55"/>
      <c r="BT108" s="55"/>
      <c r="BU108" s="84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</row>
    <row r="109" spans="1:95" s="35" customFormat="1" ht="12.75" customHeight="1">
      <c r="A109" s="35" t="s">
        <v>38</v>
      </c>
      <c r="B109" s="51"/>
      <c r="C109" s="35" t="s">
        <v>132</v>
      </c>
      <c r="D109" s="44"/>
      <c r="E109" s="53">
        <f t="shared" si="12"/>
        <v>-46988141</v>
      </c>
      <c r="F109" s="53"/>
      <c r="G109" s="53">
        <v>55882987</v>
      </c>
      <c r="H109" s="53"/>
      <c r="I109" s="53">
        <v>8894846</v>
      </c>
      <c r="J109" s="53"/>
      <c r="K109" s="53">
        <f t="shared" si="13"/>
        <v>565541</v>
      </c>
      <c r="L109" s="53"/>
      <c r="M109" s="53">
        <v>3663761</v>
      </c>
      <c r="N109" s="53"/>
      <c r="O109" s="53">
        <v>4229302</v>
      </c>
      <c r="P109" s="53"/>
      <c r="Q109" s="53">
        <v>1858254</v>
      </c>
      <c r="R109" s="53"/>
      <c r="S109" s="53">
        <v>0</v>
      </c>
      <c r="T109" s="53"/>
      <c r="U109" s="53">
        <v>2807290</v>
      </c>
      <c r="V109" s="53"/>
      <c r="W109" s="53">
        <f t="shared" si="21"/>
        <v>4665544</v>
      </c>
      <c r="X109" s="51"/>
      <c r="Y109" s="51"/>
      <c r="Z109" s="35" t="s">
        <v>38</v>
      </c>
      <c r="AA109" s="53"/>
      <c r="AB109" s="35" t="s">
        <v>132</v>
      </c>
      <c r="AC109" s="51"/>
      <c r="AD109" s="53">
        <v>0</v>
      </c>
      <c r="AE109" s="53"/>
      <c r="AF109" s="53">
        <v>0</v>
      </c>
      <c r="AG109" s="53"/>
      <c r="AH109" s="53">
        <v>0</v>
      </c>
      <c r="AI109" s="53"/>
      <c r="AJ109" s="45">
        <f t="shared" si="20"/>
        <v>0</v>
      </c>
      <c r="AK109" s="45"/>
      <c r="AL109" s="53">
        <v>0</v>
      </c>
      <c r="AM109" s="45"/>
      <c r="AN109" s="53">
        <v>0</v>
      </c>
      <c r="AO109" s="53"/>
      <c r="AP109" s="53">
        <v>0</v>
      </c>
      <c r="AQ109" s="53"/>
      <c r="AR109" s="53">
        <v>0</v>
      </c>
      <c r="AS109" s="53"/>
      <c r="AT109" s="45">
        <f t="shared" si="18"/>
        <v>0</v>
      </c>
      <c r="AU109" s="45"/>
      <c r="AV109" s="53">
        <v>0</v>
      </c>
      <c r="AW109" s="53"/>
      <c r="AX109" s="53">
        <v>0</v>
      </c>
      <c r="AY109" s="53"/>
      <c r="AZ109" s="53">
        <f t="shared" si="19"/>
        <v>-47553682</v>
      </c>
      <c r="BA109" s="51"/>
      <c r="BB109" s="35" t="s">
        <v>38</v>
      </c>
      <c r="BD109" s="35" t="s">
        <v>132</v>
      </c>
      <c r="BE109" s="53"/>
      <c r="BF109" s="53">
        <v>0</v>
      </c>
      <c r="BG109" s="53"/>
      <c r="BH109" s="53">
        <v>0</v>
      </c>
      <c r="BI109" s="53"/>
      <c r="BJ109" s="53">
        <v>0</v>
      </c>
      <c r="BK109" s="53"/>
      <c r="BL109" s="53">
        <v>0</v>
      </c>
      <c r="BM109" s="53"/>
      <c r="BN109" s="53">
        <f t="shared" si="17"/>
        <v>0</v>
      </c>
      <c r="BO109" s="54"/>
      <c r="BS109" s="55"/>
      <c r="BT109" s="55"/>
      <c r="BU109" s="84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</row>
    <row r="110" spans="1:95" s="126" customFormat="1" ht="12.75" hidden="1" customHeight="1">
      <c r="A110" s="126" t="s">
        <v>133</v>
      </c>
      <c r="B110" s="124"/>
      <c r="C110" s="126" t="s">
        <v>27</v>
      </c>
      <c r="D110" s="121"/>
      <c r="E110" s="53">
        <f t="shared" si="12"/>
        <v>0</v>
      </c>
      <c r="F110" s="53"/>
      <c r="G110" s="53">
        <v>0</v>
      </c>
      <c r="H110" s="53"/>
      <c r="I110" s="53">
        <v>0</v>
      </c>
      <c r="J110" s="53"/>
      <c r="K110" s="53">
        <f t="shared" si="13"/>
        <v>0</v>
      </c>
      <c r="L110" s="53"/>
      <c r="M110" s="53">
        <v>0</v>
      </c>
      <c r="N110" s="53"/>
      <c r="O110" s="53">
        <v>0</v>
      </c>
      <c r="P110" s="53"/>
      <c r="Q110" s="53">
        <v>0</v>
      </c>
      <c r="R110" s="53"/>
      <c r="S110" s="53">
        <v>0</v>
      </c>
      <c r="T110" s="53"/>
      <c r="U110" s="53">
        <v>0</v>
      </c>
      <c r="V110" s="53"/>
      <c r="W110" s="53">
        <f t="shared" si="21"/>
        <v>0</v>
      </c>
      <c r="X110" s="124"/>
      <c r="Y110" s="124"/>
      <c r="Z110" s="126" t="s">
        <v>133</v>
      </c>
      <c r="AA110" s="137"/>
      <c r="AB110" s="126" t="s">
        <v>27</v>
      </c>
      <c r="AC110" s="124"/>
      <c r="AD110" s="53">
        <v>0</v>
      </c>
      <c r="AE110" s="53"/>
      <c r="AF110" s="53">
        <v>0</v>
      </c>
      <c r="AG110" s="53"/>
      <c r="AH110" s="53">
        <v>0</v>
      </c>
      <c r="AI110" s="53"/>
      <c r="AJ110" s="45">
        <f t="shared" si="20"/>
        <v>0</v>
      </c>
      <c r="AK110" s="45"/>
      <c r="AL110" s="53">
        <v>0</v>
      </c>
      <c r="AM110" s="45"/>
      <c r="AN110" s="53">
        <v>0</v>
      </c>
      <c r="AO110" s="53"/>
      <c r="AP110" s="53">
        <v>0</v>
      </c>
      <c r="AQ110" s="53"/>
      <c r="AR110" s="53">
        <v>0</v>
      </c>
      <c r="AS110" s="53"/>
      <c r="AT110" s="45">
        <f t="shared" si="18"/>
        <v>0</v>
      </c>
      <c r="AU110" s="45"/>
      <c r="AV110" s="53">
        <v>0</v>
      </c>
      <c r="AW110" s="53"/>
      <c r="AX110" s="53">
        <v>0</v>
      </c>
      <c r="AY110" s="53"/>
      <c r="AZ110" s="53">
        <f t="shared" si="19"/>
        <v>0</v>
      </c>
      <c r="BA110" s="124"/>
      <c r="BB110" s="126" t="s">
        <v>133</v>
      </c>
      <c r="BD110" s="126" t="s">
        <v>27</v>
      </c>
      <c r="BE110" s="137"/>
      <c r="BF110" s="53">
        <v>0</v>
      </c>
      <c r="BG110" s="53"/>
      <c r="BH110" s="53">
        <v>0</v>
      </c>
      <c r="BI110" s="53"/>
      <c r="BJ110" s="53">
        <v>0</v>
      </c>
      <c r="BK110" s="53"/>
      <c r="BL110" s="53">
        <v>0</v>
      </c>
      <c r="BM110" s="137"/>
      <c r="BN110" s="137">
        <f t="shared" si="17"/>
        <v>0</v>
      </c>
      <c r="BO110" s="139"/>
      <c r="BS110" s="140"/>
      <c r="BT110" s="140"/>
      <c r="BU110" s="141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</row>
    <row r="111" spans="1:95" s="126" customFormat="1" ht="12.75" hidden="1" customHeight="1">
      <c r="A111" s="126" t="s">
        <v>477</v>
      </c>
      <c r="B111" s="124"/>
      <c r="C111" s="126" t="s">
        <v>45</v>
      </c>
      <c r="D111" s="121"/>
      <c r="E111" s="53">
        <f t="shared" si="12"/>
        <v>0</v>
      </c>
      <c r="F111" s="53"/>
      <c r="G111" s="53">
        <v>0</v>
      </c>
      <c r="H111" s="53"/>
      <c r="I111" s="53">
        <v>0</v>
      </c>
      <c r="J111" s="53"/>
      <c r="K111" s="53">
        <f t="shared" si="13"/>
        <v>0</v>
      </c>
      <c r="L111" s="53"/>
      <c r="M111" s="53">
        <v>0</v>
      </c>
      <c r="N111" s="53"/>
      <c r="O111" s="53">
        <v>0</v>
      </c>
      <c r="P111" s="53"/>
      <c r="Q111" s="53">
        <v>0</v>
      </c>
      <c r="R111" s="53"/>
      <c r="S111" s="53">
        <v>0</v>
      </c>
      <c r="T111" s="53"/>
      <c r="U111" s="53">
        <v>0</v>
      </c>
      <c r="V111" s="53"/>
      <c r="W111" s="53">
        <f t="shared" si="21"/>
        <v>0</v>
      </c>
      <c r="X111" s="124"/>
      <c r="Y111" s="124"/>
      <c r="Z111" s="126" t="s">
        <v>477</v>
      </c>
      <c r="AA111" s="137"/>
      <c r="AB111" s="126" t="s">
        <v>45</v>
      </c>
      <c r="AC111" s="124"/>
      <c r="AD111" s="53">
        <v>0</v>
      </c>
      <c r="AE111" s="53"/>
      <c r="AF111" s="53">
        <v>0</v>
      </c>
      <c r="AG111" s="53"/>
      <c r="AH111" s="53">
        <v>0</v>
      </c>
      <c r="AI111" s="53"/>
      <c r="AJ111" s="45">
        <f t="shared" si="20"/>
        <v>0</v>
      </c>
      <c r="AK111" s="45"/>
      <c r="AL111" s="53">
        <v>0</v>
      </c>
      <c r="AM111" s="45"/>
      <c r="AN111" s="53">
        <v>0</v>
      </c>
      <c r="AO111" s="53"/>
      <c r="AP111" s="53">
        <v>0</v>
      </c>
      <c r="AQ111" s="53"/>
      <c r="AR111" s="53">
        <v>0</v>
      </c>
      <c r="AS111" s="53"/>
      <c r="AT111" s="45">
        <f t="shared" si="18"/>
        <v>0</v>
      </c>
      <c r="AU111" s="45"/>
      <c r="AV111" s="53">
        <v>0</v>
      </c>
      <c r="AW111" s="53"/>
      <c r="AX111" s="53">
        <v>0</v>
      </c>
      <c r="AY111" s="53"/>
      <c r="AZ111" s="53">
        <f t="shared" si="19"/>
        <v>0</v>
      </c>
      <c r="BA111" s="124"/>
      <c r="BB111" s="126" t="s">
        <v>477</v>
      </c>
      <c r="BD111" s="126" t="s">
        <v>45</v>
      </c>
      <c r="BE111" s="137"/>
      <c r="BF111" s="53">
        <v>0</v>
      </c>
      <c r="BG111" s="53"/>
      <c r="BH111" s="53">
        <v>0</v>
      </c>
      <c r="BI111" s="53"/>
      <c r="BJ111" s="53">
        <v>0</v>
      </c>
      <c r="BK111" s="53"/>
      <c r="BL111" s="53">
        <v>0</v>
      </c>
      <c r="BM111" s="137"/>
      <c r="BN111" s="137">
        <f t="shared" si="17"/>
        <v>0</v>
      </c>
      <c r="BO111" s="139"/>
      <c r="BS111" s="140"/>
      <c r="BT111" s="140"/>
      <c r="BU111" s="141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</row>
    <row r="112" spans="1:95" s="35" customFormat="1" ht="12.75" customHeight="1">
      <c r="A112" s="35" t="s">
        <v>136</v>
      </c>
      <c r="B112" s="51"/>
      <c r="C112" s="35" t="s">
        <v>136</v>
      </c>
      <c r="D112" s="44"/>
      <c r="E112" s="53">
        <f t="shared" si="12"/>
        <v>2152519</v>
      </c>
      <c r="F112" s="53"/>
      <c r="G112" s="53">
        <v>5345378</v>
      </c>
      <c r="H112" s="53"/>
      <c r="I112" s="53">
        <v>7497897</v>
      </c>
      <c r="J112" s="53"/>
      <c r="K112" s="53">
        <f t="shared" si="13"/>
        <v>268872</v>
      </c>
      <c r="L112" s="53"/>
      <c r="M112" s="53">
        <v>2288502</v>
      </c>
      <c r="N112" s="53"/>
      <c r="O112" s="53">
        <v>2557374</v>
      </c>
      <c r="P112" s="53"/>
      <c r="Q112" s="53">
        <v>3042076</v>
      </c>
      <c r="R112" s="53"/>
      <c r="S112" s="53">
        <v>0</v>
      </c>
      <c r="T112" s="53"/>
      <c r="U112" s="53">
        <v>18984447</v>
      </c>
      <c r="V112" s="53"/>
      <c r="W112" s="53">
        <f t="shared" si="21"/>
        <v>22026523</v>
      </c>
      <c r="X112" s="51"/>
      <c r="Y112" s="51"/>
      <c r="Z112" s="35" t="s">
        <v>136</v>
      </c>
      <c r="AA112" s="53"/>
      <c r="AB112" s="35" t="s">
        <v>136</v>
      </c>
      <c r="AC112" s="51"/>
      <c r="AD112" s="53">
        <v>1639584</v>
      </c>
      <c r="AE112" s="53"/>
      <c r="AF112" s="53">
        <f>1519510-247824</f>
        <v>1271686</v>
      </c>
      <c r="AG112" s="53"/>
      <c r="AH112" s="53">
        <v>247824</v>
      </c>
      <c r="AI112" s="53"/>
      <c r="AJ112" s="45">
        <f t="shared" si="20"/>
        <v>120074</v>
      </c>
      <c r="AK112" s="45"/>
      <c r="AL112" s="53">
        <v>20875</v>
      </c>
      <c r="AM112" s="45"/>
      <c r="AN112" s="53">
        <v>0</v>
      </c>
      <c r="AO112" s="53"/>
      <c r="AP112" s="53">
        <v>0</v>
      </c>
      <c r="AQ112" s="53"/>
      <c r="AR112" s="53">
        <v>149948</v>
      </c>
      <c r="AS112" s="53"/>
      <c r="AT112" s="45">
        <f t="shared" si="18"/>
        <v>290897</v>
      </c>
      <c r="AU112" s="45"/>
      <c r="AV112" s="53">
        <v>0</v>
      </c>
      <c r="AW112" s="53"/>
      <c r="AX112" s="53">
        <v>0</v>
      </c>
      <c r="AY112" s="53"/>
      <c r="AZ112" s="53">
        <f t="shared" si="19"/>
        <v>1883647</v>
      </c>
      <c r="BA112" s="51"/>
      <c r="BB112" s="35" t="s">
        <v>136</v>
      </c>
      <c r="BD112" s="35" t="s">
        <v>136</v>
      </c>
      <c r="BE112" s="53"/>
      <c r="BF112" s="53">
        <v>0</v>
      </c>
      <c r="BG112" s="53"/>
      <c r="BH112" s="53">
        <f>1931346+170000</f>
        <v>2101346</v>
      </c>
      <c r="BI112" s="53"/>
      <c r="BJ112" s="53">
        <v>0</v>
      </c>
      <c r="BK112" s="53"/>
      <c r="BL112" s="53">
        <f>60735+187219+109202+39607+14737</f>
        <v>411500</v>
      </c>
      <c r="BM112" s="53"/>
      <c r="BN112" s="53">
        <f t="shared" si="17"/>
        <v>2512846</v>
      </c>
      <c r="BO112" s="54"/>
      <c r="BS112" s="55"/>
      <c r="BT112" s="55"/>
      <c r="BU112" s="84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</row>
    <row r="113" spans="1:95" s="35" customFormat="1" ht="12.75" customHeight="1">
      <c r="A113" s="35" t="s">
        <v>137</v>
      </c>
      <c r="B113" s="65"/>
      <c r="C113" s="35" t="s">
        <v>22</v>
      </c>
      <c r="D113" s="44"/>
      <c r="E113" s="53">
        <f t="shared" si="12"/>
        <v>3661177</v>
      </c>
      <c r="F113" s="53"/>
      <c r="G113" s="53">
        <v>15136563</v>
      </c>
      <c r="H113" s="53"/>
      <c r="I113" s="53">
        <v>18797740</v>
      </c>
      <c r="J113" s="53"/>
      <c r="K113" s="53">
        <f t="shared" si="13"/>
        <v>749299</v>
      </c>
      <c r="L113" s="53"/>
      <c r="M113" s="53">
        <v>589983</v>
      </c>
      <c r="N113" s="53"/>
      <c r="O113" s="53">
        <v>1339282</v>
      </c>
      <c r="P113" s="53"/>
      <c r="Q113" s="53">
        <v>14518749</v>
      </c>
      <c r="R113" s="53"/>
      <c r="S113" s="53">
        <v>0</v>
      </c>
      <c r="T113" s="53"/>
      <c r="U113" s="53">
        <v>2939709</v>
      </c>
      <c r="V113" s="53"/>
      <c r="W113" s="53">
        <f t="shared" si="21"/>
        <v>17458458</v>
      </c>
      <c r="X113" s="65"/>
      <c r="Y113" s="65"/>
      <c r="Z113" s="35" t="s">
        <v>137</v>
      </c>
      <c r="AA113" s="53"/>
      <c r="AB113" s="35" t="s">
        <v>22</v>
      </c>
      <c r="AC113" s="65"/>
      <c r="AD113" s="53">
        <v>2722712</v>
      </c>
      <c r="AE113" s="53"/>
      <c r="AF113" s="53">
        <f>3274431-629406</f>
        <v>2645025</v>
      </c>
      <c r="AG113" s="53"/>
      <c r="AH113" s="53">
        <v>629406</v>
      </c>
      <c r="AI113" s="53"/>
      <c r="AJ113" s="45">
        <f t="shared" si="20"/>
        <v>-551719</v>
      </c>
      <c r="AK113" s="45"/>
      <c r="AL113" s="53">
        <v>37384</v>
      </c>
      <c r="AM113" s="45"/>
      <c r="AN113" s="53">
        <v>0</v>
      </c>
      <c r="AO113" s="53"/>
      <c r="AP113" s="53">
        <v>0</v>
      </c>
      <c r="AQ113" s="53"/>
      <c r="AR113" s="53">
        <f>21598+69478</f>
        <v>91076</v>
      </c>
      <c r="AS113" s="53"/>
      <c r="AT113" s="45">
        <f t="shared" si="18"/>
        <v>-423259</v>
      </c>
      <c r="AU113" s="45"/>
      <c r="AV113" s="53">
        <v>0</v>
      </c>
      <c r="AW113" s="53"/>
      <c r="AX113" s="53">
        <v>0</v>
      </c>
      <c r="AY113" s="53"/>
      <c r="AZ113" s="53">
        <f t="shared" si="19"/>
        <v>2911878</v>
      </c>
      <c r="BA113" s="65"/>
      <c r="BB113" s="35" t="s">
        <v>137</v>
      </c>
      <c r="BD113" s="35" t="s">
        <v>22</v>
      </c>
      <c r="BE113" s="53"/>
      <c r="BF113" s="53">
        <v>0</v>
      </c>
      <c r="BG113" s="53"/>
      <c r="BH113" s="53">
        <v>0</v>
      </c>
      <c r="BI113" s="53"/>
      <c r="BJ113" s="53">
        <f>585150+32664</f>
        <v>617814</v>
      </c>
      <c r="BK113" s="53"/>
      <c r="BL113" s="53">
        <f>4833+79911</f>
        <v>84744</v>
      </c>
      <c r="BM113" s="53"/>
      <c r="BN113" s="53">
        <f t="shared" si="17"/>
        <v>702558</v>
      </c>
      <c r="BO113" s="54"/>
      <c r="BS113" s="55"/>
      <c r="BT113" s="55"/>
      <c r="BU113" s="84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</row>
    <row r="114" spans="1:95" s="126" customFormat="1" ht="12" hidden="1" customHeight="1">
      <c r="A114" s="126" t="s">
        <v>138</v>
      </c>
      <c r="B114" s="124"/>
      <c r="C114" s="126" t="s">
        <v>139</v>
      </c>
      <c r="D114" s="121"/>
      <c r="E114" s="53">
        <f t="shared" si="12"/>
        <v>0</v>
      </c>
      <c r="F114" s="53"/>
      <c r="G114" s="53">
        <v>0</v>
      </c>
      <c r="H114" s="53"/>
      <c r="I114" s="53">
        <v>0</v>
      </c>
      <c r="J114" s="53"/>
      <c r="K114" s="53">
        <f t="shared" si="13"/>
        <v>0</v>
      </c>
      <c r="L114" s="53"/>
      <c r="M114" s="53">
        <v>0</v>
      </c>
      <c r="N114" s="53"/>
      <c r="O114" s="53">
        <v>0</v>
      </c>
      <c r="P114" s="53"/>
      <c r="Q114" s="53">
        <v>0</v>
      </c>
      <c r="R114" s="53"/>
      <c r="S114" s="53">
        <v>0</v>
      </c>
      <c r="T114" s="53"/>
      <c r="U114" s="53">
        <v>0</v>
      </c>
      <c r="V114" s="53"/>
      <c r="W114" s="53">
        <f t="shared" si="21"/>
        <v>0</v>
      </c>
      <c r="X114" s="124"/>
      <c r="Y114" s="124"/>
      <c r="Z114" s="126" t="s">
        <v>138</v>
      </c>
      <c r="AA114" s="137"/>
      <c r="AB114" s="126" t="s">
        <v>139</v>
      </c>
      <c r="AC114" s="124"/>
      <c r="AD114" s="53">
        <v>0</v>
      </c>
      <c r="AE114" s="53"/>
      <c r="AF114" s="53">
        <v>0</v>
      </c>
      <c r="AG114" s="53"/>
      <c r="AH114" s="53">
        <v>0</v>
      </c>
      <c r="AI114" s="53"/>
      <c r="AJ114" s="45">
        <f t="shared" si="20"/>
        <v>0</v>
      </c>
      <c r="AK114" s="45"/>
      <c r="AL114" s="53">
        <v>0</v>
      </c>
      <c r="AM114" s="45"/>
      <c r="AN114" s="53">
        <v>0</v>
      </c>
      <c r="AO114" s="53"/>
      <c r="AP114" s="53">
        <v>0</v>
      </c>
      <c r="AQ114" s="53"/>
      <c r="AR114" s="53">
        <v>0</v>
      </c>
      <c r="AS114" s="53"/>
      <c r="AT114" s="45">
        <f t="shared" si="18"/>
        <v>0</v>
      </c>
      <c r="AU114" s="45"/>
      <c r="AV114" s="53">
        <v>0</v>
      </c>
      <c r="AW114" s="53"/>
      <c r="AX114" s="53">
        <v>0</v>
      </c>
      <c r="AY114" s="53"/>
      <c r="AZ114" s="53">
        <f t="shared" si="19"/>
        <v>0</v>
      </c>
      <c r="BA114" s="124"/>
      <c r="BB114" s="126" t="s">
        <v>138</v>
      </c>
      <c r="BD114" s="126" t="s">
        <v>139</v>
      </c>
      <c r="BE114" s="137"/>
      <c r="BF114" s="53">
        <v>0</v>
      </c>
      <c r="BG114" s="53"/>
      <c r="BH114" s="53">
        <v>0</v>
      </c>
      <c r="BI114" s="53"/>
      <c r="BJ114" s="53">
        <v>0</v>
      </c>
      <c r="BK114" s="53"/>
      <c r="BL114" s="53">
        <v>0</v>
      </c>
      <c r="BM114" s="137"/>
      <c r="BN114" s="137">
        <f t="shared" si="17"/>
        <v>0</v>
      </c>
      <c r="BO114" s="139"/>
      <c r="BS114" s="140"/>
      <c r="BT114" s="140"/>
      <c r="BU114" s="141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</row>
    <row r="115" spans="1:95" s="126" customFormat="1" ht="12.75" hidden="1" customHeight="1">
      <c r="A115" s="126" t="s">
        <v>140</v>
      </c>
      <c r="B115" s="124"/>
      <c r="C115" s="126" t="s">
        <v>66</v>
      </c>
      <c r="D115" s="121"/>
      <c r="E115" s="53">
        <f t="shared" si="12"/>
        <v>0</v>
      </c>
      <c r="F115" s="53"/>
      <c r="G115" s="53">
        <v>0</v>
      </c>
      <c r="H115" s="53"/>
      <c r="I115" s="53">
        <v>0</v>
      </c>
      <c r="J115" s="53"/>
      <c r="K115" s="53">
        <f t="shared" si="13"/>
        <v>0</v>
      </c>
      <c r="L115" s="53"/>
      <c r="M115" s="53">
        <v>0</v>
      </c>
      <c r="N115" s="53"/>
      <c r="O115" s="53">
        <v>0</v>
      </c>
      <c r="P115" s="53"/>
      <c r="Q115" s="53">
        <v>0</v>
      </c>
      <c r="R115" s="53"/>
      <c r="S115" s="53">
        <v>0</v>
      </c>
      <c r="T115" s="53"/>
      <c r="U115" s="53">
        <v>0</v>
      </c>
      <c r="V115" s="53"/>
      <c r="W115" s="53">
        <f t="shared" si="21"/>
        <v>0</v>
      </c>
      <c r="X115" s="124"/>
      <c r="Y115" s="124"/>
      <c r="Z115" s="126" t="s">
        <v>140</v>
      </c>
      <c r="AA115" s="137"/>
      <c r="AB115" s="126" t="s">
        <v>66</v>
      </c>
      <c r="AC115" s="124"/>
      <c r="AD115" s="53">
        <v>0</v>
      </c>
      <c r="AE115" s="53"/>
      <c r="AF115" s="53">
        <v>0</v>
      </c>
      <c r="AG115" s="53"/>
      <c r="AH115" s="53">
        <v>0</v>
      </c>
      <c r="AI115" s="53"/>
      <c r="AJ115" s="45">
        <f t="shared" si="20"/>
        <v>0</v>
      </c>
      <c r="AK115" s="45"/>
      <c r="AL115" s="53">
        <v>0</v>
      </c>
      <c r="AM115" s="45"/>
      <c r="AN115" s="53">
        <v>0</v>
      </c>
      <c r="AO115" s="53"/>
      <c r="AP115" s="53">
        <v>0</v>
      </c>
      <c r="AQ115" s="53"/>
      <c r="AR115" s="53">
        <v>0</v>
      </c>
      <c r="AS115" s="53"/>
      <c r="AT115" s="45">
        <f t="shared" si="18"/>
        <v>0</v>
      </c>
      <c r="AU115" s="45"/>
      <c r="AV115" s="53">
        <v>0</v>
      </c>
      <c r="AW115" s="53"/>
      <c r="AX115" s="53">
        <v>0</v>
      </c>
      <c r="AY115" s="53"/>
      <c r="AZ115" s="53">
        <f t="shared" si="19"/>
        <v>0</v>
      </c>
      <c r="BA115" s="124"/>
      <c r="BB115" s="126" t="s">
        <v>140</v>
      </c>
      <c r="BD115" s="126" t="s">
        <v>66</v>
      </c>
      <c r="BE115" s="137"/>
      <c r="BF115" s="53">
        <v>0</v>
      </c>
      <c r="BG115" s="53"/>
      <c r="BH115" s="53">
        <v>0</v>
      </c>
      <c r="BI115" s="53"/>
      <c r="BJ115" s="53">
        <v>0</v>
      </c>
      <c r="BK115" s="53"/>
      <c r="BL115" s="53">
        <v>0</v>
      </c>
      <c r="BM115" s="137"/>
      <c r="BN115" s="137">
        <f t="shared" si="17"/>
        <v>0</v>
      </c>
      <c r="BO115" s="139"/>
      <c r="BS115" s="140"/>
      <c r="BT115" s="140"/>
      <c r="BU115" s="141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</row>
    <row r="116" spans="1:95" s="35" customFormat="1" ht="12.75" hidden="1" customHeight="1">
      <c r="A116" s="35" t="s">
        <v>478</v>
      </c>
      <c r="B116" s="51"/>
      <c r="C116" s="35" t="s">
        <v>92</v>
      </c>
      <c r="D116" s="44"/>
      <c r="E116" s="53">
        <f t="shared" si="12"/>
        <v>0</v>
      </c>
      <c r="F116" s="53"/>
      <c r="G116" s="53">
        <v>0</v>
      </c>
      <c r="H116" s="53"/>
      <c r="I116" s="53">
        <v>0</v>
      </c>
      <c r="J116" s="53"/>
      <c r="K116" s="53">
        <f t="shared" si="13"/>
        <v>0</v>
      </c>
      <c r="L116" s="53"/>
      <c r="M116" s="53">
        <v>0</v>
      </c>
      <c r="N116" s="53"/>
      <c r="O116" s="53">
        <v>0</v>
      </c>
      <c r="P116" s="53"/>
      <c r="Q116" s="53">
        <v>0</v>
      </c>
      <c r="R116" s="53"/>
      <c r="S116" s="53">
        <v>0</v>
      </c>
      <c r="T116" s="53"/>
      <c r="U116" s="53">
        <v>0</v>
      </c>
      <c r="V116" s="53"/>
      <c r="W116" s="53">
        <f t="shared" si="21"/>
        <v>0</v>
      </c>
      <c r="X116" s="51"/>
      <c r="Y116" s="51"/>
      <c r="Z116" s="35" t="s">
        <v>478</v>
      </c>
      <c r="AA116" s="53"/>
      <c r="AB116" s="35" t="s">
        <v>92</v>
      </c>
      <c r="AC116" s="51"/>
      <c r="AD116" s="53">
        <v>0</v>
      </c>
      <c r="AE116" s="53"/>
      <c r="AF116" s="53">
        <v>0</v>
      </c>
      <c r="AG116" s="53"/>
      <c r="AH116" s="53">
        <v>0</v>
      </c>
      <c r="AI116" s="53"/>
      <c r="AJ116" s="45">
        <f t="shared" si="20"/>
        <v>0</v>
      </c>
      <c r="AK116" s="45"/>
      <c r="AL116" s="53">
        <v>0</v>
      </c>
      <c r="AM116" s="45"/>
      <c r="AN116" s="53">
        <v>0</v>
      </c>
      <c r="AO116" s="53"/>
      <c r="AP116" s="53">
        <v>0</v>
      </c>
      <c r="AQ116" s="53"/>
      <c r="AR116" s="53">
        <v>0</v>
      </c>
      <c r="AS116" s="53"/>
      <c r="AT116" s="45">
        <f t="shared" si="18"/>
        <v>0</v>
      </c>
      <c r="AU116" s="45"/>
      <c r="AV116" s="53">
        <v>0</v>
      </c>
      <c r="AW116" s="53"/>
      <c r="AX116" s="53">
        <v>0</v>
      </c>
      <c r="AY116" s="53"/>
      <c r="AZ116" s="53">
        <f t="shared" si="19"/>
        <v>0</v>
      </c>
      <c r="BA116" s="51"/>
      <c r="BB116" s="35" t="s">
        <v>480</v>
      </c>
      <c r="BD116" s="35" t="s">
        <v>92</v>
      </c>
      <c r="BE116" s="53"/>
      <c r="BF116" s="53">
        <v>0</v>
      </c>
      <c r="BG116" s="53"/>
      <c r="BH116" s="53">
        <v>0</v>
      </c>
      <c r="BI116" s="53"/>
      <c r="BJ116" s="53">
        <v>0</v>
      </c>
      <c r="BK116" s="53"/>
      <c r="BL116" s="53">
        <v>0</v>
      </c>
      <c r="BM116" s="53"/>
      <c r="BN116" s="53">
        <f>SUM(BF116:BL116)</f>
        <v>0</v>
      </c>
      <c r="BO116" s="54"/>
      <c r="BS116" s="55"/>
      <c r="BT116" s="55"/>
      <c r="BU116" s="84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</row>
    <row r="117" spans="1:95" s="64" customFormat="1" ht="12.75" customHeight="1">
      <c r="A117" s="35" t="s">
        <v>141</v>
      </c>
      <c r="B117" s="35"/>
      <c r="C117" s="35" t="s">
        <v>27</v>
      </c>
      <c r="D117" s="44"/>
      <c r="E117" s="53">
        <f t="shared" si="12"/>
        <v>5289190</v>
      </c>
      <c r="F117" s="53"/>
      <c r="G117" s="53">
        <v>42013393</v>
      </c>
      <c r="H117" s="53"/>
      <c r="I117" s="53">
        <v>47302583</v>
      </c>
      <c r="J117" s="53"/>
      <c r="K117" s="53">
        <f t="shared" si="13"/>
        <v>2219239</v>
      </c>
      <c r="L117" s="53"/>
      <c r="M117" s="53">
        <v>15400622</v>
      </c>
      <c r="N117" s="53"/>
      <c r="O117" s="53">
        <v>17619861</v>
      </c>
      <c r="P117" s="53"/>
      <c r="Q117" s="53">
        <v>23835712</v>
      </c>
      <c r="R117" s="53"/>
      <c r="S117" s="53">
        <f>65875+193550</f>
        <v>259425</v>
      </c>
      <c r="T117" s="53"/>
      <c r="U117" s="53">
        <v>5587585</v>
      </c>
      <c r="V117" s="53"/>
      <c r="W117" s="53">
        <f t="shared" si="21"/>
        <v>29682722</v>
      </c>
      <c r="X117" s="51"/>
      <c r="Y117" s="51"/>
      <c r="Z117" s="35" t="s">
        <v>141</v>
      </c>
      <c r="AA117" s="53"/>
      <c r="AB117" s="35" t="s">
        <v>27</v>
      </c>
      <c r="AC117" s="35"/>
      <c r="AD117" s="53">
        <v>9914757</v>
      </c>
      <c r="AE117" s="53"/>
      <c r="AF117" s="53">
        <f>8369572-556957</f>
        <v>7812615</v>
      </c>
      <c r="AG117" s="53"/>
      <c r="AH117" s="53">
        <v>556957</v>
      </c>
      <c r="AI117" s="53"/>
      <c r="AJ117" s="45">
        <f t="shared" si="20"/>
        <v>1545185</v>
      </c>
      <c r="AK117" s="45"/>
      <c r="AL117" s="53">
        <v>-197867</v>
      </c>
      <c r="AM117" s="45"/>
      <c r="AN117" s="53">
        <v>84029</v>
      </c>
      <c r="AO117" s="53"/>
      <c r="AP117" s="53">
        <v>500000</v>
      </c>
      <c r="AQ117" s="53"/>
      <c r="AR117" s="53">
        <v>0</v>
      </c>
      <c r="AS117" s="53"/>
      <c r="AT117" s="45">
        <f t="shared" si="18"/>
        <v>931347</v>
      </c>
      <c r="AU117" s="45"/>
      <c r="AV117" s="53">
        <v>0</v>
      </c>
      <c r="AW117" s="53"/>
      <c r="AX117" s="53">
        <v>0</v>
      </c>
      <c r="AY117" s="53"/>
      <c r="AZ117" s="53">
        <f t="shared" si="19"/>
        <v>3069951</v>
      </c>
      <c r="BA117" s="51"/>
      <c r="BB117" s="35" t="s">
        <v>141</v>
      </c>
      <c r="BC117" s="35"/>
      <c r="BD117" s="35" t="s">
        <v>27</v>
      </c>
      <c r="BE117" s="53"/>
      <c r="BF117" s="53">
        <f>11873722+919125</f>
        <v>12792847</v>
      </c>
      <c r="BG117" s="53"/>
      <c r="BH117" s="53">
        <v>0</v>
      </c>
      <c r="BI117" s="53"/>
      <c r="BJ117" s="53">
        <f>3415675+313228</f>
        <v>3728903</v>
      </c>
      <c r="BK117" s="53"/>
      <c r="BL117" s="53">
        <f>77840+33385+42182+3476</f>
        <v>156883</v>
      </c>
      <c r="BM117" s="53"/>
      <c r="BN117" s="53">
        <f t="shared" si="17"/>
        <v>16678633</v>
      </c>
      <c r="BO117" s="91"/>
      <c r="BS117" s="90"/>
      <c r="BT117" s="90"/>
      <c r="BU117" s="95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</row>
    <row r="118" spans="1:95" s="35" customFormat="1" ht="12.75" customHeight="1">
      <c r="A118" s="35" t="s">
        <v>142</v>
      </c>
      <c r="B118" s="51"/>
      <c r="C118" s="35" t="s">
        <v>102</v>
      </c>
      <c r="D118" s="44"/>
      <c r="E118" s="53">
        <f t="shared" si="12"/>
        <v>9223026</v>
      </c>
      <c r="F118" s="53"/>
      <c r="G118" s="53">
        <v>39455131</v>
      </c>
      <c r="H118" s="53"/>
      <c r="I118" s="53">
        <v>48678157</v>
      </c>
      <c r="J118" s="53"/>
      <c r="K118" s="53">
        <f t="shared" si="13"/>
        <v>2457861</v>
      </c>
      <c r="L118" s="53"/>
      <c r="M118" s="53">
        <v>26450334</v>
      </c>
      <c r="N118" s="53"/>
      <c r="O118" s="53">
        <v>28908195</v>
      </c>
      <c r="P118" s="53"/>
      <c r="Q118" s="53">
        <v>11245844</v>
      </c>
      <c r="R118" s="53"/>
      <c r="S118" s="53">
        <v>614085</v>
      </c>
      <c r="T118" s="53"/>
      <c r="U118" s="53">
        <v>7910033</v>
      </c>
      <c r="V118" s="53"/>
      <c r="W118" s="53">
        <f t="shared" si="21"/>
        <v>19769962</v>
      </c>
      <c r="X118" s="51"/>
      <c r="Y118" s="51"/>
      <c r="Z118" s="35" t="s">
        <v>142</v>
      </c>
      <c r="AA118" s="53"/>
      <c r="AB118" s="35" t="s">
        <v>102</v>
      </c>
      <c r="AC118" s="51"/>
      <c r="AD118" s="53">
        <v>8408759</v>
      </c>
      <c r="AE118" s="53"/>
      <c r="AF118" s="53">
        <f>7863984-2065786</f>
        <v>5798198</v>
      </c>
      <c r="AG118" s="53"/>
      <c r="AH118" s="53">
        <v>2065786</v>
      </c>
      <c r="AI118" s="53"/>
      <c r="AJ118" s="45">
        <f t="shared" si="20"/>
        <v>544775</v>
      </c>
      <c r="AK118" s="45"/>
      <c r="AL118" s="53">
        <v>-1341158</v>
      </c>
      <c r="AM118" s="45"/>
      <c r="AN118" s="53">
        <v>32366</v>
      </c>
      <c r="AO118" s="53"/>
      <c r="AP118" s="53">
        <v>0</v>
      </c>
      <c r="AQ118" s="53"/>
      <c r="AR118" s="53">
        <v>0</v>
      </c>
      <c r="AS118" s="53"/>
      <c r="AT118" s="45">
        <f t="shared" si="18"/>
        <v>-764017</v>
      </c>
      <c r="AU118" s="45"/>
      <c r="AV118" s="53">
        <v>0</v>
      </c>
      <c r="AW118" s="53"/>
      <c r="AX118" s="53">
        <v>0</v>
      </c>
      <c r="AY118" s="53"/>
      <c r="AZ118" s="53">
        <f t="shared" si="19"/>
        <v>6765165</v>
      </c>
      <c r="BA118" s="51"/>
      <c r="BB118" s="35" t="s">
        <v>142</v>
      </c>
      <c r="BD118" s="35" t="s">
        <v>102</v>
      </c>
      <c r="BE118" s="53"/>
      <c r="BF118" s="53">
        <v>0</v>
      </c>
      <c r="BG118" s="53"/>
      <c r="BH118" s="53">
        <f>7017190+230000</f>
        <v>7247190</v>
      </c>
      <c r="BI118" s="53"/>
      <c r="BJ118" s="53">
        <f>18873482+1177973</f>
        <v>20051455</v>
      </c>
      <c r="BK118" s="53"/>
      <c r="BL118" s="53">
        <f>18597+6161+194039+541065</f>
        <v>759862</v>
      </c>
      <c r="BM118" s="53"/>
      <c r="BN118" s="53">
        <f t="shared" si="17"/>
        <v>28058507</v>
      </c>
      <c r="BO118" s="54"/>
      <c r="BS118" s="55"/>
      <c r="BT118" s="55"/>
      <c r="BU118" s="84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</row>
    <row r="119" spans="1:95" s="35" customFormat="1" ht="12.75" customHeight="1">
      <c r="A119" s="35" t="s">
        <v>143</v>
      </c>
      <c r="B119" s="51"/>
      <c r="C119" s="35" t="s">
        <v>111</v>
      </c>
      <c r="D119" s="44"/>
      <c r="E119" s="53">
        <f t="shared" si="12"/>
        <v>7605721</v>
      </c>
      <c r="F119" s="53"/>
      <c r="G119" s="53">
        <v>27000613</v>
      </c>
      <c r="H119" s="53"/>
      <c r="I119" s="53">
        <v>34606334</v>
      </c>
      <c r="J119" s="53"/>
      <c r="K119" s="53">
        <f t="shared" si="13"/>
        <v>438931</v>
      </c>
      <c r="L119" s="53"/>
      <c r="M119" s="53">
        <v>10232979</v>
      </c>
      <c r="N119" s="53"/>
      <c r="O119" s="53">
        <v>10671910</v>
      </c>
      <c r="P119" s="53"/>
      <c r="Q119" s="53">
        <v>15982594</v>
      </c>
      <c r="R119" s="53"/>
      <c r="S119" s="53">
        <f>200000+634469</f>
        <v>834469</v>
      </c>
      <c r="T119" s="53"/>
      <c r="U119" s="53">
        <v>7117361</v>
      </c>
      <c r="V119" s="53"/>
      <c r="W119" s="53">
        <f t="shared" si="21"/>
        <v>23934424</v>
      </c>
      <c r="X119" s="51"/>
      <c r="Y119" s="51"/>
      <c r="Z119" s="35" t="s">
        <v>143</v>
      </c>
      <c r="AA119" s="53"/>
      <c r="AB119" s="35" t="s">
        <v>111</v>
      </c>
      <c r="AC119" s="51"/>
      <c r="AD119" s="53">
        <v>2695199</v>
      </c>
      <c r="AE119" s="53"/>
      <c r="AF119" s="53">
        <f>2146088-785061</f>
        <v>1361027</v>
      </c>
      <c r="AG119" s="53"/>
      <c r="AH119" s="53">
        <v>785061</v>
      </c>
      <c r="AI119" s="53"/>
      <c r="AJ119" s="45">
        <f t="shared" si="20"/>
        <v>549111</v>
      </c>
      <c r="AK119" s="45"/>
      <c r="AL119" s="53">
        <v>290204</v>
      </c>
      <c r="AM119" s="45"/>
      <c r="AN119" s="53">
        <v>0</v>
      </c>
      <c r="AO119" s="53"/>
      <c r="AP119" s="53">
        <v>0</v>
      </c>
      <c r="AQ119" s="53"/>
      <c r="AR119" s="53">
        <v>132823</v>
      </c>
      <c r="AS119" s="53"/>
      <c r="AT119" s="45">
        <f t="shared" si="18"/>
        <v>972138</v>
      </c>
      <c r="AU119" s="45"/>
      <c r="AV119" s="53">
        <v>0</v>
      </c>
      <c r="AW119" s="53"/>
      <c r="AX119" s="53">
        <v>0</v>
      </c>
      <c r="AY119" s="53"/>
      <c r="AZ119" s="53">
        <f t="shared" si="19"/>
        <v>7166790</v>
      </c>
      <c r="BA119" s="51"/>
      <c r="BB119" s="35" t="s">
        <v>143</v>
      </c>
      <c r="BD119" s="35" t="s">
        <v>111</v>
      </c>
      <c r="BE119" s="53"/>
      <c r="BF119" s="53">
        <v>0</v>
      </c>
      <c r="BG119" s="53"/>
      <c r="BH119" s="53">
        <f>6145000+300000</f>
        <v>6445000</v>
      </c>
      <c r="BI119" s="53"/>
      <c r="BJ119" s="53">
        <v>0</v>
      </c>
      <c r="BK119" s="53"/>
      <c r="BL119" s="53">
        <f>38550+49429+4000000+10856</f>
        <v>4098835</v>
      </c>
      <c r="BM119" s="53"/>
      <c r="BN119" s="53">
        <f t="shared" si="17"/>
        <v>10543835</v>
      </c>
      <c r="BO119" s="54"/>
      <c r="BS119" s="55"/>
      <c r="BT119" s="55"/>
      <c r="BU119" s="84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</row>
    <row r="120" spans="1:95" s="35" customFormat="1" ht="12.75" customHeight="1">
      <c r="A120" s="35" t="s">
        <v>144</v>
      </c>
      <c r="B120" s="51"/>
      <c r="C120" s="35" t="s">
        <v>88</v>
      </c>
      <c r="D120" s="44"/>
      <c r="E120" s="53">
        <f t="shared" si="12"/>
        <v>5384298</v>
      </c>
      <c r="F120" s="53"/>
      <c r="G120" s="53">
        <v>34872068</v>
      </c>
      <c r="H120" s="53"/>
      <c r="I120" s="53">
        <v>40256366</v>
      </c>
      <c r="J120" s="53"/>
      <c r="K120" s="53">
        <f t="shared" si="13"/>
        <v>9807335</v>
      </c>
      <c r="L120" s="53"/>
      <c r="M120" s="53">
        <v>8640927</v>
      </c>
      <c r="N120" s="53"/>
      <c r="O120" s="53">
        <v>18448262</v>
      </c>
      <c r="P120" s="53"/>
      <c r="Q120" s="53">
        <v>19256811</v>
      </c>
      <c r="R120" s="53"/>
      <c r="S120" s="53">
        <v>0</v>
      </c>
      <c r="T120" s="53"/>
      <c r="U120" s="53">
        <v>2551293</v>
      </c>
      <c r="V120" s="53"/>
      <c r="W120" s="53">
        <f t="shared" si="21"/>
        <v>21808104</v>
      </c>
      <c r="X120" s="51"/>
      <c r="Y120" s="51"/>
      <c r="Z120" s="35" t="s">
        <v>144</v>
      </c>
      <c r="AA120" s="53"/>
      <c r="AB120" s="35" t="s">
        <v>88</v>
      </c>
      <c r="AC120" s="51"/>
      <c r="AD120" s="53">
        <v>9634695</v>
      </c>
      <c r="AE120" s="53"/>
      <c r="AF120" s="53">
        <f>10985552-976723</f>
        <v>10008829</v>
      </c>
      <c r="AG120" s="53"/>
      <c r="AH120" s="53">
        <v>976723</v>
      </c>
      <c r="AI120" s="53"/>
      <c r="AJ120" s="45">
        <f t="shared" si="20"/>
        <v>-1350857</v>
      </c>
      <c r="AK120" s="45"/>
      <c r="AL120" s="53">
        <v>-216897</v>
      </c>
      <c r="AM120" s="45"/>
      <c r="AN120" s="53">
        <v>0</v>
      </c>
      <c r="AO120" s="53"/>
      <c r="AP120" s="53">
        <v>0</v>
      </c>
      <c r="AQ120" s="53"/>
      <c r="AR120" s="53">
        <v>0</v>
      </c>
      <c r="AS120" s="53"/>
      <c r="AT120" s="45">
        <f t="shared" si="18"/>
        <v>-1567754</v>
      </c>
      <c r="AU120" s="45"/>
      <c r="AV120" s="53">
        <v>0</v>
      </c>
      <c r="AW120" s="53"/>
      <c r="AX120" s="53">
        <v>0</v>
      </c>
      <c r="AY120" s="53"/>
      <c r="AZ120" s="53">
        <f t="shared" si="19"/>
        <v>-4423037</v>
      </c>
      <c r="BA120" s="51"/>
      <c r="BB120" s="35" t="s">
        <v>144</v>
      </c>
      <c r="BD120" s="35" t="s">
        <v>88</v>
      </c>
      <c r="BE120" s="53"/>
      <c r="BF120" s="53">
        <f>1019000+475782</f>
        <v>1494782</v>
      </c>
      <c r="BG120" s="53"/>
      <c r="BH120" s="53">
        <v>0</v>
      </c>
      <c r="BI120" s="53"/>
      <c r="BJ120" s="53">
        <v>5374084</v>
      </c>
      <c r="BK120" s="53"/>
      <c r="BL120" s="53">
        <f>142082+463794+79059+1704990+1954</f>
        <v>2391879</v>
      </c>
      <c r="BM120" s="53"/>
      <c r="BN120" s="53">
        <f t="shared" si="17"/>
        <v>9260745</v>
      </c>
      <c r="BO120" s="54"/>
      <c r="BS120" s="55"/>
      <c r="BT120" s="55"/>
      <c r="BU120" s="84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</row>
    <row r="121" spans="1:95" s="35" customFormat="1" ht="12.75" customHeight="1">
      <c r="A121" s="35" t="s">
        <v>36</v>
      </c>
      <c r="B121" s="51"/>
      <c r="C121" s="35" t="s">
        <v>145</v>
      </c>
      <c r="D121" s="44"/>
      <c r="E121" s="53">
        <f t="shared" si="12"/>
        <v>712871</v>
      </c>
      <c r="F121" s="53"/>
      <c r="G121" s="53">
        <v>3702850</v>
      </c>
      <c r="H121" s="53"/>
      <c r="I121" s="53">
        <v>4415721</v>
      </c>
      <c r="J121" s="53"/>
      <c r="K121" s="53">
        <f t="shared" si="13"/>
        <v>384632</v>
      </c>
      <c r="L121" s="53"/>
      <c r="M121" s="53">
        <v>645832</v>
      </c>
      <c r="N121" s="53"/>
      <c r="O121" s="53">
        <v>1030464</v>
      </c>
      <c r="P121" s="53"/>
      <c r="Q121" s="53">
        <v>2830802</v>
      </c>
      <c r="R121" s="53"/>
      <c r="S121" s="53">
        <v>0</v>
      </c>
      <c r="T121" s="53"/>
      <c r="U121" s="53">
        <v>554455</v>
      </c>
      <c r="V121" s="53"/>
      <c r="W121" s="53">
        <f t="shared" si="21"/>
        <v>3385257</v>
      </c>
      <c r="X121" s="51"/>
      <c r="Y121" s="51"/>
      <c r="Z121" s="35" t="s">
        <v>36</v>
      </c>
      <c r="AA121" s="53"/>
      <c r="AB121" s="35" t="s">
        <v>145</v>
      </c>
      <c r="AC121" s="51"/>
      <c r="AD121" s="53">
        <v>1283431</v>
      </c>
      <c r="AE121" s="53"/>
      <c r="AF121" s="53">
        <f>1341815-141358</f>
        <v>1200457</v>
      </c>
      <c r="AG121" s="53"/>
      <c r="AH121" s="53">
        <v>141358</v>
      </c>
      <c r="AI121" s="53"/>
      <c r="AJ121" s="45">
        <f t="shared" si="20"/>
        <v>-58384</v>
      </c>
      <c r="AK121" s="45"/>
      <c r="AL121" s="53">
        <v>-26340</v>
      </c>
      <c r="AM121" s="45"/>
      <c r="AN121" s="53">
        <v>0</v>
      </c>
      <c r="AO121" s="53"/>
      <c r="AP121" s="53">
        <v>0</v>
      </c>
      <c r="AQ121" s="53"/>
      <c r="AR121" s="53">
        <v>0</v>
      </c>
      <c r="AS121" s="53"/>
      <c r="AT121" s="45">
        <f t="shared" si="18"/>
        <v>-84724</v>
      </c>
      <c r="AU121" s="45"/>
      <c r="AV121" s="53">
        <v>0</v>
      </c>
      <c r="AW121" s="53"/>
      <c r="AX121" s="53">
        <v>0</v>
      </c>
      <c r="AY121" s="53"/>
      <c r="AZ121" s="53">
        <f t="shared" si="19"/>
        <v>328239</v>
      </c>
      <c r="BA121" s="51"/>
      <c r="BB121" s="35" t="s">
        <v>36</v>
      </c>
      <c r="BD121" s="35" t="s">
        <v>145</v>
      </c>
      <c r="BE121" s="53"/>
      <c r="BF121" s="53">
        <v>0</v>
      </c>
      <c r="BG121" s="53"/>
      <c r="BH121" s="53">
        <f>569100+125700</f>
        <v>694800</v>
      </c>
      <c r="BI121" s="53"/>
      <c r="BJ121" s="53">
        <v>0</v>
      </c>
      <c r="BK121" s="53"/>
      <c r="BL121" s="53">
        <f>36651+40081+140597+25160</f>
        <v>242489</v>
      </c>
      <c r="BM121" s="53"/>
      <c r="BN121" s="53">
        <f t="shared" si="17"/>
        <v>937289</v>
      </c>
      <c r="BO121" s="54"/>
      <c r="BS121" s="55"/>
      <c r="BT121" s="55"/>
      <c r="BU121" s="84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</row>
    <row r="122" spans="1:95" s="35" customFormat="1" ht="12.75" customHeight="1">
      <c r="A122" s="35" t="s">
        <v>146</v>
      </c>
      <c r="C122" s="35" t="s">
        <v>147</v>
      </c>
      <c r="D122" s="44"/>
      <c r="E122" s="53">
        <f t="shared" si="12"/>
        <v>1430323</v>
      </c>
      <c r="F122" s="53"/>
      <c r="G122" s="53">
        <v>3771759</v>
      </c>
      <c r="H122" s="53"/>
      <c r="I122" s="53">
        <v>5202082</v>
      </c>
      <c r="J122" s="53"/>
      <c r="K122" s="53">
        <f t="shared" si="13"/>
        <v>347363</v>
      </c>
      <c r="L122" s="53"/>
      <c r="M122" s="53">
        <v>1115787</v>
      </c>
      <c r="N122" s="53"/>
      <c r="O122" s="53">
        <v>1463150</v>
      </c>
      <c r="P122" s="53"/>
      <c r="Q122" s="53">
        <v>2523568</v>
      </c>
      <c r="R122" s="53"/>
      <c r="S122" s="53">
        <v>0</v>
      </c>
      <c r="T122" s="53"/>
      <c r="U122" s="53">
        <v>1215364</v>
      </c>
      <c r="V122" s="53"/>
      <c r="W122" s="53">
        <f t="shared" si="21"/>
        <v>3738932</v>
      </c>
      <c r="Z122" s="35" t="s">
        <v>146</v>
      </c>
      <c r="AA122" s="53"/>
      <c r="AB122" s="35" t="s">
        <v>147</v>
      </c>
      <c r="AD122" s="53">
        <v>1362784</v>
      </c>
      <c r="AE122" s="53"/>
      <c r="AF122" s="53">
        <f>1302640-226008</f>
        <v>1076632</v>
      </c>
      <c r="AG122" s="53"/>
      <c r="AH122" s="53">
        <v>226008</v>
      </c>
      <c r="AI122" s="53"/>
      <c r="AJ122" s="45">
        <f t="shared" si="20"/>
        <v>60144</v>
      </c>
      <c r="AK122" s="45"/>
      <c r="AL122" s="53">
        <v>-65950</v>
      </c>
      <c r="AM122" s="45"/>
      <c r="AN122" s="53">
        <v>0</v>
      </c>
      <c r="AO122" s="53"/>
      <c r="AP122" s="53">
        <v>0</v>
      </c>
      <c r="AQ122" s="53"/>
      <c r="AR122" s="53">
        <v>274828</v>
      </c>
      <c r="AS122" s="53"/>
      <c r="AT122" s="45">
        <f t="shared" si="18"/>
        <v>269022</v>
      </c>
      <c r="AU122" s="45"/>
      <c r="AV122" s="53">
        <v>0</v>
      </c>
      <c r="AW122" s="53"/>
      <c r="AX122" s="53">
        <v>0</v>
      </c>
      <c r="AY122" s="53"/>
      <c r="AZ122" s="53">
        <f t="shared" si="19"/>
        <v>1082960</v>
      </c>
      <c r="BA122" s="51"/>
      <c r="BB122" s="35" t="s">
        <v>146</v>
      </c>
      <c r="BD122" s="35" t="s">
        <v>147</v>
      </c>
      <c r="BE122" s="53"/>
      <c r="BF122" s="53">
        <v>0</v>
      </c>
      <c r="BG122" s="53"/>
      <c r="BH122" s="53">
        <v>0</v>
      </c>
      <c r="BI122" s="53"/>
      <c r="BJ122" s="53">
        <f>1043447+75185</f>
        <v>1118632</v>
      </c>
      <c r="BK122" s="53"/>
      <c r="BL122" s="53">
        <f>72340+18085</f>
        <v>90425</v>
      </c>
      <c r="BM122" s="53"/>
      <c r="BN122" s="53">
        <f t="shared" si="17"/>
        <v>1209057</v>
      </c>
      <c r="BO122" s="54"/>
      <c r="BS122" s="55"/>
      <c r="BT122" s="55"/>
      <c r="BU122" s="84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</row>
    <row r="123" spans="1:95" s="35" customFormat="1" ht="12.75" customHeight="1">
      <c r="A123" s="35" t="s">
        <v>17</v>
      </c>
      <c r="C123" s="35" t="s">
        <v>17</v>
      </c>
      <c r="D123" s="44"/>
      <c r="E123" s="53">
        <f t="shared" si="12"/>
        <v>2990755</v>
      </c>
      <c r="F123" s="53"/>
      <c r="G123" s="53">
        <v>26072675</v>
      </c>
      <c r="H123" s="53"/>
      <c r="I123" s="53">
        <v>29063430</v>
      </c>
      <c r="J123" s="53"/>
      <c r="K123" s="53">
        <f t="shared" si="13"/>
        <v>1867896</v>
      </c>
      <c r="L123" s="53"/>
      <c r="M123" s="53">
        <v>13729277</v>
      </c>
      <c r="N123" s="53"/>
      <c r="O123" s="53">
        <v>15597173</v>
      </c>
      <c r="P123" s="53"/>
      <c r="Q123" s="53">
        <v>10341869</v>
      </c>
      <c r="R123" s="53"/>
      <c r="S123" s="53">
        <f>1221628+150000+373487</f>
        <v>1745115</v>
      </c>
      <c r="T123" s="53"/>
      <c r="U123" s="53">
        <v>1379273</v>
      </c>
      <c r="V123" s="53"/>
      <c r="W123" s="53">
        <f t="shared" si="21"/>
        <v>13466257</v>
      </c>
      <c r="X123" s="51"/>
      <c r="Y123" s="51"/>
      <c r="Z123" s="35" t="s">
        <v>17</v>
      </c>
      <c r="AA123" s="53"/>
      <c r="AB123" s="35" t="s">
        <v>17</v>
      </c>
      <c r="AD123" s="53">
        <v>7848394</v>
      </c>
      <c r="AE123" s="53"/>
      <c r="AF123" s="53">
        <f>6818968-773445</f>
        <v>6045523</v>
      </c>
      <c r="AG123" s="53"/>
      <c r="AH123" s="53">
        <v>773445</v>
      </c>
      <c r="AI123" s="53"/>
      <c r="AJ123" s="45">
        <f t="shared" si="20"/>
        <v>1029426</v>
      </c>
      <c r="AK123" s="45"/>
      <c r="AL123" s="53">
        <v>-778610</v>
      </c>
      <c r="AM123" s="45"/>
      <c r="AN123" s="53">
        <v>0</v>
      </c>
      <c r="AO123" s="53"/>
      <c r="AP123" s="53">
        <v>0</v>
      </c>
      <c r="AQ123" s="53"/>
      <c r="AR123" s="53">
        <v>0</v>
      </c>
      <c r="AS123" s="53"/>
      <c r="AT123" s="45">
        <f t="shared" si="18"/>
        <v>250816</v>
      </c>
      <c r="AU123" s="45"/>
      <c r="AV123" s="53">
        <v>0</v>
      </c>
      <c r="AW123" s="53"/>
      <c r="AX123" s="53">
        <v>0</v>
      </c>
      <c r="AY123" s="53"/>
      <c r="AZ123" s="53">
        <f t="shared" si="19"/>
        <v>1122859</v>
      </c>
      <c r="BA123" s="51"/>
      <c r="BB123" s="35" t="s">
        <v>17</v>
      </c>
      <c r="BD123" s="35" t="s">
        <v>17</v>
      </c>
      <c r="BE123" s="53"/>
      <c r="BF123" s="53">
        <f>4613535+727250</f>
        <v>5340785</v>
      </c>
      <c r="BG123" s="53"/>
      <c r="BH123" s="53">
        <v>0</v>
      </c>
      <c r="BI123" s="53"/>
      <c r="BJ123" s="53">
        <f>8640059+467553</f>
        <v>9107612</v>
      </c>
      <c r="BK123" s="53"/>
      <c r="BL123" s="53">
        <f>475683+35966</f>
        <v>511649</v>
      </c>
      <c r="BM123" s="53"/>
      <c r="BN123" s="53">
        <f t="shared" si="17"/>
        <v>14960046</v>
      </c>
      <c r="BO123" s="54"/>
      <c r="BS123" s="55"/>
      <c r="BT123" s="55"/>
      <c r="BU123" s="84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</row>
    <row r="124" spans="1:95" s="35" customFormat="1" ht="12.75" customHeight="1">
      <c r="A124" s="35" t="s">
        <v>148</v>
      </c>
      <c r="C124" s="35" t="s">
        <v>15</v>
      </c>
      <c r="D124" s="44"/>
      <c r="E124" s="53">
        <f t="shared" si="12"/>
        <v>1322352</v>
      </c>
      <c r="F124" s="53"/>
      <c r="G124" s="53">
        <v>5763621</v>
      </c>
      <c r="H124" s="53"/>
      <c r="I124" s="53">
        <v>7085973</v>
      </c>
      <c r="J124" s="53"/>
      <c r="K124" s="53">
        <f t="shared" si="13"/>
        <v>364548</v>
      </c>
      <c r="L124" s="53"/>
      <c r="M124" s="53">
        <v>1595685</v>
      </c>
      <c r="N124" s="53"/>
      <c r="O124" s="53">
        <v>1960233</v>
      </c>
      <c r="P124" s="53"/>
      <c r="Q124" s="53">
        <v>4016118</v>
      </c>
      <c r="R124" s="53"/>
      <c r="S124" s="53">
        <v>0</v>
      </c>
      <c r="T124" s="53"/>
      <c r="U124" s="53">
        <v>1109622</v>
      </c>
      <c r="V124" s="53"/>
      <c r="W124" s="53">
        <f t="shared" si="21"/>
        <v>5125740</v>
      </c>
      <c r="Z124" s="35" t="s">
        <v>148</v>
      </c>
      <c r="AA124" s="53"/>
      <c r="AB124" s="35" t="s">
        <v>15</v>
      </c>
      <c r="AD124" s="53">
        <v>797045</v>
      </c>
      <c r="AE124" s="53"/>
      <c r="AF124" s="53">
        <f>946694-203714</f>
        <v>742980</v>
      </c>
      <c r="AG124" s="53"/>
      <c r="AH124" s="53">
        <v>203714</v>
      </c>
      <c r="AI124" s="53"/>
      <c r="AJ124" s="45">
        <f t="shared" si="20"/>
        <v>-149649</v>
      </c>
      <c r="AK124" s="45"/>
      <c r="AL124" s="53">
        <v>328610</v>
      </c>
      <c r="AM124" s="45"/>
      <c r="AN124" s="53">
        <v>0</v>
      </c>
      <c r="AO124" s="53"/>
      <c r="AP124" s="53">
        <v>0</v>
      </c>
      <c r="AQ124" s="53"/>
      <c r="AR124" s="53">
        <v>0</v>
      </c>
      <c r="AS124" s="53"/>
      <c r="AT124" s="45">
        <f t="shared" si="18"/>
        <v>178961</v>
      </c>
      <c r="AU124" s="45"/>
      <c r="AV124" s="53">
        <v>0</v>
      </c>
      <c r="AW124" s="53"/>
      <c r="AX124" s="53">
        <v>0</v>
      </c>
      <c r="AY124" s="53"/>
      <c r="AZ124" s="53">
        <f t="shared" si="19"/>
        <v>957804</v>
      </c>
      <c r="BA124" s="51"/>
      <c r="BB124" s="35" t="s">
        <v>148</v>
      </c>
      <c r="BD124" s="35" t="s">
        <v>15</v>
      </c>
      <c r="BE124" s="53"/>
      <c r="BF124" s="53">
        <f>1103645+115000</f>
        <v>1218645</v>
      </c>
      <c r="BG124" s="53"/>
      <c r="BH124" s="53">
        <v>0</v>
      </c>
      <c r="BI124" s="53"/>
      <c r="BJ124" s="53">
        <f>433296+45013+48292+2257</f>
        <v>528858</v>
      </c>
      <c r="BK124" s="53"/>
      <c r="BL124" s="53">
        <f>13731+22333</f>
        <v>36064</v>
      </c>
      <c r="BM124" s="53"/>
      <c r="BN124" s="53">
        <f t="shared" si="17"/>
        <v>1783567</v>
      </c>
      <c r="BO124" s="54"/>
      <c r="BS124" s="55"/>
      <c r="BT124" s="55"/>
      <c r="BU124" s="84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</row>
    <row r="125" spans="1:95" s="35" customFormat="1" ht="12.75" customHeight="1">
      <c r="A125" s="35" t="s">
        <v>149</v>
      </c>
      <c r="B125" s="51"/>
      <c r="C125" s="35" t="s">
        <v>45</v>
      </c>
      <c r="D125" s="44"/>
      <c r="E125" s="53">
        <f t="shared" si="12"/>
        <v>2846764</v>
      </c>
      <c r="F125" s="53"/>
      <c r="G125" s="53">
        <f>661773+9533051</f>
        <v>10194824</v>
      </c>
      <c r="H125" s="53"/>
      <c r="I125" s="53">
        <v>13041588</v>
      </c>
      <c r="J125" s="53"/>
      <c r="K125" s="53">
        <f t="shared" si="13"/>
        <v>1429121</v>
      </c>
      <c r="L125" s="53"/>
      <c r="M125" s="53">
        <f>122772+1180393</f>
        <v>1303165</v>
      </c>
      <c r="N125" s="53"/>
      <c r="O125" s="53">
        <v>2732286</v>
      </c>
      <c r="P125" s="53"/>
      <c r="Q125" s="53">
        <v>9003501</v>
      </c>
      <c r="R125" s="53"/>
      <c r="S125" s="53">
        <v>0</v>
      </c>
      <c r="T125" s="53"/>
      <c r="U125" s="53">
        <v>1305801</v>
      </c>
      <c r="V125" s="53"/>
      <c r="W125" s="53">
        <f t="shared" si="21"/>
        <v>10309302</v>
      </c>
      <c r="X125" s="51"/>
      <c r="Y125" s="51"/>
      <c r="Z125" s="35" t="s">
        <v>149</v>
      </c>
      <c r="AA125" s="53"/>
      <c r="AB125" s="35" t="s">
        <v>45</v>
      </c>
      <c r="AC125" s="51"/>
      <c r="AD125" s="53">
        <v>1352740</v>
      </c>
      <c r="AE125" s="53"/>
      <c r="AF125" s="53">
        <f>1408131-274506</f>
        <v>1133625</v>
      </c>
      <c r="AG125" s="53"/>
      <c r="AH125" s="53">
        <v>274506</v>
      </c>
      <c r="AI125" s="53"/>
      <c r="AJ125" s="45">
        <f t="shared" si="20"/>
        <v>-55391</v>
      </c>
      <c r="AK125" s="45"/>
      <c r="AL125" s="53">
        <v>312975</v>
      </c>
      <c r="AM125" s="45"/>
      <c r="AN125" s="53">
        <v>0</v>
      </c>
      <c r="AO125" s="53"/>
      <c r="AP125" s="53">
        <v>141930</v>
      </c>
      <c r="AQ125" s="53"/>
      <c r="AR125" s="53">
        <v>0</v>
      </c>
      <c r="AS125" s="53"/>
      <c r="AT125" s="45">
        <f t="shared" si="18"/>
        <v>115654</v>
      </c>
      <c r="AU125" s="45"/>
      <c r="AV125" s="53">
        <v>0</v>
      </c>
      <c r="AW125" s="53"/>
      <c r="AX125" s="53">
        <v>0</v>
      </c>
      <c r="AY125" s="53"/>
      <c r="AZ125" s="53">
        <f t="shared" si="19"/>
        <v>1417643</v>
      </c>
      <c r="BA125" s="51"/>
      <c r="BB125" s="35" t="s">
        <v>149</v>
      </c>
      <c r="BD125" s="35" t="s">
        <v>45</v>
      </c>
      <c r="BE125" s="53"/>
      <c r="BF125" s="53">
        <v>1180393</v>
      </c>
      <c r="BG125" s="53"/>
      <c r="BH125" s="53">
        <v>0</v>
      </c>
      <c r="BI125" s="53"/>
      <c r="BJ125" s="53">
        <v>0</v>
      </c>
      <c r="BK125" s="53"/>
      <c r="BL125" s="53">
        <v>122772</v>
      </c>
      <c r="BM125" s="53"/>
      <c r="BN125" s="53">
        <f t="shared" si="17"/>
        <v>1303165</v>
      </c>
      <c r="BO125" s="54"/>
      <c r="BS125" s="55"/>
      <c r="BT125" s="55"/>
      <c r="BU125" s="84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</row>
    <row r="126" spans="1:95" s="126" customFormat="1" ht="12.75" hidden="1" customHeight="1">
      <c r="A126" s="126" t="s">
        <v>150</v>
      </c>
      <c r="B126" s="124"/>
      <c r="C126" s="126" t="s">
        <v>27</v>
      </c>
      <c r="D126" s="121"/>
      <c r="E126" s="53">
        <f t="shared" si="12"/>
        <v>0</v>
      </c>
      <c r="F126" s="53"/>
      <c r="G126" s="53">
        <v>0</v>
      </c>
      <c r="H126" s="53"/>
      <c r="I126" s="53">
        <v>0</v>
      </c>
      <c r="J126" s="53"/>
      <c r="K126" s="53">
        <f t="shared" si="13"/>
        <v>0</v>
      </c>
      <c r="L126" s="53"/>
      <c r="M126" s="53">
        <v>0</v>
      </c>
      <c r="N126" s="53"/>
      <c r="O126" s="53">
        <v>0</v>
      </c>
      <c r="P126" s="53"/>
      <c r="Q126" s="53">
        <v>0</v>
      </c>
      <c r="R126" s="53"/>
      <c r="S126" s="53">
        <v>0</v>
      </c>
      <c r="T126" s="53"/>
      <c r="U126" s="53">
        <v>0</v>
      </c>
      <c r="V126" s="53"/>
      <c r="W126" s="53">
        <f t="shared" si="21"/>
        <v>0</v>
      </c>
      <c r="X126" s="124"/>
      <c r="Y126" s="124"/>
      <c r="Z126" s="126" t="s">
        <v>150</v>
      </c>
      <c r="AA126" s="137"/>
      <c r="AB126" s="126" t="s">
        <v>27</v>
      </c>
      <c r="AC126" s="124"/>
      <c r="AD126" s="53">
        <v>0</v>
      </c>
      <c r="AE126" s="53"/>
      <c r="AF126" s="53">
        <v>0</v>
      </c>
      <c r="AG126" s="53"/>
      <c r="AH126" s="53">
        <v>0</v>
      </c>
      <c r="AI126" s="53"/>
      <c r="AJ126" s="45">
        <f t="shared" si="20"/>
        <v>0</v>
      </c>
      <c r="AK126" s="45"/>
      <c r="AL126" s="53">
        <v>0</v>
      </c>
      <c r="AM126" s="45"/>
      <c r="AN126" s="53">
        <v>0</v>
      </c>
      <c r="AO126" s="53"/>
      <c r="AP126" s="53">
        <v>0</v>
      </c>
      <c r="AQ126" s="53"/>
      <c r="AR126" s="53">
        <v>0</v>
      </c>
      <c r="AS126" s="53"/>
      <c r="AT126" s="45">
        <f t="shared" si="18"/>
        <v>0</v>
      </c>
      <c r="AU126" s="45"/>
      <c r="AV126" s="53">
        <v>0</v>
      </c>
      <c r="AW126" s="53"/>
      <c r="AX126" s="53">
        <v>0</v>
      </c>
      <c r="AY126" s="53"/>
      <c r="AZ126" s="53">
        <f t="shared" si="19"/>
        <v>0</v>
      </c>
      <c r="BA126" s="124"/>
      <c r="BB126" s="126" t="s">
        <v>150</v>
      </c>
      <c r="BD126" s="126" t="s">
        <v>27</v>
      </c>
      <c r="BE126" s="137"/>
      <c r="BF126" s="53">
        <v>0</v>
      </c>
      <c r="BG126" s="53"/>
      <c r="BH126" s="53">
        <v>0</v>
      </c>
      <c r="BI126" s="53"/>
      <c r="BJ126" s="53">
        <v>0</v>
      </c>
      <c r="BK126" s="53"/>
      <c r="BL126" s="53">
        <v>0</v>
      </c>
      <c r="BM126" s="137"/>
      <c r="BN126" s="137">
        <f t="shared" si="17"/>
        <v>0</v>
      </c>
      <c r="BO126" s="139"/>
      <c r="BS126" s="140"/>
      <c r="BT126" s="140"/>
      <c r="BU126" s="141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</row>
    <row r="127" spans="1:95" s="126" customFormat="1" ht="12.75" hidden="1" customHeight="1">
      <c r="A127" s="126" t="s">
        <v>151</v>
      </c>
      <c r="B127" s="124"/>
      <c r="C127" s="126" t="s">
        <v>13</v>
      </c>
      <c r="D127" s="121"/>
      <c r="E127" s="53">
        <f t="shared" si="12"/>
        <v>0</v>
      </c>
      <c r="F127" s="53"/>
      <c r="G127" s="53">
        <v>0</v>
      </c>
      <c r="H127" s="53"/>
      <c r="I127" s="53">
        <v>0</v>
      </c>
      <c r="J127" s="53"/>
      <c r="K127" s="53">
        <f t="shared" si="13"/>
        <v>0</v>
      </c>
      <c r="L127" s="53"/>
      <c r="M127" s="53">
        <v>0</v>
      </c>
      <c r="N127" s="53"/>
      <c r="O127" s="53">
        <v>0</v>
      </c>
      <c r="P127" s="53"/>
      <c r="Q127" s="53">
        <v>0</v>
      </c>
      <c r="R127" s="53"/>
      <c r="S127" s="53">
        <v>0</v>
      </c>
      <c r="T127" s="53"/>
      <c r="U127" s="53">
        <v>0</v>
      </c>
      <c r="V127" s="53"/>
      <c r="W127" s="53">
        <f t="shared" si="21"/>
        <v>0</v>
      </c>
      <c r="X127" s="124"/>
      <c r="Y127" s="124"/>
      <c r="Z127" s="126" t="s">
        <v>151</v>
      </c>
      <c r="AA127" s="137"/>
      <c r="AB127" s="126" t="s">
        <v>13</v>
      </c>
      <c r="AC127" s="124"/>
      <c r="AD127" s="53">
        <v>0</v>
      </c>
      <c r="AE127" s="53"/>
      <c r="AF127" s="53">
        <v>0</v>
      </c>
      <c r="AG127" s="53"/>
      <c r="AH127" s="53">
        <v>0</v>
      </c>
      <c r="AI127" s="53"/>
      <c r="AJ127" s="45">
        <f t="shared" si="20"/>
        <v>0</v>
      </c>
      <c r="AK127" s="45"/>
      <c r="AL127" s="53">
        <v>0</v>
      </c>
      <c r="AM127" s="45"/>
      <c r="AN127" s="53">
        <v>0</v>
      </c>
      <c r="AO127" s="53"/>
      <c r="AP127" s="53">
        <v>0</v>
      </c>
      <c r="AQ127" s="53"/>
      <c r="AR127" s="53">
        <v>0</v>
      </c>
      <c r="AS127" s="53"/>
      <c r="AT127" s="45">
        <f t="shared" si="18"/>
        <v>0</v>
      </c>
      <c r="AU127" s="45"/>
      <c r="AV127" s="53">
        <v>0</v>
      </c>
      <c r="AW127" s="53"/>
      <c r="AX127" s="53">
        <v>0</v>
      </c>
      <c r="AY127" s="53"/>
      <c r="AZ127" s="53">
        <f t="shared" si="19"/>
        <v>0</v>
      </c>
      <c r="BA127" s="124"/>
      <c r="BB127" s="126" t="s">
        <v>151</v>
      </c>
      <c r="BD127" s="126" t="s">
        <v>13</v>
      </c>
      <c r="BE127" s="137"/>
      <c r="BF127" s="53">
        <v>0</v>
      </c>
      <c r="BG127" s="53"/>
      <c r="BH127" s="53">
        <v>0</v>
      </c>
      <c r="BI127" s="53"/>
      <c r="BJ127" s="53">
        <v>0</v>
      </c>
      <c r="BK127" s="53"/>
      <c r="BL127" s="53">
        <v>0</v>
      </c>
      <c r="BM127" s="137"/>
      <c r="BN127" s="137">
        <f t="shared" si="17"/>
        <v>0</v>
      </c>
      <c r="BO127" s="139"/>
      <c r="BS127" s="140"/>
      <c r="BT127" s="140"/>
      <c r="BU127" s="141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</row>
    <row r="128" spans="1:95" s="35" customFormat="1" ht="12.75" customHeight="1">
      <c r="A128" s="35" t="s">
        <v>152</v>
      </c>
      <c r="B128" s="51"/>
      <c r="C128" s="35" t="s">
        <v>153</v>
      </c>
      <c r="D128" s="44"/>
      <c r="E128" s="53">
        <f t="shared" si="12"/>
        <v>3014244</v>
      </c>
      <c r="F128" s="53"/>
      <c r="G128" s="53">
        <v>11234323</v>
      </c>
      <c r="H128" s="53"/>
      <c r="I128" s="53">
        <v>14248567</v>
      </c>
      <c r="J128" s="53"/>
      <c r="K128" s="53">
        <f t="shared" si="13"/>
        <v>917359</v>
      </c>
      <c r="L128" s="53"/>
      <c r="M128" s="53">
        <v>1740047</v>
      </c>
      <c r="N128" s="53"/>
      <c r="O128" s="53">
        <v>2657406</v>
      </c>
      <c r="P128" s="53"/>
      <c r="Q128" s="53">
        <v>9508965</v>
      </c>
      <c r="R128" s="53"/>
      <c r="S128" s="53">
        <v>0</v>
      </c>
      <c r="T128" s="53"/>
      <c r="U128" s="53">
        <v>2082196</v>
      </c>
      <c r="V128" s="53"/>
      <c r="W128" s="53">
        <f t="shared" si="21"/>
        <v>11591161</v>
      </c>
      <c r="X128" s="51"/>
      <c r="Y128" s="51"/>
      <c r="Z128" s="35" t="s">
        <v>152</v>
      </c>
      <c r="AA128" s="53"/>
      <c r="AB128" s="35" t="s">
        <v>153</v>
      </c>
      <c r="AC128" s="51"/>
      <c r="AD128" s="53">
        <v>7088115</v>
      </c>
      <c r="AE128" s="53"/>
      <c r="AF128" s="53">
        <f>7909859-653362</f>
        <v>7256497</v>
      </c>
      <c r="AG128" s="53"/>
      <c r="AH128" s="53">
        <v>653362</v>
      </c>
      <c r="AI128" s="53"/>
      <c r="AJ128" s="45">
        <f t="shared" si="20"/>
        <v>-821744</v>
      </c>
      <c r="AK128" s="45"/>
      <c r="AL128" s="53">
        <v>-14468</v>
      </c>
      <c r="AM128" s="45"/>
      <c r="AN128" s="53">
        <v>0</v>
      </c>
      <c r="AO128" s="53"/>
      <c r="AP128" s="53">
        <v>0</v>
      </c>
      <c r="AQ128" s="53"/>
      <c r="AR128" s="53">
        <v>789598</v>
      </c>
      <c r="AS128" s="53"/>
      <c r="AT128" s="45">
        <f t="shared" si="18"/>
        <v>-46614</v>
      </c>
      <c r="AU128" s="45"/>
      <c r="AV128" s="53">
        <v>0</v>
      </c>
      <c r="AW128" s="53"/>
      <c r="AX128" s="53">
        <v>0</v>
      </c>
      <c r="AY128" s="53"/>
      <c r="AZ128" s="53">
        <f t="shared" si="19"/>
        <v>2096885</v>
      </c>
      <c r="BA128" s="51"/>
      <c r="BB128" s="35" t="s">
        <v>152</v>
      </c>
      <c r="BD128" s="35" t="s">
        <v>153</v>
      </c>
      <c r="BE128" s="53"/>
      <c r="BF128" s="53">
        <v>903429</v>
      </c>
      <c r="BG128" s="53"/>
      <c r="BH128" s="53">
        <v>0</v>
      </c>
      <c r="BI128" s="53"/>
      <c r="BJ128" s="53">
        <v>255358</v>
      </c>
      <c r="BK128" s="53"/>
      <c r="BL128" s="53">
        <v>581260</v>
      </c>
      <c r="BM128" s="53"/>
      <c r="BN128" s="53">
        <f t="shared" si="17"/>
        <v>1740047</v>
      </c>
      <c r="BO128" s="54"/>
      <c r="BS128" s="55"/>
      <c r="BT128" s="55"/>
      <c r="BU128" s="84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</row>
    <row r="129" spans="1:95" s="126" customFormat="1" ht="12.75" hidden="1" customHeight="1">
      <c r="A129" s="126" t="s">
        <v>154</v>
      </c>
      <c r="B129" s="124"/>
      <c r="C129" s="126" t="s">
        <v>27</v>
      </c>
      <c r="D129" s="121"/>
      <c r="E129" s="53">
        <f t="shared" si="12"/>
        <v>0</v>
      </c>
      <c r="F129" s="53"/>
      <c r="G129" s="53">
        <v>0</v>
      </c>
      <c r="H129" s="53"/>
      <c r="I129" s="53">
        <v>0</v>
      </c>
      <c r="J129" s="53"/>
      <c r="K129" s="53">
        <f t="shared" si="13"/>
        <v>0</v>
      </c>
      <c r="L129" s="53"/>
      <c r="M129" s="53">
        <v>0</v>
      </c>
      <c r="N129" s="53"/>
      <c r="O129" s="53">
        <v>0</v>
      </c>
      <c r="P129" s="53"/>
      <c r="Q129" s="53">
        <v>0</v>
      </c>
      <c r="R129" s="53"/>
      <c r="S129" s="53">
        <v>0</v>
      </c>
      <c r="T129" s="53"/>
      <c r="U129" s="53">
        <v>0</v>
      </c>
      <c r="V129" s="53"/>
      <c r="W129" s="53">
        <f t="shared" si="21"/>
        <v>0</v>
      </c>
      <c r="X129" s="124"/>
      <c r="Y129" s="124"/>
      <c r="Z129" s="126" t="s">
        <v>154</v>
      </c>
      <c r="AA129" s="137"/>
      <c r="AB129" s="126" t="s">
        <v>27</v>
      </c>
      <c r="AC129" s="124"/>
      <c r="AD129" s="53">
        <v>0</v>
      </c>
      <c r="AE129" s="53"/>
      <c r="AF129" s="53">
        <v>0</v>
      </c>
      <c r="AG129" s="53"/>
      <c r="AH129" s="53">
        <v>0</v>
      </c>
      <c r="AI129" s="53"/>
      <c r="AJ129" s="45">
        <f t="shared" si="20"/>
        <v>0</v>
      </c>
      <c r="AK129" s="45"/>
      <c r="AL129" s="53">
        <v>0</v>
      </c>
      <c r="AM129" s="45"/>
      <c r="AN129" s="53">
        <v>0</v>
      </c>
      <c r="AO129" s="53"/>
      <c r="AP129" s="53">
        <v>0</v>
      </c>
      <c r="AQ129" s="53"/>
      <c r="AR129" s="53">
        <v>0</v>
      </c>
      <c r="AS129" s="53"/>
      <c r="AT129" s="45">
        <f t="shared" si="18"/>
        <v>0</v>
      </c>
      <c r="AU129" s="45"/>
      <c r="AV129" s="53">
        <v>0</v>
      </c>
      <c r="AW129" s="53"/>
      <c r="AX129" s="53">
        <v>0</v>
      </c>
      <c r="AY129" s="53"/>
      <c r="AZ129" s="53">
        <f t="shared" si="19"/>
        <v>0</v>
      </c>
      <c r="BA129" s="124"/>
      <c r="BB129" s="126" t="s">
        <v>154</v>
      </c>
      <c r="BD129" s="126" t="s">
        <v>27</v>
      </c>
      <c r="BE129" s="137"/>
      <c r="BF129" s="53">
        <v>0</v>
      </c>
      <c r="BG129" s="53"/>
      <c r="BH129" s="53">
        <v>0</v>
      </c>
      <c r="BI129" s="53"/>
      <c r="BJ129" s="53">
        <v>0</v>
      </c>
      <c r="BK129" s="53"/>
      <c r="BL129" s="53">
        <v>0</v>
      </c>
      <c r="BM129" s="137"/>
      <c r="BN129" s="137">
        <f t="shared" si="17"/>
        <v>0</v>
      </c>
      <c r="BO129" s="139"/>
      <c r="BS129" s="140"/>
      <c r="BT129" s="140"/>
      <c r="BU129" s="141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</row>
    <row r="130" spans="1:95" s="35" customFormat="1" ht="12.75" customHeight="1">
      <c r="A130" s="35" t="s">
        <v>155</v>
      </c>
      <c r="C130" s="35" t="s">
        <v>40</v>
      </c>
      <c r="D130" s="44"/>
      <c r="E130" s="53">
        <f t="shared" si="12"/>
        <v>3137617</v>
      </c>
      <c r="F130" s="53"/>
      <c r="G130" s="53">
        <v>7112184</v>
      </c>
      <c r="H130" s="53"/>
      <c r="I130" s="53">
        <v>10249801</v>
      </c>
      <c r="J130" s="53"/>
      <c r="K130" s="53">
        <f t="shared" si="13"/>
        <v>478597</v>
      </c>
      <c r="L130" s="53"/>
      <c r="M130" s="53">
        <v>953305</v>
      </c>
      <c r="N130" s="53"/>
      <c r="O130" s="53">
        <v>1431902</v>
      </c>
      <c r="P130" s="53"/>
      <c r="Q130" s="53">
        <v>6178491</v>
      </c>
      <c r="R130" s="53"/>
      <c r="S130" s="53">
        <v>0</v>
      </c>
      <c r="T130" s="53"/>
      <c r="U130" s="53">
        <v>2639408</v>
      </c>
      <c r="V130" s="53"/>
      <c r="W130" s="53">
        <f t="shared" si="21"/>
        <v>8817899</v>
      </c>
      <c r="Z130" s="35" t="s">
        <v>155</v>
      </c>
      <c r="AA130" s="53"/>
      <c r="AB130" s="35" t="s">
        <v>40</v>
      </c>
      <c r="AD130" s="53">
        <v>2572982</v>
      </c>
      <c r="AE130" s="53"/>
      <c r="AF130" s="53">
        <f>2549623-485583</f>
        <v>2064040</v>
      </c>
      <c r="AG130" s="53"/>
      <c r="AH130" s="53">
        <v>485583</v>
      </c>
      <c r="AI130" s="53"/>
      <c r="AJ130" s="45">
        <f t="shared" si="20"/>
        <v>23359</v>
      </c>
      <c r="AK130" s="45"/>
      <c r="AL130" s="53">
        <v>-53588</v>
      </c>
      <c r="AM130" s="45"/>
      <c r="AN130" s="53">
        <v>0</v>
      </c>
      <c r="AO130" s="53"/>
      <c r="AP130" s="53">
        <v>0</v>
      </c>
      <c r="AQ130" s="53"/>
      <c r="AR130" s="53">
        <v>0</v>
      </c>
      <c r="AS130" s="53"/>
      <c r="AT130" s="45">
        <f t="shared" si="18"/>
        <v>-30229</v>
      </c>
      <c r="AU130" s="45"/>
      <c r="AV130" s="53">
        <v>0</v>
      </c>
      <c r="AW130" s="53"/>
      <c r="AX130" s="53">
        <v>0</v>
      </c>
      <c r="AY130" s="53"/>
      <c r="AZ130" s="53">
        <f t="shared" si="19"/>
        <v>2659020</v>
      </c>
      <c r="BA130" s="65"/>
      <c r="BB130" s="35" t="s">
        <v>155</v>
      </c>
      <c r="BD130" s="35" t="s">
        <v>40</v>
      </c>
      <c r="BE130" s="53"/>
      <c r="BF130" s="53">
        <v>0</v>
      </c>
      <c r="BG130" s="53"/>
      <c r="BH130" s="53">
        <v>0</v>
      </c>
      <c r="BI130" s="53"/>
      <c r="BJ130" s="53">
        <f>287214+521065+11058+114356</f>
        <v>933693</v>
      </c>
      <c r="BK130" s="53"/>
      <c r="BL130" s="53">
        <f>93137+51889</f>
        <v>145026</v>
      </c>
      <c r="BM130" s="53"/>
      <c r="BN130" s="53">
        <f t="shared" si="17"/>
        <v>1078719</v>
      </c>
      <c r="BO130" s="54"/>
      <c r="BS130" s="55"/>
      <c r="BT130" s="55"/>
      <c r="BU130" s="84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</row>
    <row r="131" spans="1:95" s="126" customFormat="1" ht="12.75" hidden="1" customHeight="1">
      <c r="A131" s="126" t="s">
        <v>156</v>
      </c>
      <c r="B131" s="124"/>
      <c r="C131" s="126" t="s">
        <v>156</v>
      </c>
      <c r="D131" s="121"/>
      <c r="E131" s="53">
        <f t="shared" si="12"/>
        <v>0</v>
      </c>
      <c r="F131" s="53"/>
      <c r="G131" s="53">
        <v>0</v>
      </c>
      <c r="H131" s="53"/>
      <c r="I131" s="53">
        <v>0</v>
      </c>
      <c r="J131" s="53"/>
      <c r="K131" s="53">
        <f t="shared" si="13"/>
        <v>0</v>
      </c>
      <c r="L131" s="53"/>
      <c r="M131" s="53">
        <v>0</v>
      </c>
      <c r="N131" s="53"/>
      <c r="O131" s="53">
        <v>0</v>
      </c>
      <c r="P131" s="53"/>
      <c r="Q131" s="53">
        <v>0</v>
      </c>
      <c r="R131" s="53"/>
      <c r="S131" s="53">
        <v>0</v>
      </c>
      <c r="T131" s="53"/>
      <c r="U131" s="53">
        <v>0</v>
      </c>
      <c r="V131" s="53"/>
      <c r="W131" s="53">
        <f t="shared" si="21"/>
        <v>0</v>
      </c>
      <c r="X131" s="124"/>
      <c r="Y131" s="124"/>
      <c r="Z131" s="126" t="s">
        <v>156</v>
      </c>
      <c r="AA131" s="137"/>
      <c r="AB131" s="126" t="s">
        <v>156</v>
      </c>
      <c r="AC131" s="124"/>
      <c r="AD131" s="53">
        <v>0</v>
      </c>
      <c r="AE131" s="53"/>
      <c r="AF131" s="53">
        <v>0</v>
      </c>
      <c r="AG131" s="53"/>
      <c r="AH131" s="53">
        <v>0</v>
      </c>
      <c r="AI131" s="53"/>
      <c r="AJ131" s="45">
        <f t="shared" si="20"/>
        <v>0</v>
      </c>
      <c r="AK131" s="45"/>
      <c r="AL131" s="53">
        <v>0</v>
      </c>
      <c r="AM131" s="45"/>
      <c r="AN131" s="53">
        <v>0</v>
      </c>
      <c r="AO131" s="53"/>
      <c r="AP131" s="53">
        <v>0</v>
      </c>
      <c r="AQ131" s="53"/>
      <c r="AR131" s="53">
        <v>0</v>
      </c>
      <c r="AS131" s="53"/>
      <c r="AT131" s="45">
        <f t="shared" si="18"/>
        <v>0</v>
      </c>
      <c r="AU131" s="45"/>
      <c r="AV131" s="53">
        <v>0</v>
      </c>
      <c r="AW131" s="53"/>
      <c r="AX131" s="53">
        <v>0</v>
      </c>
      <c r="AY131" s="53"/>
      <c r="AZ131" s="53">
        <f t="shared" si="19"/>
        <v>0</v>
      </c>
      <c r="BA131" s="124"/>
      <c r="BB131" s="126" t="s">
        <v>156</v>
      </c>
      <c r="BD131" s="126" t="s">
        <v>156</v>
      </c>
      <c r="BE131" s="137"/>
      <c r="BF131" s="53">
        <v>0</v>
      </c>
      <c r="BG131" s="53"/>
      <c r="BH131" s="53">
        <v>0</v>
      </c>
      <c r="BI131" s="53"/>
      <c r="BJ131" s="53">
        <v>0</v>
      </c>
      <c r="BK131" s="53"/>
      <c r="BL131" s="53">
        <v>0</v>
      </c>
      <c r="BM131" s="137"/>
      <c r="BN131" s="137">
        <f t="shared" si="17"/>
        <v>0</v>
      </c>
      <c r="BO131" s="139"/>
      <c r="BS131" s="140"/>
      <c r="BT131" s="140"/>
      <c r="BU131" s="141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</row>
    <row r="132" spans="1:95" s="35" customFormat="1" ht="12.75" customHeight="1">
      <c r="A132" s="35" t="s">
        <v>157</v>
      </c>
      <c r="B132" s="51"/>
      <c r="C132" s="35" t="s">
        <v>33</v>
      </c>
      <c r="D132" s="44"/>
      <c r="E132" s="53">
        <f t="shared" si="12"/>
        <v>477125</v>
      </c>
      <c r="F132" s="53"/>
      <c r="G132" s="53">
        <v>13366110</v>
      </c>
      <c r="H132" s="53"/>
      <c r="I132" s="53">
        <v>13843235</v>
      </c>
      <c r="J132" s="53"/>
      <c r="K132" s="53">
        <f t="shared" si="13"/>
        <v>755301</v>
      </c>
      <c r="L132" s="53"/>
      <c r="M132" s="53">
        <v>8539858</v>
      </c>
      <c r="N132" s="53"/>
      <c r="O132" s="53">
        <v>9295159</v>
      </c>
      <c r="P132" s="53"/>
      <c r="Q132" s="53">
        <v>4288058</v>
      </c>
      <c r="R132" s="53"/>
      <c r="S132" s="53">
        <v>0</v>
      </c>
      <c r="T132" s="53"/>
      <c r="U132" s="53">
        <v>260018</v>
      </c>
      <c r="V132" s="53"/>
      <c r="W132" s="53">
        <f t="shared" si="21"/>
        <v>4548076</v>
      </c>
      <c r="X132" s="51"/>
      <c r="Y132" s="51"/>
      <c r="Z132" s="35" t="s">
        <v>157</v>
      </c>
      <c r="AA132" s="53"/>
      <c r="AB132" s="35" t="s">
        <v>33</v>
      </c>
      <c r="AC132" s="51"/>
      <c r="AD132" s="53">
        <v>2803282</v>
      </c>
      <c r="AE132" s="53"/>
      <c r="AF132" s="53">
        <f>2488160-572312</f>
        <v>1915848</v>
      </c>
      <c r="AG132" s="53"/>
      <c r="AH132" s="53">
        <v>572312</v>
      </c>
      <c r="AI132" s="53"/>
      <c r="AJ132" s="45">
        <f t="shared" si="20"/>
        <v>315122</v>
      </c>
      <c r="AK132" s="45"/>
      <c r="AL132" s="53">
        <v>-158050</v>
      </c>
      <c r="AM132" s="45"/>
      <c r="AN132" s="53">
        <v>0</v>
      </c>
      <c r="AO132" s="53"/>
      <c r="AP132" s="53">
        <v>0</v>
      </c>
      <c r="AQ132" s="53"/>
      <c r="AR132" s="53">
        <v>132777</v>
      </c>
      <c r="AS132" s="53"/>
      <c r="AT132" s="45">
        <f t="shared" si="18"/>
        <v>289849</v>
      </c>
      <c r="AU132" s="45"/>
      <c r="AV132" s="53">
        <v>0</v>
      </c>
      <c r="AW132" s="53"/>
      <c r="AX132" s="53">
        <v>0</v>
      </c>
      <c r="AY132" s="53"/>
      <c r="AZ132" s="53">
        <f t="shared" si="19"/>
        <v>-278176</v>
      </c>
      <c r="BA132" s="51"/>
      <c r="BB132" s="35" t="s">
        <v>157</v>
      </c>
      <c r="BD132" s="35" t="s">
        <v>33</v>
      </c>
      <c r="BE132" s="53"/>
      <c r="BF132" s="53">
        <v>0</v>
      </c>
      <c r="BG132" s="53"/>
      <c r="BH132" s="53">
        <v>0</v>
      </c>
      <c r="BI132" s="53"/>
      <c r="BJ132" s="53">
        <f>732762+7694374+34845+571870</f>
        <v>9033851</v>
      </c>
      <c r="BK132" s="53"/>
      <c r="BL132" s="53">
        <f>37520+75202</f>
        <v>112722</v>
      </c>
      <c r="BM132" s="53"/>
      <c r="BN132" s="53">
        <f t="shared" si="17"/>
        <v>9146573</v>
      </c>
      <c r="BO132" s="54"/>
      <c r="BS132" s="55"/>
      <c r="BT132" s="55"/>
      <c r="BU132" s="84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</row>
    <row r="133" spans="1:95" s="35" customFormat="1" ht="12.75" customHeight="1">
      <c r="A133" s="35" t="s">
        <v>158</v>
      </c>
      <c r="B133" s="51"/>
      <c r="C133" s="35" t="s">
        <v>159</v>
      </c>
      <c r="D133" s="44"/>
      <c r="E133" s="53">
        <f t="shared" si="12"/>
        <v>19781362</v>
      </c>
      <c r="F133" s="53"/>
      <c r="G133" s="53">
        <v>38421982</v>
      </c>
      <c r="H133" s="53"/>
      <c r="I133" s="53">
        <v>58203344</v>
      </c>
      <c r="J133" s="53"/>
      <c r="K133" s="53">
        <f t="shared" si="13"/>
        <v>1522533</v>
      </c>
      <c r="L133" s="53"/>
      <c r="M133" s="53">
        <v>32627875</v>
      </c>
      <c r="N133" s="53"/>
      <c r="O133" s="53">
        <v>34150408</v>
      </c>
      <c r="P133" s="53"/>
      <c r="Q133" s="53">
        <v>7470951</v>
      </c>
      <c r="R133" s="53"/>
      <c r="S133" s="53">
        <v>6704888</v>
      </c>
      <c r="T133" s="53"/>
      <c r="U133" s="53">
        <v>9877097</v>
      </c>
      <c r="V133" s="53"/>
      <c r="W133" s="53">
        <f t="shared" si="21"/>
        <v>24052936</v>
      </c>
      <c r="X133" s="51"/>
      <c r="Y133" s="51"/>
      <c r="Z133" s="35" t="s">
        <v>158</v>
      </c>
      <c r="AA133" s="53"/>
      <c r="AB133" s="35" t="s">
        <v>159</v>
      </c>
      <c r="AC133" s="51"/>
      <c r="AD133" s="53">
        <v>6827003</v>
      </c>
      <c r="AE133" s="53"/>
      <c r="AF133" s="53">
        <f>4120725-989971</f>
        <v>3130754</v>
      </c>
      <c r="AG133" s="53"/>
      <c r="AH133" s="53">
        <v>989971</v>
      </c>
      <c r="AI133" s="53"/>
      <c r="AJ133" s="45">
        <f t="shared" si="20"/>
        <v>2706278</v>
      </c>
      <c r="AK133" s="45"/>
      <c r="AL133" s="53">
        <v>-500153</v>
      </c>
      <c r="AM133" s="45"/>
      <c r="AN133" s="53">
        <v>0</v>
      </c>
      <c r="AO133" s="53"/>
      <c r="AP133" s="53">
        <v>49691</v>
      </c>
      <c r="AQ133" s="53"/>
      <c r="AR133" s="53">
        <v>0</v>
      </c>
      <c r="AS133" s="53"/>
      <c r="AT133" s="45">
        <f t="shared" si="18"/>
        <v>2156434</v>
      </c>
      <c r="AU133" s="45"/>
      <c r="AV133" s="53">
        <v>0</v>
      </c>
      <c r="AW133" s="53"/>
      <c r="AX133" s="53">
        <v>0</v>
      </c>
      <c r="AY133" s="53"/>
      <c r="AZ133" s="53">
        <f t="shared" si="19"/>
        <v>18258829</v>
      </c>
      <c r="BA133" s="51"/>
      <c r="BB133" s="35" t="s">
        <v>158</v>
      </c>
      <c r="BD133" s="35" t="s">
        <v>159</v>
      </c>
      <c r="BE133" s="53"/>
      <c r="BF133" s="53">
        <f>730182+206282</f>
        <v>936464</v>
      </c>
      <c r="BG133" s="53"/>
      <c r="BH133" s="53">
        <f>30120375+692438</f>
        <v>30812813</v>
      </c>
      <c r="BI133" s="53"/>
      <c r="BJ133" s="53">
        <v>0</v>
      </c>
      <c r="BK133" s="53"/>
      <c r="BL133" s="53">
        <f>1710100+67218+71031</f>
        <v>1848349</v>
      </c>
      <c r="BM133" s="53"/>
      <c r="BN133" s="53">
        <f t="shared" si="17"/>
        <v>33597626</v>
      </c>
      <c r="BO133" s="54"/>
      <c r="BS133" s="55"/>
      <c r="BT133" s="55"/>
      <c r="BU133" s="84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</row>
    <row r="134" spans="1:95" s="35" customFormat="1" ht="12.75" hidden="1" customHeight="1">
      <c r="A134" s="35" t="s">
        <v>160</v>
      </c>
      <c r="B134" s="51"/>
      <c r="C134" s="35" t="s">
        <v>111</v>
      </c>
      <c r="D134" s="44"/>
      <c r="E134" s="53">
        <f t="shared" si="12"/>
        <v>0</v>
      </c>
      <c r="F134" s="53"/>
      <c r="G134" s="53">
        <v>0</v>
      </c>
      <c r="H134" s="53"/>
      <c r="I134" s="53">
        <v>0</v>
      </c>
      <c r="J134" s="53"/>
      <c r="K134" s="53">
        <f t="shared" si="13"/>
        <v>0</v>
      </c>
      <c r="L134" s="53"/>
      <c r="M134" s="53">
        <v>0</v>
      </c>
      <c r="N134" s="53"/>
      <c r="O134" s="53">
        <v>0</v>
      </c>
      <c r="P134" s="53"/>
      <c r="Q134" s="53">
        <v>0</v>
      </c>
      <c r="R134" s="53"/>
      <c r="S134" s="53">
        <v>0</v>
      </c>
      <c r="T134" s="53"/>
      <c r="U134" s="53">
        <v>0</v>
      </c>
      <c r="V134" s="53"/>
      <c r="W134" s="53">
        <f t="shared" si="21"/>
        <v>0</v>
      </c>
      <c r="X134" s="51"/>
      <c r="Y134" s="51"/>
      <c r="Z134" s="35" t="s">
        <v>160</v>
      </c>
      <c r="AA134" s="53"/>
      <c r="AB134" s="35" t="s">
        <v>111</v>
      </c>
      <c r="AC134" s="51"/>
      <c r="AD134" s="53">
        <v>0</v>
      </c>
      <c r="AE134" s="53"/>
      <c r="AF134" s="53">
        <v>0</v>
      </c>
      <c r="AG134" s="53"/>
      <c r="AH134" s="53">
        <v>0</v>
      </c>
      <c r="AI134" s="53"/>
      <c r="AJ134" s="45">
        <f t="shared" si="20"/>
        <v>0</v>
      </c>
      <c r="AK134" s="45"/>
      <c r="AL134" s="53">
        <v>0</v>
      </c>
      <c r="AM134" s="45"/>
      <c r="AN134" s="53">
        <v>0</v>
      </c>
      <c r="AO134" s="53"/>
      <c r="AP134" s="53">
        <v>0</v>
      </c>
      <c r="AQ134" s="53"/>
      <c r="AR134" s="53">
        <v>0</v>
      </c>
      <c r="AS134" s="53"/>
      <c r="AT134" s="45">
        <f t="shared" si="18"/>
        <v>0</v>
      </c>
      <c r="AU134" s="45"/>
      <c r="AV134" s="53">
        <v>0</v>
      </c>
      <c r="AW134" s="53"/>
      <c r="AX134" s="53">
        <v>0</v>
      </c>
      <c r="AY134" s="53"/>
      <c r="AZ134" s="53">
        <f t="shared" si="19"/>
        <v>0</v>
      </c>
      <c r="BA134" s="51"/>
      <c r="BB134" s="35" t="s">
        <v>160</v>
      </c>
      <c r="BD134" s="35" t="s">
        <v>111</v>
      </c>
      <c r="BE134" s="53"/>
      <c r="BF134" s="53">
        <v>0</v>
      </c>
      <c r="BG134" s="53"/>
      <c r="BH134" s="53">
        <v>0</v>
      </c>
      <c r="BI134" s="53"/>
      <c r="BJ134" s="53">
        <v>0</v>
      </c>
      <c r="BK134" s="53"/>
      <c r="BL134" s="53">
        <v>0</v>
      </c>
      <c r="BM134" s="53"/>
      <c r="BN134" s="53">
        <f t="shared" si="17"/>
        <v>0</v>
      </c>
      <c r="BO134" s="54"/>
      <c r="BS134" s="55"/>
      <c r="BT134" s="55"/>
      <c r="BU134" s="84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</row>
    <row r="135" spans="1:95" s="126" customFormat="1" ht="12.75" hidden="1" customHeight="1">
      <c r="A135" s="126" t="s">
        <v>161</v>
      </c>
      <c r="B135" s="124"/>
      <c r="C135" s="126" t="s">
        <v>15</v>
      </c>
      <c r="D135" s="121"/>
      <c r="E135" s="53">
        <f t="shared" si="12"/>
        <v>0</v>
      </c>
      <c r="F135" s="53"/>
      <c r="G135" s="53">
        <v>0</v>
      </c>
      <c r="H135" s="53"/>
      <c r="I135" s="53">
        <v>0</v>
      </c>
      <c r="J135" s="53"/>
      <c r="K135" s="53">
        <f t="shared" si="13"/>
        <v>0</v>
      </c>
      <c r="L135" s="53"/>
      <c r="M135" s="53">
        <v>0</v>
      </c>
      <c r="N135" s="53"/>
      <c r="O135" s="53">
        <v>0</v>
      </c>
      <c r="P135" s="53"/>
      <c r="Q135" s="53">
        <v>0</v>
      </c>
      <c r="R135" s="53"/>
      <c r="S135" s="53">
        <v>0</v>
      </c>
      <c r="T135" s="53"/>
      <c r="U135" s="53">
        <v>0</v>
      </c>
      <c r="V135" s="53"/>
      <c r="W135" s="53">
        <f t="shared" si="21"/>
        <v>0</v>
      </c>
      <c r="X135" s="124"/>
      <c r="Y135" s="124"/>
      <c r="Z135" s="126" t="s">
        <v>161</v>
      </c>
      <c r="AA135" s="137"/>
      <c r="AB135" s="126" t="s">
        <v>15</v>
      </c>
      <c r="AC135" s="124"/>
      <c r="AD135" s="53">
        <v>0</v>
      </c>
      <c r="AE135" s="53"/>
      <c r="AF135" s="53">
        <v>0</v>
      </c>
      <c r="AG135" s="53"/>
      <c r="AH135" s="53">
        <v>0</v>
      </c>
      <c r="AI135" s="53"/>
      <c r="AJ135" s="45">
        <f t="shared" si="20"/>
        <v>0</v>
      </c>
      <c r="AK135" s="45"/>
      <c r="AL135" s="53">
        <v>0</v>
      </c>
      <c r="AM135" s="45"/>
      <c r="AN135" s="53">
        <v>0</v>
      </c>
      <c r="AO135" s="53"/>
      <c r="AP135" s="53">
        <v>0</v>
      </c>
      <c r="AQ135" s="53"/>
      <c r="AR135" s="53">
        <v>0</v>
      </c>
      <c r="AS135" s="53"/>
      <c r="AT135" s="45">
        <f t="shared" si="18"/>
        <v>0</v>
      </c>
      <c r="AU135" s="45"/>
      <c r="AV135" s="53">
        <v>0</v>
      </c>
      <c r="AW135" s="53"/>
      <c r="AX135" s="53">
        <v>0</v>
      </c>
      <c r="AY135" s="53"/>
      <c r="AZ135" s="53">
        <f t="shared" si="19"/>
        <v>0</v>
      </c>
      <c r="BA135" s="124"/>
      <c r="BB135" s="126" t="s">
        <v>161</v>
      </c>
      <c r="BD135" s="126" t="s">
        <v>15</v>
      </c>
      <c r="BE135" s="137"/>
      <c r="BF135" s="53">
        <v>0</v>
      </c>
      <c r="BG135" s="53"/>
      <c r="BH135" s="53">
        <v>0</v>
      </c>
      <c r="BI135" s="53"/>
      <c r="BJ135" s="53">
        <v>0</v>
      </c>
      <c r="BK135" s="53"/>
      <c r="BL135" s="53">
        <v>0</v>
      </c>
      <c r="BM135" s="137"/>
      <c r="BN135" s="137">
        <f t="shared" si="17"/>
        <v>0</v>
      </c>
      <c r="BO135" s="139"/>
      <c r="BS135" s="140"/>
      <c r="BT135" s="140"/>
      <c r="BU135" s="141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</row>
    <row r="136" spans="1:95" s="35" customFormat="1" ht="12.75" customHeight="1">
      <c r="A136" s="35" t="s">
        <v>162</v>
      </c>
      <c r="B136" s="51"/>
      <c r="C136" s="35" t="s">
        <v>163</v>
      </c>
      <c r="D136" s="44"/>
      <c r="E136" s="53">
        <f t="shared" si="12"/>
        <v>1256767</v>
      </c>
      <c r="F136" s="53"/>
      <c r="G136" s="53">
        <v>3503493</v>
      </c>
      <c r="H136" s="53"/>
      <c r="I136" s="53">
        <v>4760260</v>
      </c>
      <c r="J136" s="53"/>
      <c r="K136" s="53">
        <f t="shared" si="13"/>
        <v>48720</v>
      </c>
      <c r="L136" s="53"/>
      <c r="M136" s="53">
        <v>184382</v>
      </c>
      <c r="N136" s="53"/>
      <c r="O136" s="53">
        <v>233102</v>
      </c>
      <c r="P136" s="53"/>
      <c r="Q136" s="53">
        <v>3503493</v>
      </c>
      <c r="R136" s="53"/>
      <c r="S136" s="53">
        <v>0</v>
      </c>
      <c r="T136" s="53"/>
      <c r="U136" s="53">
        <v>1023665</v>
      </c>
      <c r="V136" s="53"/>
      <c r="W136" s="53">
        <f t="shared" si="21"/>
        <v>4527158</v>
      </c>
      <c r="Z136" s="35" t="s">
        <v>162</v>
      </c>
      <c r="AA136" s="53"/>
      <c r="AB136" s="35" t="s">
        <v>163</v>
      </c>
      <c r="AC136" s="51"/>
      <c r="AD136" s="53">
        <v>1979900</v>
      </c>
      <c r="AE136" s="53"/>
      <c r="AF136" s="53">
        <f>2113919-229599</f>
        <v>1884320</v>
      </c>
      <c r="AG136" s="53"/>
      <c r="AH136" s="53">
        <v>229599</v>
      </c>
      <c r="AI136" s="53"/>
      <c r="AJ136" s="45">
        <f t="shared" si="20"/>
        <v>-134019</v>
      </c>
      <c r="AK136" s="45"/>
      <c r="AL136" s="53">
        <v>0</v>
      </c>
      <c r="AM136" s="45"/>
      <c r="AN136" s="53">
        <v>5000</v>
      </c>
      <c r="AO136" s="53"/>
      <c r="AP136" s="53">
        <v>87550</v>
      </c>
      <c r="AQ136" s="53"/>
      <c r="AR136" s="53">
        <v>0</v>
      </c>
      <c r="AS136" s="53"/>
      <c r="AT136" s="45">
        <f t="shared" si="18"/>
        <v>-216569</v>
      </c>
      <c r="AU136" s="45"/>
      <c r="AV136" s="53">
        <v>0</v>
      </c>
      <c r="AW136" s="53"/>
      <c r="AX136" s="53">
        <v>0</v>
      </c>
      <c r="AY136" s="53"/>
      <c r="AZ136" s="53">
        <f t="shared" si="19"/>
        <v>1208047</v>
      </c>
      <c r="BA136" s="51"/>
      <c r="BB136" s="35" t="s">
        <v>162</v>
      </c>
      <c r="BD136" s="35" t="s">
        <v>163</v>
      </c>
      <c r="BE136" s="53"/>
      <c r="BF136" s="53">
        <v>0</v>
      </c>
      <c r="BG136" s="53"/>
      <c r="BH136" s="53">
        <v>0</v>
      </c>
      <c r="BI136" s="53"/>
      <c r="BJ136" s="53">
        <v>0</v>
      </c>
      <c r="BK136" s="53"/>
      <c r="BL136" s="53">
        <v>184382</v>
      </c>
      <c r="BM136" s="53"/>
      <c r="BN136" s="53">
        <f t="shared" si="17"/>
        <v>184382</v>
      </c>
      <c r="BO136" s="54"/>
      <c r="BS136" s="55"/>
      <c r="BT136" s="55"/>
      <c r="BU136" s="84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</row>
    <row r="137" spans="1:95" s="126" customFormat="1" ht="12.75" hidden="1" customHeight="1">
      <c r="A137" s="126" t="s">
        <v>164</v>
      </c>
      <c r="B137" s="124"/>
      <c r="C137" s="126" t="s">
        <v>27</v>
      </c>
      <c r="D137" s="121"/>
      <c r="E137" s="53">
        <f t="shared" si="12"/>
        <v>0</v>
      </c>
      <c r="F137" s="53"/>
      <c r="G137" s="53">
        <v>0</v>
      </c>
      <c r="H137" s="53"/>
      <c r="I137" s="53">
        <v>0</v>
      </c>
      <c r="J137" s="53"/>
      <c r="K137" s="53">
        <f t="shared" si="13"/>
        <v>0</v>
      </c>
      <c r="L137" s="53"/>
      <c r="M137" s="53">
        <v>0</v>
      </c>
      <c r="N137" s="53"/>
      <c r="O137" s="53">
        <v>0</v>
      </c>
      <c r="P137" s="53"/>
      <c r="Q137" s="53">
        <v>0</v>
      </c>
      <c r="R137" s="53"/>
      <c r="S137" s="53">
        <v>0</v>
      </c>
      <c r="T137" s="53"/>
      <c r="U137" s="53">
        <v>0</v>
      </c>
      <c r="V137" s="53"/>
      <c r="W137" s="53">
        <f t="shared" si="21"/>
        <v>0</v>
      </c>
      <c r="X137" s="124"/>
      <c r="Y137" s="124"/>
      <c r="Z137" s="126" t="s">
        <v>164</v>
      </c>
      <c r="AA137" s="137"/>
      <c r="AB137" s="126" t="s">
        <v>27</v>
      </c>
      <c r="AC137" s="124"/>
      <c r="AD137" s="53">
        <v>0</v>
      </c>
      <c r="AE137" s="53"/>
      <c r="AF137" s="53">
        <v>0</v>
      </c>
      <c r="AG137" s="53"/>
      <c r="AH137" s="53">
        <v>0</v>
      </c>
      <c r="AI137" s="53"/>
      <c r="AJ137" s="45">
        <f t="shared" si="20"/>
        <v>0</v>
      </c>
      <c r="AK137" s="45"/>
      <c r="AL137" s="53">
        <v>0</v>
      </c>
      <c r="AM137" s="45"/>
      <c r="AN137" s="53">
        <v>0</v>
      </c>
      <c r="AO137" s="53"/>
      <c r="AP137" s="53">
        <v>0</v>
      </c>
      <c r="AQ137" s="53"/>
      <c r="AR137" s="53">
        <v>0</v>
      </c>
      <c r="AS137" s="53"/>
      <c r="AT137" s="45">
        <f t="shared" si="18"/>
        <v>0</v>
      </c>
      <c r="AU137" s="45"/>
      <c r="AV137" s="53">
        <v>0</v>
      </c>
      <c r="AW137" s="53"/>
      <c r="AX137" s="53">
        <v>0</v>
      </c>
      <c r="AY137" s="53"/>
      <c r="AZ137" s="53">
        <f t="shared" si="19"/>
        <v>0</v>
      </c>
      <c r="BA137" s="124"/>
      <c r="BB137" s="126" t="s">
        <v>164</v>
      </c>
      <c r="BD137" s="126" t="s">
        <v>27</v>
      </c>
      <c r="BE137" s="137"/>
      <c r="BF137" s="53">
        <v>0</v>
      </c>
      <c r="BG137" s="53"/>
      <c r="BH137" s="53">
        <v>0</v>
      </c>
      <c r="BI137" s="53"/>
      <c r="BJ137" s="53">
        <v>0</v>
      </c>
      <c r="BK137" s="53"/>
      <c r="BL137" s="53">
        <v>0</v>
      </c>
      <c r="BM137" s="137"/>
      <c r="BN137" s="137">
        <f t="shared" si="17"/>
        <v>0</v>
      </c>
      <c r="BO137" s="139"/>
      <c r="BS137" s="140"/>
      <c r="BT137" s="140"/>
      <c r="BU137" s="141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0"/>
      <c r="CP137" s="140"/>
      <c r="CQ137" s="140"/>
    </row>
    <row r="138" spans="1:95" s="35" customFormat="1" ht="12.75" customHeight="1">
      <c r="A138" s="35" t="s">
        <v>53</v>
      </c>
      <c r="B138" s="51"/>
      <c r="C138" s="35" t="s">
        <v>53</v>
      </c>
      <c r="D138" s="44"/>
      <c r="E138" s="53">
        <f t="shared" si="12"/>
        <v>3677112</v>
      </c>
      <c r="F138" s="53"/>
      <c r="G138" s="53">
        <v>33154831</v>
      </c>
      <c r="H138" s="53"/>
      <c r="I138" s="53">
        <v>36831943</v>
      </c>
      <c r="J138" s="53"/>
      <c r="K138" s="53">
        <f t="shared" si="13"/>
        <v>938793</v>
      </c>
      <c r="L138" s="53"/>
      <c r="M138" s="53">
        <v>12205072</v>
      </c>
      <c r="N138" s="53"/>
      <c r="O138" s="53">
        <v>13143865</v>
      </c>
      <c r="P138" s="53"/>
      <c r="Q138" s="53">
        <v>12875116</v>
      </c>
      <c r="R138" s="53"/>
      <c r="S138" s="53">
        <v>0</v>
      </c>
      <c r="T138" s="53"/>
      <c r="U138" s="53">
        <v>10812962</v>
      </c>
      <c r="V138" s="53"/>
      <c r="W138" s="53">
        <f t="shared" si="21"/>
        <v>23688078</v>
      </c>
      <c r="X138" s="51"/>
      <c r="Y138" s="51"/>
      <c r="Z138" s="35" t="s">
        <v>53</v>
      </c>
      <c r="AA138" s="53"/>
      <c r="AB138" s="35" t="s">
        <v>53</v>
      </c>
      <c r="AC138" s="51"/>
      <c r="AD138" s="53">
        <v>4076516</v>
      </c>
      <c r="AE138" s="53"/>
      <c r="AF138" s="53">
        <f>2789165-432284</f>
        <v>2356881</v>
      </c>
      <c r="AG138" s="53"/>
      <c r="AH138" s="53">
        <v>432284</v>
      </c>
      <c r="AI138" s="53"/>
      <c r="AJ138" s="45">
        <f t="shared" si="20"/>
        <v>1287351</v>
      </c>
      <c r="AK138" s="45"/>
      <c r="AL138" s="53">
        <v>-587495</v>
      </c>
      <c r="AM138" s="45"/>
      <c r="AN138" s="53">
        <v>0</v>
      </c>
      <c r="AO138" s="53"/>
      <c r="AP138" s="53">
        <v>0</v>
      </c>
      <c r="AQ138" s="53"/>
      <c r="AR138" s="53">
        <v>0</v>
      </c>
      <c r="AS138" s="53"/>
      <c r="AT138" s="45">
        <f t="shared" si="18"/>
        <v>699856</v>
      </c>
      <c r="AU138" s="45"/>
      <c r="AV138" s="53">
        <v>0</v>
      </c>
      <c r="AW138" s="53"/>
      <c r="AX138" s="53">
        <v>0</v>
      </c>
      <c r="AY138" s="53"/>
      <c r="AZ138" s="53">
        <f t="shared" si="19"/>
        <v>2738319</v>
      </c>
      <c r="BA138" s="51"/>
      <c r="BB138" s="35" t="s">
        <v>53</v>
      </c>
      <c r="BD138" s="35" t="s">
        <v>53</v>
      </c>
      <c r="BE138" s="53"/>
      <c r="BF138" s="53">
        <f>9900000+685000</f>
        <v>10585000</v>
      </c>
      <c r="BG138" s="53"/>
      <c r="BH138" s="53">
        <v>0</v>
      </c>
      <c r="BI138" s="53"/>
      <c r="BJ138" s="53">
        <f>1116451+68147</f>
        <v>1184598</v>
      </c>
      <c r="BK138" s="53"/>
      <c r="BL138" s="53">
        <f>16041+8643+1163937+23187+2659+68147</f>
        <v>1282614</v>
      </c>
      <c r="BM138" s="53"/>
      <c r="BN138" s="53">
        <f t="shared" si="17"/>
        <v>13052212</v>
      </c>
      <c r="BO138" s="54"/>
      <c r="BS138" s="55"/>
      <c r="BT138" s="55"/>
      <c r="BU138" s="84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</row>
    <row r="139" spans="1:95" s="126" customFormat="1" ht="12.75" hidden="1" customHeight="1">
      <c r="A139" s="126" t="s">
        <v>165</v>
      </c>
      <c r="B139" s="124"/>
      <c r="C139" s="126" t="s">
        <v>92</v>
      </c>
      <c r="D139" s="121"/>
      <c r="E139" s="53">
        <f t="shared" si="12"/>
        <v>0</v>
      </c>
      <c r="F139" s="53"/>
      <c r="G139" s="53">
        <v>0</v>
      </c>
      <c r="H139" s="53"/>
      <c r="I139" s="53">
        <v>0</v>
      </c>
      <c r="J139" s="53"/>
      <c r="K139" s="53">
        <f t="shared" si="13"/>
        <v>0</v>
      </c>
      <c r="L139" s="53"/>
      <c r="M139" s="53">
        <v>0</v>
      </c>
      <c r="N139" s="53"/>
      <c r="O139" s="53">
        <v>0</v>
      </c>
      <c r="P139" s="53"/>
      <c r="Q139" s="53">
        <v>0</v>
      </c>
      <c r="R139" s="53"/>
      <c r="S139" s="53">
        <v>0</v>
      </c>
      <c r="T139" s="53"/>
      <c r="U139" s="53">
        <v>0</v>
      </c>
      <c r="V139" s="53"/>
      <c r="W139" s="53">
        <f t="shared" si="21"/>
        <v>0</v>
      </c>
      <c r="X139" s="124"/>
      <c r="Y139" s="124"/>
      <c r="Z139" s="126" t="s">
        <v>165</v>
      </c>
      <c r="AA139" s="137"/>
      <c r="AB139" s="126" t="s">
        <v>92</v>
      </c>
      <c r="AC139" s="124"/>
      <c r="AD139" s="53">
        <v>0</v>
      </c>
      <c r="AE139" s="53"/>
      <c r="AF139" s="53">
        <v>0</v>
      </c>
      <c r="AG139" s="53"/>
      <c r="AH139" s="53">
        <v>0</v>
      </c>
      <c r="AI139" s="53"/>
      <c r="AJ139" s="45">
        <f t="shared" si="20"/>
        <v>0</v>
      </c>
      <c r="AK139" s="45"/>
      <c r="AL139" s="53">
        <v>0</v>
      </c>
      <c r="AM139" s="45"/>
      <c r="AN139" s="53">
        <v>0</v>
      </c>
      <c r="AO139" s="53"/>
      <c r="AP139" s="53">
        <v>0</v>
      </c>
      <c r="AQ139" s="53"/>
      <c r="AR139" s="53">
        <v>0</v>
      </c>
      <c r="AS139" s="53"/>
      <c r="AT139" s="45">
        <f t="shared" si="18"/>
        <v>0</v>
      </c>
      <c r="AU139" s="45"/>
      <c r="AV139" s="53">
        <v>0</v>
      </c>
      <c r="AW139" s="53"/>
      <c r="AX139" s="53">
        <v>0</v>
      </c>
      <c r="AY139" s="53"/>
      <c r="AZ139" s="53">
        <f t="shared" si="19"/>
        <v>0</v>
      </c>
      <c r="BA139" s="124"/>
      <c r="BB139" s="126" t="s">
        <v>165</v>
      </c>
      <c r="BD139" s="126" t="s">
        <v>92</v>
      </c>
      <c r="BE139" s="137"/>
      <c r="BF139" s="53">
        <v>0</v>
      </c>
      <c r="BG139" s="53"/>
      <c r="BH139" s="53">
        <v>0</v>
      </c>
      <c r="BI139" s="53"/>
      <c r="BJ139" s="53">
        <v>0</v>
      </c>
      <c r="BK139" s="53"/>
      <c r="BL139" s="53">
        <v>0</v>
      </c>
      <c r="BM139" s="137"/>
      <c r="BN139" s="137">
        <f t="shared" si="17"/>
        <v>0</v>
      </c>
      <c r="BO139" s="139"/>
      <c r="BS139" s="140"/>
      <c r="BT139" s="140"/>
      <c r="BU139" s="141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</row>
    <row r="140" spans="1:95" s="126" customFormat="1" ht="12.75" hidden="1" customHeight="1">
      <c r="A140" s="126" t="s">
        <v>166</v>
      </c>
      <c r="B140" s="124"/>
      <c r="C140" s="126" t="s">
        <v>92</v>
      </c>
      <c r="D140" s="121"/>
      <c r="E140" s="53">
        <f t="shared" si="12"/>
        <v>0</v>
      </c>
      <c r="F140" s="53"/>
      <c r="G140" s="53">
        <v>0</v>
      </c>
      <c r="H140" s="53"/>
      <c r="I140" s="53">
        <v>0</v>
      </c>
      <c r="J140" s="53"/>
      <c r="K140" s="53">
        <f t="shared" si="13"/>
        <v>0</v>
      </c>
      <c r="L140" s="53"/>
      <c r="M140" s="53">
        <v>0</v>
      </c>
      <c r="N140" s="53"/>
      <c r="O140" s="53">
        <v>0</v>
      </c>
      <c r="P140" s="53"/>
      <c r="Q140" s="53">
        <v>0</v>
      </c>
      <c r="R140" s="53"/>
      <c r="S140" s="53">
        <v>0</v>
      </c>
      <c r="T140" s="53"/>
      <c r="U140" s="53">
        <v>0</v>
      </c>
      <c r="V140" s="53"/>
      <c r="W140" s="53">
        <f t="shared" si="21"/>
        <v>0</v>
      </c>
      <c r="X140" s="124"/>
      <c r="Y140" s="124"/>
      <c r="Z140" s="126" t="s">
        <v>166</v>
      </c>
      <c r="AA140" s="137"/>
      <c r="AB140" s="126" t="s">
        <v>92</v>
      </c>
      <c r="AC140" s="124"/>
      <c r="AD140" s="53">
        <v>0</v>
      </c>
      <c r="AE140" s="53"/>
      <c r="AF140" s="53">
        <v>0</v>
      </c>
      <c r="AG140" s="53"/>
      <c r="AH140" s="53">
        <v>0</v>
      </c>
      <c r="AI140" s="53"/>
      <c r="AJ140" s="45">
        <f t="shared" si="20"/>
        <v>0</v>
      </c>
      <c r="AK140" s="45"/>
      <c r="AL140" s="53">
        <v>0</v>
      </c>
      <c r="AM140" s="45"/>
      <c r="AN140" s="53">
        <v>0</v>
      </c>
      <c r="AO140" s="53"/>
      <c r="AP140" s="53">
        <v>0</v>
      </c>
      <c r="AQ140" s="53"/>
      <c r="AR140" s="53">
        <v>0</v>
      </c>
      <c r="AS140" s="53"/>
      <c r="AT140" s="45">
        <f t="shared" si="18"/>
        <v>0</v>
      </c>
      <c r="AU140" s="45"/>
      <c r="AV140" s="53">
        <v>0</v>
      </c>
      <c r="AW140" s="53"/>
      <c r="AX140" s="53">
        <v>0</v>
      </c>
      <c r="AY140" s="53"/>
      <c r="AZ140" s="53">
        <f t="shared" si="19"/>
        <v>0</v>
      </c>
      <c r="BA140" s="124"/>
      <c r="BB140" s="126" t="s">
        <v>166</v>
      </c>
      <c r="BD140" s="126" t="s">
        <v>92</v>
      </c>
      <c r="BE140" s="137"/>
      <c r="BF140" s="53">
        <v>0</v>
      </c>
      <c r="BG140" s="53"/>
      <c r="BH140" s="53">
        <v>0</v>
      </c>
      <c r="BI140" s="53"/>
      <c r="BJ140" s="53">
        <v>0</v>
      </c>
      <c r="BK140" s="53"/>
      <c r="BL140" s="53">
        <v>0</v>
      </c>
      <c r="BM140" s="137"/>
      <c r="BN140" s="137">
        <f t="shared" si="17"/>
        <v>0</v>
      </c>
      <c r="BO140" s="139"/>
      <c r="BS140" s="140"/>
      <c r="BT140" s="140"/>
      <c r="BU140" s="141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</row>
    <row r="141" spans="1:95" s="35" customFormat="1" ht="12.75" customHeight="1">
      <c r="A141" s="35" t="s">
        <v>167</v>
      </c>
      <c r="B141" s="51"/>
      <c r="C141" s="35" t="s">
        <v>66</v>
      </c>
      <c r="D141" s="44"/>
      <c r="E141" s="53">
        <f t="shared" si="12"/>
        <v>911439</v>
      </c>
      <c r="F141" s="53"/>
      <c r="G141" s="53">
        <v>13498920</v>
      </c>
      <c r="H141" s="53"/>
      <c r="I141" s="53">
        <v>14410359</v>
      </c>
      <c r="J141" s="53"/>
      <c r="K141" s="53">
        <f t="shared" si="13"/>
        <v>402148</v>
      </c>
      <c r="L141" s="53"/>
      <c r="M141" s="53">
        <v>1997273</v>
      </c>
      <c r="N141" s="53"/>
      <c r="O141" s="53">
        <v>2399421</v>
      </c>
      <c r="P141" s="53"/>
      <c r="Q141" s="53">
        <v>11233920</v>
      </c>
      <c r="R141" s="53"/>
      <c r="S141" s="53">
        <v>148826</v>
      </c>
      <c r="T141" s="53"/>
      <c r="U141" s="53">
        <v>628192</v>
      </c>
      <c r="V141" s="53"/>
      <c r="W141" s="53">
        <f t="shared" si="21"/>
        <v>12010938</v>
      </c>
      <c r="Z141" s="35" t="s">
        <v>167</v>
      </c>
      <c r="AA141" s="53"/>
      <c r="AB141" s="35" t="s">
        <v>66</v>
      </c>
      <c r="AC141" s="51"/>
      <c r="AD141" s="53">
        <v>1854753</v>
      </c>
      <c r="AE141" s="53"/>
      <c r="AF141" s="53">
        <f>2571320-470347</f>
        <v>2100973</v>
      </c>
      <c r="AG141" s="53"/>
      <c r="AH141" s="53">
        <v>470347</v>
      </c>
      <c r="AI141" s="53"/>
      <c r="AJ141" s="45">
        <f t="shared" si="20"/>
        <v>-716567</v>
      </c>
      <c r="AK141" s="45"/>
      <c r="AL141" s="53">
        <v>944532</v>
      </c>
      <c r="AM141" s="45"/>
      <c r="AN141" s="53">
        <v>0</v>
      </c>
      <c r="AO141" s="53"/>
      <c r="AP141" s="53">
        <v>246096</v>
      </c>
      <c r="AQ141" s="53"/>
      <c r="AR141" s="53">
        <v>0</v>
      </c>
      <c r="AS141" s="53"/>
      <c r="AT141" s="45">
        <f t="shared" si="18"/>
        <v>-18131</v>
      </c>
      <c r="AU141" s="45"/>
      <c r="AV141" s="53">
        <v>0</v>
      </c>
      <c r="AW141" s="53"/>
      <c r="AX141" s="53">
        <v>0</v>
      </c>
      <c r="AY141" s="53"/>
      <c r="AZ141" s="53">
        <f t="shared" si="19"/>
        <v>509291</v>
      </c>
      <c r="BA141" s="51"/>
      <c r="BB141" s="35" t="s">
        <v>167</v>
      </c>
      <c r="BD141" s="35" t="s">
        <v>66</v>
      </c>
      <c r="BE141" s="53"/>
      <c r="BF141" s="53">
        <f>1995000+270000</f>
        <v>2265000</v>
      </c>
      <c r="BG141" s="53"/>
      <c r="BH141" s="53">
        <v>0</v>
      </c>
      <c r="BI141" s="53"/>
      <c r="BJ141" s="53">
        <v>0</v>
      </c>
      <c r="BK141" s="53"/>
      <c r="BL141" s="53">
        <f>5180+41959</f>
        <v>47139</v>
      </c>
      <c r="BM141" s="53"/>
      <c r="BN141" s="53">
        <f t="shared" si="17"/>
        <v>2312139</v>
      </c>
      <c r="BO141" s="54"/>
      <c r="BS141" s="55"/>
      <c r="BT141" s="55"/>
      <c r="BU141" s="84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</row>
    <row r="142" spans="1:95" s="126" customFormat="1" ht="12.75" hidden="1" customHeight="1">
      <c r="A142" s="121" t="s">
        <v>168</v>
      </c>
      <c r="B142" s="124"/>
      <c r="C142" s="121" t="s">
        <v>27</v>
      </c>
      <c r="D142" s="121"/>
      <c r="E142" s="53">
        <f t="shared" si="12"/>
        <v>0</v>
      </c>
      <c r="F142" s="53"/>
      <c r="G142" s="53">
        <v>0</v>
      </c>
      <c r="H142" s="53"/>
      <c r="I142" s="53">
        <v>0</v>
      </c>
      <c r="J142" s="53"/>
      <c r="K142" s="53">
        <f t="shared" si="13"/>
        <v>0</v>
      </c>
      <c r="L142" s="53"/>
      <c r="M142" s="53">
        <v>0</v>
      </c>
      <c r="N142" s="53"/>
      <c r="O142" s="53">
        <v>0</v>
      </c>
      <c r="P142" s="53"/>
      <c r="Q142" s="53">
        <v>0</v>
      </c>
      <c r="R142" s="53"/>
      <c r="S142" s="53">
        <v>0</v>
      </c>
      <c r="T142" s="53"/>
      <c r="U142" s="53">
        <v>0</v>
      </c>
      <c r="V142" s="53"/>
      <c r="W142" s="53">
        <f t="shared" si="21"/>
        <v>0</v>
      </c>
      <c r="X142" s="124"/>
      <c r="Y142" s="124"/>
      <c r="Z142" s="121" t="s">
        <v>168</v>
      </c>
      <c r="AA142" s="137"/>
      <c r="AB142" s="121" t="s">
        <v>27</v>
      </c>
      <c r="AC142" s="124"/>
      <c r="AD142" s="53">
        <v>0</v>
      </c>
      <c r="AE142" s="53"/>
      <c r="AF142" s="53">
        <v>0</v>
      </c>
      <c r="AG142" s="53"/>
      <c r="AH142" s="53">
        <v>0</v>
      </c>
      <c r="AI142" s="53"/>
      <c r="AJ142" s="45">
        <f t="shared" si="20"/>
        <v>0</v>
      </c>
      <c r="AK142" s="45"/>
      <c r="AL142" s="53">
        <v>0</v>
      </c>
      <c r="AM142" s="45"/>
      <c r="AN142" s="53">
        <v>0</v>
      </c>
      <c r="AO142" s="53"/>
      <c r="AP142" s="53">
        <v>0</v>
      </c>
      <c r="AQ142" s="53"/>
      <c r="AR142" s="53">
        <v>0</v>
      </c>
      <c r="AS142" s="53"/>
      <c r="AT142" s="45">
        <f t="shared" si="18"/>
        <v>0</v>
      </c>
      <c r="AU142" s="45"/>
      <c r="AV142" s="53">
        <v>0</v>
      </c>
      <c r="AW142" s="53"/>
      <c r="AX142" s="53">
        <v>0</v>
      </c>
      <c r="AY142" s="53"/>
      <c r="AZ142" s="53">
        <f t="shared" si="19"/>
        <v>0</v>
      </c>
      <c r="BA142" s="124"/>
      <c r="BB142" s="121" t="s">
        <v>168</v>
      </c>
      <c r="BD142" s="121" t="s">
        <v>27</v>
      </c>
      <c r="BE142" s="137"/>
      <c r="BF142" s="53">
        <v>0</v>
      </c>
      <c r="BG142" s="53"/>
      <c r="BH142" s="53">
        <v>0</v>
      </c>
      <c r="BI142" s="53"/>
      <c r="BJ142" s="53">
        <v>0</v>
      </c>
      <c r="BK142" s="53"/>
      <c r="BL142" s="53">
        <v>0</v>
      </c>
      <c r="BM142" s="137"/>
      <c r="BN142" s="137">
        <f t="shared" si="17"/>
        <v>0</v>
      </c>
      <c r="BO142" s="139"/>
      <c r="BS142" s="140"/>
      <c r="BT142" s="140"/>
      <c r="BU142" s="141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</row>
    <row r="143" spans="1:95" s="35" customFormat="1" ht="12.75" customHeight="1">
      <c r="A143" s="35" t="s">
        <v>169</v>
      </c>
      <c r="B143" s="51"/>
      <c r="C143" s="35" t="s">
        <v>103</v>
      </c>
      <c r="D143" s="44"/>
      <c r="E143" s="53">
        <f t="shared" si="12"/>
        <v>8015815</v>
      </c>
      <c r="F143" s="53"/>
      <c r="G143" s="53">
        <v>21548892</v>
      </c>
      <c r="H143" s="53"/>
      <c r="I143" s="53">
        <v>29564707</v>
      </c>
      <c r="J143" s="53"/>
      <c r="K143" s="53">
        <f t="shared" si="13"/>
        <v>2088379</v>
      </c>
      <c r="L143" s="53"/>
      <c r="M143" s="53">
        <v>5047382</v>
      </c>
      <c r="N143" s="53"/>
      <c r="O143" s="53">
        <v>7135761</v>
      </c>
      <c r="P143" s="53"/>
      <c r="Q143" s="53">
        <v>15763763</v>
      </c>
      <c r="R143" s="53"/>
      <c r="S143" s="53">
        <v>735319</v>
      </c>
      <c r="T143" s="53"/>
      <c r="U143" s="53">
        <v>5929864</v>
      </c>
      <c r="V143" s="53"/>
      <c r="W143" s="53">
        <f t="shared" si="21"/>
        <v>22428946</v>
      </c>
      <c r="Z143" s="35" t="s">
        <v>169</v>
      </c>
      <c r="AA143" s="53"/>
      <c r="AB143" s="35" t="s">
        <v>103</v>
      </c>
      <c r="AC143" s="51"/>
      <c r="AD143" s="53">
        <v>6102076</v>
      </c>
      <c r="AE143" s="53"/>
      <c r="AF143" s="53">
        <f>5826389-1163173</f>
        <v>4663216</v>
      </c>
      <c r="AG143" s="53"/>
      <c r="AH143" s="53">
        <v>1163173</v>
      </c>
      <c r="AI143" s="53"/>
      <c r="AJ143" s="45">
        <f t="shared" si="20"/>
        <v>275687</v>
      </c>
      <c r="AK143" s="45"/>
      <c r="AL143" s="53">
        <v>-59399</v>
      </c>
      <c r="AM143" s="45"/>
      <c r="AN143" s="53">
        <v>0</v>
      </c>
      <c r="AO143" s="53"/>
      <c r="AP143" s="53">
        <v>29069</v>
      </c>
      <c r="AQ143" s="53"/>
      <c r="AR143" s="53">
        <v>0</v>
      </c>
      <c r="AS143" s="53"/>
      <c r="AT143" s="45">
        <f t="shared" si="18"/>
        <v>187219</v>
      </c>
      <c r="AU143" s="45"/>
      <c r="AV143" s="53">
        <v>0</v>
      </c>
      <c r="AW143" s="53"/>
      <c r="AX143" s="53">
        <v>0</v>
      </c>
      <c r="AY143" s="53"/>
      <c r="AZ143" s="53">
        <f t="shared" si="19"/>
        <v>5927436</v>
      </c>
      <c r="BA143" s="51"/>
      <c r="BB143" s="35" t="s">
        <v>169</v>
      </c>
      <c r="BD143" s="35" t="s">
        <v>103</v>
      </c>
      <c r="BE143" s="53"/>
      <c r="BF143" s="53">
        <f>2190821+360062</f>
        <v>2550883</v>
      </c>
      <c r="BG143" s="53"/>
      <c r="BH143" s="53">
        <v>0</v>
      </c>
      <c r="BI143" s="53"/>
      <c r="BJ143" s="53">
        <v>0</v>
      </c>
      <c r="BK143" s="53"/>
      <c r="BL143" s="53">
        <f>37787+2645237+111760+61777+375257+57574+10913</f>
        <v>3300305</v>
      </c>
      <c r="BM143" s="53"/>
      <c r="BN143" s="53">
        <f t="shared" si="17"/>
        <v>5851188</v>
      </c>
      <c r="BO143" s="54"/>
      <c r="BS143" s="55"/>
      <c r="BT143" s="55"/>
      <c r="BU143" s="84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</row>
    <row r="144" spans="1:95" s="35" customFormat="1" ht="12.75" customHeight="1">
      <c r="A144" s="35" t="s">
        <v>170</v>
      </c>
      <c r="B144" s="51"/>
      <c r="C144" s="35" t="s">
        <v>171</v>
      </c>
      <c r="D144" s="44"/>
      <c r="E144" s="53">
        <f t="shared" si="12"/>
        <v>2399221</v>
      </c>
      <c r="F144" s="53"/>
      <c r="G144" s="53">
        <v>4615749</v>
      </c>
      <c r="H144" s="53"/>
      <c r="I144" s="53">
        <v>7014970</v>
      </c>
      <c r="J144" s="53"/>
      <c r="K144" s="53">
        <f t="shared" si="13"/>
        <v>176944</v>
      </c>
      <c r="L144" s="53"/>
      <c r="M144" s="53">
        <v>1695188</v>
      </c>
      <c r="N144" s="53"/>
      <c r="O144" s="53">
        <v>1872132</v>
      </c>
      <c r="P144" s="53"/>
      <c r="Q144" s="53">
        <v>2862139</v>
      </c>
      <c r="R144" s="53"/>
      <c r="S144" s="53">
        <v>0</v>
      </c>
      <c r="T144" s="53"/>
      <c r="U144" s="53">
        <v>2280699</v>
      </c>
      <c r="V144" s="53"/>
      <c r="W144" s="53">
        <f t="shared" si="21"/>
        <v>5142838</v>
      </c>
      <c r="Z144" s="35" t="s">
        <v>170</v>
      </c>
      <c r="AA144" s="53"/>
      <c r="AB144" s="35" t="s">
        <v>171</v>
      </c>
      <c r="AC144" s="51"/>
      <c r="AD144" s="53">
        <v>872415</v>
      </c>
      <c r="AE144" s="53"/>
      <c r="AF144" s="53">
        <f>971445-203666</f>
        <v>767779</v>
      </c>
      <c r="AG144" s="53"/>
      <c r="AH144" s="53">
        <v>203666</v>
      </c>
      <c r="AI144" s="53"/>
      <c r="AJ144" s="45">
        <f t="shared" si="20"/>
        <v>-99030</v>
      </c>
      <c r="AK144" s="45"/>
      <c r="AL144" s="53">
        <v>232792</v>
      </c>
      <c r="AM144" s="45"/>
      <c r="AN144" s="53">
        <v>0</v>
      </c>
      <c r="AO144" s="53"/>
      <c r="AP144" s="53">
        <v>0</v>
      </c>
      <c r="AQ144" s="53"/>
      <c r="AR144" s="53">
        <v>0</v>
      </c>
      <c r="AS144" s="53"/>
      <c r="AT144" s="45">
        <f t="shared" si="18"/>
        <v>133762</v>
      </c>
      <c r="AU144" s="45"/>
      <c r="AV144" s="53">
        <v>0</v>
      </c>
      <c r="AW144" s="53"/>
      <c r="AX144" s="53">
        <v>0</v>
      </c>
      <c r="AY144" s="53"/>
      <c r="AZ144" s="53">
        <f t="shared" si="19"/>
        <v>2222277</v>
      </c>
      <c r="BA144" s="51"/>
      <c r="BB144" s="35" t="s">
        <v>170</v>
      </c>
      <c r="BD144" s="35" t="s">
        <v>171</v>
      </c>
      <c r="BE144" s="53"/>
      <c r="BF144" s="53">
        <v>0</v>
      </c>
      <c r="BG144" s="53"/>
      <c r="BH144" s="53">
        <v>0</v>
      </c>
      <c r="BI144" s="53"/>
      <c r="BJ144" s="53">
        <f>1450288+231664+57159+14499</f>
        <v>1753610</v>
      </c>
      <c r="BK144" s="53"/>
      <c r="BL144" s="53">
        <f>13236+9427</f>
        <v>22663</v>
      </c>
      <c r="BM144" s="53"/>
      <c r="BN144" s="53">
        <f t="shared" si="17"/>
        <v>1776273</v>
      </c>
      <c r="BO144" s="54"/>
      <c r="BS144" s="55"/>
      <c r="BT144" s="55"/>
      <c r="BU144" s="84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</row>
    <row r="145" spans="1:95" s="35" customFormat="1" ht="12.75" customHeight="1">
      <c r="A145" s="35" t="s">
        <v>172</v>
      </c>
      <c r="B145" s="51"/>
      <c r="C145" s="35" t="s">
        <v>103</v>
      </c>
      <c r="D145" s="44"/>
      <c r="E145" s="53">
        <f t="shared" si="12"/>
        <v>1946569</v>
      </c>
      <c r="F145" s="53"/>
      <c r="G145" s="53">
        <v>5558357</v>
      </c>
      <c r="H145" s="53"/>
      <c r="I145" s="53">
        <v>7504926</v>
      </c>
      <c r="J145" s="53"/>
      <c r="K145" s="53">
        <f t="shared" si="13"/>
        <v>2985899</v>
      </c>
      <c r="L145" s="53"/>
      <c r="M145" s="53">
        <v>455199</v>
      </c>
      <c r="N145" s="53"/>
      <c r="O145" s="53">
        <v>3441098</v>
      </c>
      <c r="P145" s="53"/>
      <c r="Q145" s="53">
        <v>2049908</v>
      </c>
      <c r="R145" s="53"/>
      <c r="S145" s="53">
        <v>0</v>
      </c>
      <c r="T145" s="53"/>
      <c r="U145" s="53">
        <v>2013920</v>
      </c>
      <c r="V145" s="53"/>
      <c r="W145" s="53">
        <f t="shared" si="21"/>
        <v>4063828</v>
      </c>
      <c r="X145" s="51"/>
      <c r="Y145" s="51"/>
      <c r="Z145" s="35" t="s">
        <v>172</v>
      </c>
      <c r="AA145" s="53"/>
      <c r="AB145" s="35" t="s">
        <v>103</v>
      </c>
      <c r="AC145" s="51"/>
      <c r="AD145" s="53">
        <v>2719318</v>
      </c>
      <c r="AE145" s="53"/>
      <c r="AF145" s="53">
        <f>2583315-463316</f>
        <v>2119999</v>
      </c>
      <c r="AG145" s="53"/>
      <c r="AH145" s="53">
        <v>463316</v>
      </c>
      <c r="AI145" s="53"/>
      <c r="AJ145" s="45">
        <f t="shared" si="20"/>
        <v>136003</v>
      </c>
      <c r="AK145" s="45"/>
      <c r="AL145" s="53">
        <v>-109799</v>
      </c>
      <c r="AM145" s="45"/>
      <c r="AN145" s="53">
        <v>0</v>
      </c>
      <c r="AO145" s="53"/>
      <c r="AP145" s="53">
        <v>0</v>
      </c>
      <c r="AQ145" s="53"/>
      <c r="AR145" s="53">
        <v>0</v>
      </c>
      <c r="AS145" s="53"/>
      <c r="AT145" s="45">
        <f t="shared" si="18"/>
        <v>26204</v>
      </c>
      <c r="AU145" s="45"/>
      <c r="AV145" s="53">
        <v>0</v>
      </c>
      <c r="AW145" s="53"/>
      <c r="AX145" s="53">
        <v>0</v>
      </c>
      <c r="AY145" s="53"/>
      <c r="AZ145" s="53">
        <f t="shared" si="19"/>
        <v>-1039330</v>
      </c>
      <c r="BA145" s="51"/>
      <c r="BB145" s="35" t="s">
        <v>172</v>
      </c>
      <c r="BD145" s="35" t="s">
        <v>103</v>
      </c>
      <c r="BE145" s="53"/>
      <c r="BF145" s="53">
        <v>0</v>
      </c>
      <c r="BG145" s="53"/>
      <c r="BH145" s="53">
        <v>0</v>
      </c>
      <c r="BI145" s="53"/>
      <c r="BJ145" s="53">
        <f>434020+30883</f>
        <v>464903</v>
      </c>
      <c r="BK145" s="53"/>
      <c r="BL145" s="53">
        <f>21179+6826</f>
        <v>28005</v>
      </c>
      <c r="BM145" s="53"/>
      <c r="BN145" s="53">
        <f t="shared" si="17"/>
        <v>492908</v>
      </c>
      <c r="BO145" s="54"/>
      <c r="BS145" s="55"/>
      <c r="BT145" s="55"/>
      <c r="BU145" s="84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</row>
    <row r="146" spans="1:95" s="126" customFormat="1" ht="12.75" hidden="1" customHeight="1">
      <c r="A146" s="35" t="s">
        <v>66</v>
      </c>
      <c r="B146" s="51"/>
      <c r="C146" s="35" t="s">
        <v>45</v>
      </c>
      <c r="D146" s="44"/>
      <c r="E146" s="53">
        <f t="shared" si="12"/>
        <v>0</v>
      </c>
      <c r="F146" s="53"/>
      <c r="G146" s="53">
        <v>0</v>
      </c>
      <c r="H146" s="53"/>
      <c r="I146" s="53">
        <v>0</v>
      </c>
      <c r="J146" s="53"/>
      <c r="K146" s="53">
        <f t="shared" si="13"/>
        <v>0</v>
      </c>
      <c r="L146" s="53"/>
      <c r="M146" s="53">
        <v>0</v>
      </c>
      <c r="N146" s="53"/>
      <c r="O146" s="53">
        <v>0</v>
      </c>
      <c r="P146" s="53"/>
      <c r="Q146" s="53">
        <v>0</v>
      </c>
      <c r="R146" s="53"/>
      <c r="S146" s="53">
        <v>0</v>
      </c>
      <c r="T146" s="53"/>
      <c r="U146" s="53">
        <v>0</v>
      </c>
      <c r="V146" s="53"/>
      <c r="W146" s="53">
        <f t="shared" si="21"/>
        <v>0</v>
      </c>
      <c r="X146" s="51"/>
      <c r="Y146" s="51"/>
      <c r="Z146" s="35" t="s">
        <v>66</v>
      </c>
      <c r="AA146" s="53"/>
      <c r="AB146" s="35" t="s">
        <v>45</v>
      </c>
      <c r="AC146" s="51"/>
      <c r="AD146" s="53">
        <v>0</v>
      </c>
      <c r="AE146" s="53"/>
      <c r="AF146" s="53">
        <v>0</v>
      </c>
      <c r="AG146" s="53"/>
      <c r="AH146" s="53">
        <v>0</v>
      </c>
      <c r="AI146" s="53"/>
      <c r="AJ146" s="45">
        <f t="shared" si="20"/>
        <v>0</v>
      </c>
      <c r="AK146" s="45"/>
      <c r="AL146" s="53">
        <v>0</v>
      </c>
      <c r="AM146" s="45"/>
      <c r="AN146" s="53">
        <v>0</v>
      </c>
      <c r="AO146" s="53"/>
      <c r="AP146" s="53">
        <v>0</v>
      </c>
      <c r="AQ146" s="53"/>
      <c r="AR146" s="53">
        <v>0</v>
      </c>
      <c r="AS146" s="53"/>
      <c r="AT146" s="45">
        <f t="shared" si="18"/>
        <v>0</v>
      </c>
      <c r="AU146" s="45"/>
      <c r="AV146" s="53">
        <v>0</v>
      </c>
      <c r="AW146" s="53"/>
      <c r="AX146" s="53">
        <v>0</v>
      </c>
      <c r="AY146" s="53"/>
      <c r="AZ146" s="53">
        <f t="shared" si="19"/>
        <v>0</v>
      </c>
      <c r="BA146" s="51"/>
      <c r="BB146" s="35" t="s">
        <v>66</v>
      </c>
      <c r="BC146" s="35"/>
      <c r="BD146" s="35" t="s">
        <v>45</v>
      </c>
      <c r="BE146" s="53"/>
      <c r="BF146" s="53">
        <v>0</v>
      </c>
      <c r="BG146" s="53"/>
      <c r="BH146" s="53">
        <v>0</v>
      </c>
      <c r="BI146" s="53"/>
      <c r="BJ146" s="53">
        <v>0</v>
      </c>
      <c r="BK146" s="53"/>
      <c r="BL146" s="53">
        <v>0</v>
      </c>
      <c r="BM146" s="53"/>
      <c r="BN146" s="53">
        <f t="shared" si="17"/>
        <v>0</v>
      </c>
      <c r="BO146" s="139"/>
      <c r="BS146" s="140"/>
      <c r="BT146" s="140"/>
      <c r="BU146" s="141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0"/>
      <c r="CP146" s="140"/>
      <c r="CQ146" s="140"/>
    </row>
    <row r="147" spans="1:95" s="126" customFormat="1" ht="12.75" hidden="1" customHeight="1">
      <c r="A147" s="35" t="s">
        <v>173</v>
      </c>
      <c r="B147" s="51"/>
      <c r="C147" s="35" t="s">
        <v>66</v>
      </c>
      <c r="D147" s="44"/>
      <c r="E147" s="53">
        <f t="shared" ref="E147:E184" si="22">I147-G147</f>
        <v>0</v>
      </c>
      <c r="F147" s="53"/>
      <c r="G147" s="53">
        <v>0</v>
      </c>
      <c r="H147" s="53"/>
      <c r="I147" s="53">
        <v>0</v>
      </c>
      <c r="J147" s="53"/>
      <c r="K147" s="53">
        <f t="shared" ref="K147:K184" si="23">O147-M147</f>
        <v>0</v>
      </c>
      <c r="L147" s="53"/>
      <c r="M147" s="53">
        <v>0</v>
      </c>
      <c r="N147" s="53"/>
      <c r="O147" s="53">
        <v>0</v>
      </c>
      <c r="P147" s="53"/>
      <c r="Q147" s="53">
        <v>0</v>
      </c>
      <c r="R147" s="53"/>
      <c r="S147" s="53">
        <v>0</v>
      </c>
      <c r="T147" s="53"/>
      <c r="U147" s="53">
        <v>0</v>
      </c>
      <c r="V147" s="53"/>
      <c r="W147" s="53">
        <f t="shared" si="21"/>
        <v>0</v>
      </c>
      <c r="X147" s="51"/>
      <c r="Y147" s="51"/>
      <c r="Z147" s="35" t="s">
        <v>173</v>
      </c>
      <c r="AA147" s="53"/>
      <c r="AB147" s="35" t="s">
        <v>66</v>
      </c>
      <c r="AC147" s="51"/>
      <c r="AD147" s="53">
        <v>0</v>
      </c>
      <c r="AE147" s="53"/>
      <c r="AF147" s="53">
        <v>0</v>
      </c>
      <c r="AG147" s="53"/>
      <c r="AH147" s="53">
        <v>0</v>
      </c>
      <c r="AI147" s="53"/>
      <c r="AJ147" s="45">
        <f t="shared" si="20"/>
        <v>0</v>
      </c>
      <c r="AK147" s="45"/>
      <c r="AL147" s="53">
        <v>0</v>
      </c>
      <c r="AM147" s="45"/>
      <c r="AN147" s="53">
        <v>0</v>
      </c>
      <c r="AO147" s="53"/>
      <c r="AP147" s="53">
        <v>0</v>
      </c>
      <c r="AQ147" s="53"/>
      <c r="AR147" s="53">
        <v>0</v>
      </c>
      <c r="AS147" s="53"/>
      <c r="AT147" s="45">
        <f t="shared" si="18"/>
        <v>0</v>
      </c>
      <c r="AU147" s="45"/>
      <c r="AV147" s="53">
        <v>0</v>
      </c>
      <c r="AW147" s="53"/>
      <c r="AX147" s="53">
        <v>0</v>
      </c>
      <c r="AY147" s="53"/>
      <c r="AZ147" s="53">
        <f t="shared" si="19"/>
        <v>0</v>
      </c>
      <c r="BA147" s="51"/>
      <c r="BB147" s="35" t="s">
        <v>173</v>
      </c>
      <c r="BC147" s="35"/>
      <c r="BD147" s="35" t="s">
        <v>66</v>
      </c>
      <c r="BE147" s="53"/>
      <c r="BF147" s="53">
        <v>0</v>
      </c>
      <c r="BG147" s="53"/>
      <c r="BH147" s="53">
        <v>0</v>
      </c>
      <c r="BI147" s="53"/>
      <c r="BJ147" s="53">
        <v>0</v>
      </c>
      <c r="BK147" s="53"/>
      <c r="BL147" s="53">
        <v>0</v>
      </c>
      <c r="BM147" s="53"/>
      <c r="BN147" s="53">
        <f t="shared" ref="BN147:BN212" si="24">SUM(BF147:BL147)</f>
        <v>0</v>
      </c>
      <c r="BO147" s="139"/>
      <c r="BS147" s="140"/>
      <c r="BT147" s="140"/>
      <c r="BU147" s="141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40"/>
      <c r="CK147" s="140"/>
      <c r="CL147" s="140"/>
      <c r="CM147" s="140"/>
      <c r="CN147" s="140"/>
      <c r="CO147" s="140"/>
      <c r="CP147" s="140"/>
      <c r="CQ147" s="140"/>
    </row>
    <row r="148" spans="1:95" s="126" customFormat="1" ht="12.75" hidden="1" customHeight="1">
      <c r="A148" s="35" t="s">
        <v>365</v>
      </c>
      <c r="B148" s="51"/>
      <c r="C148" s="35" t="s">
        <v>45</v>
      </c>
      <c r="D148" s="44"/>
      <c r="E148" s="53">
        <f t="shared" si="22"/>
        <v>0</v>
      </c>
      <c r="F148" s="53"/>
      <c r="G148" s="53">
        <v>0</v>
      </c>
      <c r="H148" s="53"/>
      <c r="I148" s="53">
        <v>0</v>
      </c>
      <c r="J148" s="53"/>
      <c r="K148" s="53">
        <f t="shared" si="23"/>
        <v>0</v>
      </c>
      <c r="L148" s="53"/>
      <c r="M148" s="53">
        <v>0</v>
      </c>
      <c r="N148" s="53"/>
      <c r="O148" s="53">
        <v>0</v>
      </c>
      <c r="P148" s="53"/>
      <c r="Q148" s="53">
        <v>0</v>
      </c>
      <c r="R148" s="53"/>
      <c r="S148" s="53">
        <v>0</v>
      </c>
      <c r="T148" s="53"/>
      <c r="U148" s="53">
        <v>0</v>
      </c>
      <c r="V148" s="53"/>
      <c r="W148" s="53">
        <f t="shared" si="21"/>
        <v>0</v>
      </c>
      <c r="X148" s="51"/>
      <c r="Y148" s="51"/>
      <c r="Z148" s="35" t="s">
        <v>365</v>
      </c>
      <c r="AA148" s="53"/>
      <c r="AB148" s="35" t="s">
        <v>45</v>
      </c>
      <c r="AC148" s="51"/>
      <c r="AD148" s="53">
        <v>0</v>
      </c>
      <c r="AE148" s="53"/>
      <c r="AF148" s="53">
        <v>0</v>
      </c>
      <c r="AG148" s="53"/>
      <c r="AH148" s="53">
        <v>0</v>
      </c>
      <c r="AI148" s="53"/>
      <c r="AJ148" s="45">
        <f t="shared" si="20"/>
        <v>0</v>
      </c>
      <c r="AK148" s="45"/>
      <c r="AL148" s="53">
        <v>0</v>
      </c>
      <c r="AM148" s="45"/>
      <c r="AN148" s="53">
        <v>0</v>
      </c>
      <c r="AO148" s="53"/>
      <c r="AP148" s="53">
        <v>0</v>
      </c>
      <c r="AQ148" s="53"/>
      <c r="AR148" s="53">
        <v>0</v>
      </c>
      <c r="AS148" s="53"/>
      <c r="AT148" s="45">
        <f t="shared" si="18"/>
        <v>0</v>
      </c>
      <c r="AU148" s="45"/>
      <c r="AV148" s="53">
        <v>0</v>
      </c>
      <c r="AW148" s="53"/>
      <c r="AX148" s="53">
        <v>0</v>
      </c>
      <c r="AY148" s="53"/>
      <c r="AZ148" s="53">
        <f t="shared" si="19"/>
        <v>0</v>
      </c>
      <c r="BA148" s="51"/>
      <c r="BB148" s="35" t="s">
        <v>365</v>
      </c>
      <c r="BC148" s="35"/>
      <c r="BD148" s="35" t="s">
        <v>45</v>
      </c>
      <c r="BE148" s="53"/>
      <c r="BF148" s="53">
        <v>0</v>
      </c>
      <c r="BG148" s="53"/>
      <c r="BH148" s="53">
        <v>0</v>
      </c>
      <c r="BI148" s="53"/>
      <c r="BJ148" s="53">
        <v>0</v>
      </c>
      <c r="BK148" s="53"/>
      <c r="BL148" s="53">
        <v>0</v>
      </c>
      <c r="BM148" s="53"/>
      <c r="BN148" s="53">
        <f t="shared" si="24"/>
        <v>0</v>
      </c>
      <c r="BO148" s="139"/>
      <c r="BS148" s="140"/>
      <c r="BT148" s="140"/>
      <c r="BU148" s="141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</row>
    <row r="149" spans="1:95" s="35" customFormat="1" ht="12.75" customHeight="1">
      <c r="A149" s="35" t="s">
        <v>175</v>
      </c>
      <c r="B149" s="51"/>
      <c r="C149" s="35" t="s">
        <v>176</v>
      </c>
      <c r="D149" s="44"/>
      <c r="E149" s="53">
        <f t="shared" si="22"/>
        <v>1843704</v>
      </c>
      <c r="F149" s="53"/>
      <c r="G149" s="53">
        <v>17542097</v>
      </c>
      <c r="H149" s="53"/>
      <c r="I149" s="53">
        <v>19385801</v>
      </c>
      <c r="J149" s="53"/>
      <c r="K149" s="53">
        <f t="shared" si="23"/>
        <v>1030768</v>
      </c>
      <c r="L149" s="53"/>
      <c r="M149" s="53">
        <v>9225188</v>
      </c>
      <c r="N149" s="53"/>
      <c r="O149" s="53">
        <v>10255956</v>
      </c>
      <c r="P149" s="53"/>
      <c r="Q149" s="53">
        <v>7074445</v>
      </c>
      <c r="R149" s="53"/>
      <c r="S149" s="53">
        <f>506183+442000</f>
        <v>948183</v>
      </c>
      <c r="T149" s="53"/>
      <c r="U149" s="53">
        <v>1107217</v>
      </c>
      <c r="V149" s="53"/>
      <c r="W149" s="53">
        <f t="shared" si="21"/>
        <v>9129845</v>
      </c>
      <c r="X149" s="51"/>
      <c r="Y149" s="51"/>
      <c r="Z149" s="35" t="s">
        <v>175</v>
      </c>
      <c r="AA149" s="53"/>
      <c r="AB149" s="35" t="s">
        <v>176</v>
      </c>
      <c r="AC149" s="51"/>
      <c r="AD149" s="53">
        <v>3287232</v>
      </c>
      <c r="AE149" s="53"/>
      <c r="AF149" s="53">
        <f>2899961-908668</f>
        <v>1991293</v>
      </c>
      <c r="AG149" s="53"/>
      <c r="AH149" s="53">
        <v>908668</v>
      </c>
      <c r="AI149" s="53"/>
      <c r="AJ149" s="45">
        <f t="shared" si="20"/>
        <v>387271</v>
      </c>
      <c r="AK149" s="45"/>
      <c r="AL149" s="53">
        <v>-441432</v>
      </c>
      <c r="AM149" s="45"/>
      <c r="AN149" s="53">
        <v>0</v>
      </c>
      <c r="AO149" s="53"/>
      <c r="AP149" s="53">
        <v>0</v>
      </c>
      <c r="AQ149" s="53"/>
      <c r="AR149" s="53">
        <v>0</v>
      </c>
      <c r="AS149" s="53"/>
      <c r="AT149" s="45">
        <f t="shared" si="18"/>
        <v>-54161</v>
      </c>
      <c r="AU149" s="45"/>
      <c r="AV149" s="53">
        <v>0</v>
      </c>
      <c r="AW149" s="53"/>
      <c r="AX149" s="53">
        <v>0</v>
      </c>
      <c r="AY149" s="53"/>
      <c r="AZ149" s="53">
        <f t="shared" si="19"/>
        <v>812936</v>
      </c>
      <c r="BA149" s="51"/>
      <c r="BB149" s="35" t="s">
        <v>175</v>
      </c>
      <c r="BD149" s="35" t="s">
        <v>176</v>
      </c>
      <c r="BE149" s="53"/>
      <c r="BF149" s="53">
        <f>4988765+491525</f>
        <v>5480290</v>
      </c>
      <c r="BG149" s="53"/>
      <c r="BH149" s="53">
        <f>400000+4020000</f>
        <v>4420000</v>
      </c>
      <c r="BI149" s="53"/>
      <c r="BJ149" s="53">
        <f>122228+3134</f>
        <v>125362</v>
      </c>
      <c r="BK149" s="53"/>
      <c r="BL149" s="53">
        <f>42340+94195</f>
        <v>136535</v>
      </c>
      <c r="BM149" s="53"/>
      <c r="BN149" s="53">
        <f t="shared" si="24"/>
        <v>10162187</v>
      </c>
      <c r="BO149" s="54"/>
      <c r="BS149" s="55"/>
      <c r="BT149" s="55"/>
      <c r="BU149" s="84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</row>
    <row r="150" spans="1:95" s="35" customFormat="1" ht="12.75" customHeight="1">
      <c r="A150" s="35" t="s">
        <v>177</v>
      </c>
      <c r="B150" s="51"/>
      <c r="C150" s="35" t="s">
        <v>13</v>
      </c>
      <c r="D150" s="44"/>
      <c r="E150" s="53">
        <f t="shared" si="22"/>
        <v>2559513</v>
      </c>
      <c r="F150" s="53"/>
      <c r="G150" s="53">
        <v>2176042</v>
      </c>
      <c r="H150" s="53"/>
      <c r="I150" s="53">
        <v>4735555</v>
      </c>
      <c r="J150" s="53"/>
      <c r="K150" s="53">
        <f t="shared" si="23"/>
        <v>200237</v>
      </c>
      <c r="L150" s="53"/>
      <c r="M150" s="53">
        <v>269256</v>
      </c>
      <c r="N150" s="53"/>
      <c r="O150" s="53">
        <v>469493</v>
      </c>
      <c r="P150" s="53"/>
      <c r="Q150" s="53">
        <v>1733453</v>
      </c>
      <c r="R150" s="53"/>
      <c r="S150" s="53">
        <v>0</v>
      </c>
      <c r="T150" s="53"/>
      <c r="U150" s="53">
        <v>2532609</v>
      </c>
      <c r="V150" s="53"/>
      <c r="W150" s="53">
        <f t="shared" si="21"/>
        <v>4266062</v>
      </c>
      <c r="X150" s="51"/>
      <c r="Y150" s="51"/>
      <c r="Z150" s="35" t="s">
        <v>177</v>
      </c>
      <c r="AA150" s="53"/>
      <c r="AB150" s="35" t="s">
        <v>13</v>
      </c>
      <c r="AC150" s="51"/>
      <c r="AD150" s="53">
        <v>844107</v>
      </c>
      <c r="AE150" s="53"/>
      <c r="AF150" s="53">
        <f>702273-125864</f>
        <v>576409</v>
      </c>
      <c r="AG150" s="53"/>
      <c r="AH150" s="53">
        <v>125864</v>
      </c>
      <c r="AI150" s="53"/>
      <c r="AJ150" s="45">
        <f t="shared" si="20"/>
        <v>141834</v>
      </c>
      <c r="AK150" s="45"/>
      <c r="AL150" s="53">
        <v>-29707</v>
      </c>
      <c r="AM150" s="45"/>
      <c r="AN150" s="53">
        <v>0</v>
      </c>
      <c r="AO150" s="53"/>
      <c r="AP150" s="53">
        <v>553</v>
      </c>
      <c r="AQ150" s="53"/>
      <c r="AR150" s="53">
        <v>0</v>
      </c>
      <c r="AS150" s="53"/>
      <c r="AT150" s="45">
        <f t="shared" si="18"/>
        <v>111574</v>
      </c>
      <c r="AU150" s="45"/>
      <c r="AV150" s="53">
        <v>0</v>
      </c>
      <c r="AW150" s="53"/>
      <c r="AX150" s="53">
        <v>0</v>
      </c>
      <c r="AY150" s="53"/>
      <c r="AZ150" s="53">
        <f t="shared" si="19"/>
        <v>2359276</v>
      </c>
      <c r="BA150" s="51"/>
      <c r="BB150" s="35" t="s">
        <v>177</v>
      </c>
      <c r="BD150" s="35" t="s">
        <v>13</v>
      </c>
      <c r="BE150" s="53"/>
      <c r="BF150" s="53">
        <f>359256+83333</f>
        <v>442589</v>
      </c>
      <c r="BG150" s="53"/>
      <c r="BH150" s="53">
        <v>0</v>
      </c>
      <c r="BI150" s="53"/>
      <c r="BJ150" s="53">
        <v>0</v>
      </c>
      <c r="BK150" s="53"/>
      <c r="BL150" s="53">
        <v>0</v>
      </c>
      <c r="BM150" s="53"/>
      <c r="BN150" s="53">
        <f t="shared" si="24"/>
        <v>442589</v>
      </c>
      <c r="BO150" s="54"/>
      <c r="BS150" s="55"/>
      <c r="BT150" s="55"/>
      <c r="BU150" s="84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</row>
    <row r="151" spans="1:95" s="35" customFormat="1" ht="12.75" customHeight="1">
      <c r="A151" s="35" t="s">
        <v>178</v>
      </c>
      <c r="B151" s="51"/>
      <c r="C151" s="35" t="s">
        <v>179</v>
      </c>
      <c r="D151" s="44"/>
      <c r="E151" s="53">
        <f t="shared" si="22"/>
        <v>2467355</v>
      </c>
      <c r="F151" s="53"/>
      <c r="G151" s="53">
        <v>9154458</v>
      </c>
      <c r="H151" s="53"/>
      <c r="I151" s="53">
        <v>11621813</v>
      </c>
      <c r="J151" s="53"/>
      <c r="K151" s="53">
        <f t="shared" si="23"/>
        <v>758467</v>
      </c>
      <c r="L151" s="53"/>
      <c r="M151" s="53">
        <v>6926330</v>
      </c>
      <c r="N151" s="53"/>
      <c r="O151" s="53">
        <v>7684797</v>
      </c>
      <c r="P151" s="53"/>
      <c r="Q151" s="53">
        <v>2763982</v>
      </c>
      <c r="R151" s="53"/>
      <c r="S151" s="53">
        <v>0</v>
      </c>
      <c r="T151" s="53"/>
      <c r="U151" s="53">
        <v>1793034</v>
      </c>
      <c r="V151" s="53"/>
      <c r="W151" s="53">
        <f t="shared" si="21"/>
        <v>4557016</v>
      </c>
      <c r="X151" s="51"/>
      <c r="Y151" s="51"/>
      <c r="Z151" s="35" t="s">
        <v>178</v>
      </c>
      <c r="AA151" s="53"/>
      <c r="AB151" s="35" t="s">
        <v>179</v>
      </c>
      <c r="AC151" s="51"/>
      <c r="AD151" s="53">
        <v>2448665</v>
      </c>
      <c r="AE151" s="53"/>
      <c r="AF151" s="53">
        <f>2249276-250082</f>
        <v>1999194</v>
      </c>
      <c r="AG151" s="53"/>
      <c r="AH151" s="53">
        <v>250082</v>
      </c>
      <c r="AI151" s="53"/>
      <c r="AJ151" s="45">
        <f t="shared" si="20"/>
        <v>199389</v>
      </c>
      <c r="AK151" s="45"/>
      <c r="AL151" s="53">
        <v>-252515</v>
      </c>
      <c r="AM151" s="45"/>
      <c r="AN151" s="53">
        <v>0</v>
      </c>
      <c r="AO151" s="53"/>
      <c r="AP151" s="53">
        <v>0</v>
      </c>
      <c r="AQ151" s="53"/>
      <c r="AR151" s="53">
        <v>1202305</v>
      </c>
      <c r="AS151" s="53"/>
      <c r="AT151" s="45">
        <f t="shared" si="18"/>
        <v>1149179</v>
      </c>
      <c r="AU151" s="45"/>
      <c r="AV151" s="53">
        <v>0</v>
      </c>
      <c r="AW151" s="53"/>
      <c r="AX151" s="53">
        <v>0</v>
      </c>
      <c r="AY151" s="53"/>
      <c r="AZ151" s="53">
        <f t="shared" si="19"/>
        <v>1708888</v>
      </c>
      <c r="BA151" s="51"/>
      <c r="BB151" s="35" t="s">
        <v>178</v>
      </c>
      <c r="BD151" s="35" t="s">
        <v>179</v>
      </c>
      <c r="BE151" s="53"/>
      <c r="BF151" s="53">
        <f>1740000+130000</f>
        <v>1870000</v>
      </c>
      <c r="BG151" s="53"/>
      <c r="BH151" s="53">
        <f>125000+3260000</f>
        <v>3385000</v>
      </c>
      <c r="BI151" s="53"/>
      <c r="BJ151" s="53">
        <f>423671+158166+37439</f>
        <v>619276</v>
      </c>
      <c r="BK151" s="53"/>
      <c r="BL151" s="53">
        <f>71035+33458+620000+620000</f>
        <v>1344493</v>
      </c>
      <c r="BM151" s="53"/>
      <c r="BN151" s="53">
        <f t="shared" si="24"/>
        <v>7218769</v>
      </c>
      <c r="BO151" s="54"/>
      <c r="BS151" s="55"/>
      <c r="BT151" s="55"/>
      <c r="BU151" s="84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</row>
    <row r="152" spans="1:95" s="35" customFormat="1" ht="12.75" customHeight="1">
      <c r="A152" s="35" t="s">
        <v>180</v>
      </c>
      <c r="B152" s="51"/>
      <c r="C152" s="35" t="s">
        <v>20</v>
      </c>
      <c r="D152" s="44"/>
      <c r="E152" s="53">
        <f t="shared" si="22"/>
        <v>484185</v>
      </c>
      <c r="F152" s="53"/>
      <c r="G152" s="53">
        <v>2824084</v>
      </c>
      <c r="H152" s="53"/>
      <c r="I152" s="53">
        <v>3308269</v>
      </c>
      <c r="J152" s="53"/>
      <c r="K152" s="53">
        <f t="shared" si="23"/>
        <v>0</v>
      </c>
      <c r="L152" s="53"/>
      <c r="M152" s="53">
        <v>492307</v>
      </c>
      <c r="N152" s="53"/>
      <c r="O152" s="53">
        <v>492307</v>
      </c>
      <c r="P152" s="53"/>
      <c r="Q152" s="53">
        <v>2373697</v>
      </c>
      <c r="R152" s="53"/>
      <c r="S152" s="53">
        <v>0</v>
      </c>
      <c r="T152" s="53"/>
      <c r="U152" s="53">
        <v>333292</v>
      </c>
      <c r="V152" s="53"/>
      <c r="W152" s="53">
        <f t="shared" si="21"/>
        <v>2706989</v>
      </c>
      <c r="X152" s="51"/>
      <c r="Y152" s="51"/>
      <c r="Z152" s="35" t="s">
        <v>180</v>
      </c>
      <c r="AA152" s="53"/>
      <c r="AB152" s="35" t="s">
        <v>20</v>
      </c>
      <c r="AC152" s="51"/>
      <c r="AD152" s="53">
        <v>957237</v>
      </c>
      <c r="AE152" s="53"/>
      <c r="AF152" s="53">
        <f>1067125-123832</f>
        <v>943293</v>
      </c>
      <c r="AG152" s="53"/>
      <c r="AH152" s="53">
        <v>123832</v>
      </c>
      <c r="AI152" s="53"/>
      <c r="AJ152" s="45">
        <f t="shared" si="20"/>
        <v>-109888</v>
      </c>
      <c r="AK152" s="45"/>
      <c r="AL152" s="53">
        <v>-6560</v>
      </c>
      <c r="AM152" s="45"/>
      <c r="AN152" s="53">
        <v>0</v>
      </c>
      <c r="AO152" s="53"/>
      <c r="AP152" s="53">
        <v>0</v>
      </c>
      <c r="AQ152" s="53"/>
      <c r="AR152" s="53">
        <v>11926</v>
      </c>
      <c r="AS152" s="53"/>
      <c r="AT152" s="45">
        <f t="shared" si="18"/>
        <v>-104522</v>
      </c>
      <c r="AU152" s="45"/>
      <c r="AV152" s="53">
        <v>0</v>
      </c>
      <c r="AW152" s="53"/>
      <c r="AX152" s="53">
        <v>0</v>
      </c>
      <c r="AY152" s="53"/>
      <c r="AZ152" s="53">
        <f t="shared" si="19"/>
        <v>484185</v>
      </c>
      <c r="BA152" s="51"/>
      <c r="BB152" s="35" t="s">
        <v>180</v>
      </c>
      <c r="BD152" s="35" t="s">
        <v>20</v>
      </c>
      <c r="BE152" s="53"/>
      <c r="BF152" s="53">
        <v>0</v>
      </c>
      <c r="BG152" s="53"/>
      <c r="BH152" s="53">
        <v>0</v>
      </c>
      <c r="BI152" s="53"/>
      <c r="BJ152" s="53">
        <f>317869+101987+23872+2845</f>
        <v>446573</v>
      </c>
      <c r="BK152" s="53"/>
      <c r="BL152" s="53">
        <f>2674+51777+3814+8351</f>
        <v>66616</v>
      </c>
      <c r="BM152" s="53"/>
      <c r="BN152" s="53">
        <f t="shared" si="24"/>
        <v>513189</v>
      </c>
      <c r="BO152" s="54"/>
      <c r="BS152" s="55"/>
      <c r="BT152" s="55"/>
      <c r="BU152" s="84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</row>
    <row r="153" spans="1:95" s="35" customFormat="1" ht="12.75" customHeight="1">
      <c r="A153" s="35" t="s">
        <v>182</v>
      </c>
      <c r="C153" s="35" t="s">
        <v>183</v>
      </c>
      <c r="D153" s="44"/>
      <c r="E153" s="53">
        <f t="shared" si="22"/>
        <v>247298</v>
      </c>
      <c r="F153" s="53"/>
      <c r="G153" s="53">
        <v>3115271</v>
      </c>
      <c r="H153" s="53"/>
      <c r="I153" s="53">
        <v>3362569</v>
      </c>
      <c r="J153" s="53"/>
      <c r="K153" s="53">
        <f t="shared" si="23"/>
        <v>181652</v>
      </c>
      <c r="L153" s="53"/>
      <c r="M153" s="53">
        <v>2870262</v>
      </c>
      <c r="N153" s="53"/>
      <c r="O153" s="53">
        <v>3051914</v>
      </c>
      <c r="P153" s="53"/>
      <c r="Q153" s="53">
        <v>99442</v>
      </c>
      <c r="R153" s="53"/>
      <c r="S153" s="53">
        <v>0</v>
      </c>
      <c r="T153" s="53"/>
      <c r="U153" s="53">
        <v>211213</v>
      </c>
      <c r="V153" s="53"/>
      <c r="W153" s="53">
        <f t="shared" si="21"/>
        <v>310655</v>
      </c>
      <c r="X153" s="51"/>
      <c r="Y153" s="51"/>
      <c r="Z153" s="35" t="s">
        <v>182</v>
      </c>
      <c r="AA153" s="53"/>
      <c r="AB153" s="35" t="s">
        <v>183</v>
      </c>
      <c r="AC153" s="51"/>
      <c r="AD153" s="53">
        <v>708242</v>
      </c>
      <c r="AE153" s="53"/>
      <c r="AF153" s="53">
        <f>845011-411824</f>
        <v>433187</v>
      </c>
      <c r="AG153" s="53"/>
      <c r="AH153" s="53">
        <v>411824</v>
      </c>
      <c r="AI153" s="53"/>
      <c r="AJ153" s="45">
        <f t="shared" si="20"/>
        <v>-136769</v>
      </c>
      <c r="AK153" s="45"/>
      <c r="AL153" s="53">
        <v>-78494</v>
      </c>
      <c r="AM153" s="45"/>
      <c r="AN153" s="53">
        <v>0</v>
      </c>
      <c r="AO153" s="53"/>
      <c r="AP153" s="53">
        <v>0</v>
      </c>
      <c r="AQ153" s="53"/>
      <c r="AR153" s="53">
        <v>0</v>
      </c>
      <c r="AS153" s="53"/>
      <c r="AT153" s="45">
        <f t="shared" si="18"/>
        <v>-215263</v>
      </c>
      <c r="AU153" s="45"/>
      <c r="AV153" s="53">
        <v>0</v>
      </c>
      <c r="AW153" s="53"/>
      <c r="AX153" s="53">
        <v>0</v>
      </c>
      <c r="AY153" s="53"/>
      <c r="AZ153" s="53">
        <f t="shared" si="19"/>
        <v>65646</v>
      </c>
      <c r="BA153" s="51"/>
      <c r="BB153" s="35" t="s">
        <v>182</v>
      </c>
      <c r="BD153" s="35" t="s">
        <v>183</v>
      </c>
      <c r="BE153" s="53"/>
      <c r="BF153" s="53">
        <v>0</v>
      </c>
      <c r="BG153" s="53"/>
      <c r="BH153" s="53">
        <v>0</v>
      </c>
      <c r="BI153" s="53"/>
      <c r="BJ153" s="53">
        <f>2855846-159983</f>
        <v>2695863</v>
      </c>
      <c r="BK153" s="53"/>
      <c r="BL153" s="53">
        <f>5313+14416</f>
        <v>19729</v>
      </c>
      <c r="BM153" s="53"/>
      <c r="BN153" s="53">
        <f t="shared" si="24"/>
        <v>2715592</v>
      </c>
      <c r="BO153" s="54"/>
      <c r="BS153" s="55"/>
      <c r="BT153" s="55"/>
      <c r="BU153" s="84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</row>
    <row r="154" spans="1:95" s="35" customFormat="1" ht="12.75" customHeight="1">
      <c r="A154" s="35" t="s">
        <v>184</v>
      </c>
      <c r="B154" s="51"/>
      <c r="C154" s="35" t="s">
        <v>89</v>
      </c>
      <c r="D154" s="44"/>
      <c r="E154" s="53">
        <f t="shared" si="22"/>
        <v>1320750</v>
      </c>
      <c r="F154" s="53"/>
      <c r="G154" s="53">
        <v>10553904</v>
      </c>
      <c r="H154" s="53"/>
      <c r="I154" s="53">
        <v>11874654</v>
      </c>
      <c r="J154" s="53"/>
      <c r="K154" s="53">
        <f t="shared" si="23"/>
        <v>167740</v>
      </c>
      <c r="L154" s="53"/>
      <c r="M154" s="53">
        <v>175190</v>
      </c>
      <c r="N154" s="53"/>
      <c r="O154" s="53">
        <v>342930</v>
      </c>
      <c r="P154" s="53"/>
      <c r="Q154" s="53">
        <v>1473904</v>
      </c>
      <c r="R154" s="53"/>
      <c r="S154" s="53">
        <v>0</v>
      </c>
      <c r="T154" s="53"/>
      <c r="U154" s="53">
        <v>1057820</v>
      </c>
      <c r="V154" s="53"/>
      <c r="W154" s="53">
        <f t="shared" si="21"/>
        <v>2531724</v>
      </c>
      <c r="X154" s="51"/>
      <c r="Y154" s="51"/>
      <c r="Z154" s="35" t="s">
        <v>184</v>
      </c>
      <c r="AA154" s="53"/>
      <c r="AB154" s="35" t="s">
        <v>89</v>
      </c>
      <c r="AC154" s="51"/>
      <c r="AD154" s="53">
        <v>2297166</v>
      </c>
      <c r="AE154" s="53"/>
      <c r="AF154" s="53">
        <f>2534066-462056</f>
        <v>2072010</v>
      </c>
      <c r="AG154" s="53"/>
      <c r="AH154" s="53">
        <v>462056</v>
      </c>
      <c r="AI154" s="53"/>
      <c r="AJ154" s="45">
        <f t="shared" si="20"/>
        <v>-236900</v>
      </c>
      <c r="AK154" s="45"/>
      <c r="AL154" s="53">
        <v>21327</v>
      </c>
      <c r="AM154" s="45"/>
      <c r="AN154" s="53">
        <v>0</v>
      </c>
      <c r="AO154" s="53"/>
      <c r="AP154" s="53">
        <v>0</v>
      </c>
      <c r="AQ154" s="53"/>
      <c r="AR154" s="53">
        <v>3248</v>
      </c>
      <c r="AS154" s="53"/>
      <c r="AT154" s="45">
        <f t="shared" ref="AT154:AT184" si="25">+AJ154+AL154+AN154-AP154+AR154</f>
        <v>-212325</v>
      </c>
      <c r="AU154" s="45"/>
      <c r="AV154" s="53">
        <v>0</v>
      </c>
      <c r="AW154" s="53"/>
      <c r="AX154" s="53">
        <v>0</v>
      </c>
      <c r="AY154" s="53"/>
      <c r="AZ154" s="53">
        <f t="shared" ref="AZ154:AZ184" si="26">E154-K154</f>
        <v>1153010</v>
      </c>
      <c r="BA154" s="51"/>
      <c r="BB154" s="35" t="s">
        <v>184</v>
      </c>
      <c r="BD154" s="35" t="s">
        <v>89</v>
      </c>
      <c r="BE154" s="53"/>
      <c r="BF154" s="53">
        <v>0</v>
      </c>
      <c r="BG154" s="53"/>
      <c r="BH154" s="53">
        <v>0</v>
      </c>
      <c r="BI154" s="53"/>
      <c r="BJ154" s="53">
        <f>75000+5000</f>
        <v>80000</v>
      </c>
      <c r="BK154" s="53"/>
      <c r="BL154" s="53">
        <f>11883+100190</f>
        <v>112073</v>
      </c>
      <c r="BM154" s="53"/>
      <c r="BN154" s="53">
        <f t="shared" si="24"/>
        <v>192073</v>
      </c>
      <c r="BO154" s="54"/>
      <c r="BS154" s="55"/>
      <c r="BT154" s="55"/>
      <c r="BU154" s="84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</row>
    <row r="155" spans="1:95" s="35" customFormat="1" ht="12.75" customHeight="1">
      <c r="A155" s="35" t="s">
        <v>181</v>
      </c>
      <c r="B155" s="51"/>
      <c r="C155" s="35" t="s">
        <v>125</v>
      </c>
      <c r="D155" s="44"/>
      <c r="E155" s="53">
        <f t="shared" si="22"/>
        <v>3250668</v>
      </c>
      <c r="F155" s="53"/>
      <c r="G155" s="53">
        <v>20099444</v>
      </c>
      <c r="H155" s="53"/>
      <c r="I155" s="53">
        <v>23350112</v>
      </c>
      <c r="J155" s="53"/>
      <c r="K155" s="53">
        <f t="shared" si="23"/>
        <v>1504993</v>
      </c>
      <c r="L155" s="53"/>
      <c r="M155" s="53">
        <v>10533813</v>
      </c>
      <c r="N155" s="53"/>
      <c r="O155" s="53">
        <v>12038806</v>
      </c>
      <c r="P155" s="53"/>
      <c r="Q155" s="53">
        <v>13398090</v>
      </c>
      <c r="R155" s="53"/>
      <c r="S155" s="53">
        <v>0</v>
      </c>
      <c r="T155" s="53"/>
      <c r="U155" s="53">
        <v>-2086784</v>
      </c>
      <c r="V155" s="53"/>
      <c r="W155" s="53">
        <f t="shared" si="21"/>
        <v>11311306</v>
      </c>
      <c r="X155" s="51"/>
      <c r="Y155" s="51"/>
      <c r="Z155" s="35" t="s">
        <v>181</v>
      </c>
      <c r="AA155" s="53"/>
      <c r="AB155" s="35" t="s">
        <v>125</v>
      </c>
      <c r="AC155" s="51"/>
      <c r="AD155" s="53">
        <v>5850171</v>
      </c>
      <c r="AE155" s="53"/>
      <c r="AF155" s="53">
        <f>5700307-818899</f>
        <v>4881408</v>
      </c>
      <c r="AG155" s="53"/>
      <c r="AH155" s="53">
        <v>818899</v>
      </c>
      <c r="AI155" s="53"/>
      <c r="AJ155" s="45">
        <f t="shared" si="20"/>
        <v>149864</v>
      </c>
      <c r="AK155" s="45"/>
      <c r="AL155" s="53">
        <v>-789289</v>
      </c>
      <c r="AM155" s="45"/>
      <c r="AN155" s="53">
        <v>1043974</v>
      </c>
      <c r="AO155" s="53"/>
      <c r="AP155" s="53">
        <v>136000</v>
      </c>
      <c r="AQ155" s="53"/>
      <c r="AR155" s="53">
        <v>0</v>
      </c>
      <c r="AS155" s="53"/>
      <c r="AT155" s="45">
        <f t="shared" si="25"/>
        <v>268549</v>
      </c>
      <c r="AU155" s="45"/>
      <c r="AV155" s="53">
        <v>0</v>
      </c>
      <c r="AW155" s="53"/>
      <c r="AX155" s="53">
        <v>0</v>
      </c>
      <c r="AY155" s="53"/>
      <c r="AZ155" s="53">
        <f t="shared" si="26"/>
        <v>1745675</v>
      </c>
      <c r="BA155" s="51"/>
      <c r="BB155" s="35" t="s">
        <v>181</v>
      </c>
      <c r="BD155" s="35" t="s">
        <v>125</v>
      </c>
      <c r="BE155" s="53"/>
      <c r="BF155" s="53">
        <f>9293891+825975</f>
        <v>10119866</v>
      </c>
      <c r="BG155" s="53"/>
      <c r="BH155" s="53">
        <v>0</v>
      </c>
      <c r="BI155" s="53"/>
      <c r="BJ155" s="53">
        <v>783397</v>
      </c>
      <c r="BK155" s="53"/>
      <c r="BL155" s="53">
        <f>352+319995+136178+227500+42400</f>
        <v>726425</v>
      </c>
      <c r="BM155" s="53"/>
      <c r="BN155" s="53">
        <f t="shared" ref="BN155" si="27">SUM(BF155:BL155)</f>
        <v>11629688</v>
      </c>
      <c r="BO155" s="54"/>
      <c r="BP155" s="55"/>
      <c r="BS155" s="55"/>
      <c r="BT155" s="55"/>
      <c r="BU155" s="84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</row>
    <row r="156" spans="1:95" s="35" customFormat="1" ht="12.75" customHeight="1">
      <c r="A156" s="35" t="s">
        <v>185</v>
      </c>
      <c r="C156" s="35" t="s">
        <v>80</v>
      </c>
      <c r="D156" s="44"/>
      <c r="E156" s="53">
        <f t="shared" si="22"/>
        <v>891065</v>
      </c>
      <c r="F156" s="53"/>
      <c r="G156" s="53">
        <v>854471</v>
      </c>
      <c r="H156" s="53"/>
      <c r="I156" s="53">
        <v>1745536</v>
      </c>
      <c r="J156" s="53"/>
      <c r="K156" s="53">
        <f t="shared" si="23"/>
        <v>1825531</v>
      </c>
      <c r="L156" s="53"/>
      <c r="M156" s="53">
        <v>739160</v>
      </c>
      <c r="N156" s="53"/>
      <c r="O156" s="53">
        <v>2564691</v>
      </c>
      <c r="P156" s="53"/>
      <c r="Q156" s="53">
        <v>-466944</v>
      </c>
      <c r="R156" s="53"/>
      <c r="S156" s="53">
        <v>0</v>
      </c>
      <c r="T156" s="53"/>
      <c r="U156" s="53">
        <v>-352211</v>
      </c>
      <c r="V156" s="53"/>
      <c r="W156" s="53">
        <f t="shared" si="21"/>
        <v>-819155</v>
      </c>
      <c r="Z156" s="35" t="s">
        <v>185</v>
      </c>
      <c r="AA156" s="53"/>
      <c r="AB156" s="35" t="s">
        <v>80</v>
      </c>
      <c r="AD156" s="53">
        <v>4629013</v>
      </c>
      <c r="AE156" s="53"/>
      <c r="AF156" s="53">
        <f>4836957-79343</f>
        <v>4757614</v>
      </c>
      <c r="AG156" s="53"/>
      <c r="AH156" s="53">
        <v>79343</v>
      </c>
      <c r="AI156" s="53"/>
      <c r="AJ156" s="45">
        <f t="shared" si="20"/>
        <v>-207944</v>
      </c>
      <c r="AK156" s="45"/>
      <c r="AL156" s="53">
        <v>-279648</v>
      </c>
      <c r="AM156" s="45"/>
      <c r="AN156" s="53">
        <v>0</v>
      </c>
      <c r="AO156" s="53"/>
      <c r="AP156" s="53">
        <v>0</v>
      </c>
      <c r="AQ156" s="53"/>
      <c r="AR156" s="53">
        <v>0</v>
      </c>
      <c r="AS156" s="53"/>
      <c r="AT156" s="45">
        <f t="shared" si="25"/>
        <v>-487592</v>
      </c>
      <c r="AU156" s="45"/>
      <c r="AV156" s="53">
        <v>0</v>
      </c>
      <c r="AW156" s="53"/>
      <c r="AX156" s="53">
        <v>0</v>
      </c>
      <c r="AY156" s="53"/>
      <c r="AZ156" s="53">
        <f t="shared" si="26"/>
        <v>-934466</v>
      </c>
      <c r="BA156" s="51"/>
      <c r="BB156" s="35" t="s">
        <v>185</v>
      </c>
      <c r="BD156" s="35" t="s">
        <v>80</v>
      </c>
      <c r="BE156" s="53"/>
      <c r="BF156" s="53">
        <v>0</v>
      </c>
      <c r="BG156" s="53"/>
      <c r="BH156" s="53">
        <v>0</v>
      </c>
      <c r="BI156" s="53"/>
      <c r="BJ156" s="53">
        <f>639851+159962</f>
        <v>799813</v>
      </c>
      <c r="BK156" s="53"/>
      <c r="BL156" s="53">
        <f>99309+6331</f>
        <v>105640</v>
      </c>
      <c r="BM156" s="53"/>
      <c r="BN156" s="53">
        <f t="shared" si="24"/>
        <v>905453</v>
      </c>
      <c r="BO156" s="54"/>
      <c r="BP156" s="55"/>
      <c r="BS156" s="55"/>
      <c r="BT156" s="55"/>
      <c r="BU156" s="84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</row>
    <row r="157" spans="1:95" s="35" customFormat="1" ht="12.75" customHeight="1">
      <c r="A157" s="35" t="s">
        <v>186</v>
      </c>
      <c r="B157" s="51"/>
      <c r="C157" s="35" t="s">
        <v>15</v>
      </c>
      <c r="D157" s="44"/>
      <c r="E157" s="53">
        <f t="shared" si="22"/>
        <v>3370966</v>
      </c>
      <c r="F157" s="53"/>
      <c r="G157" s="53">
        <v>34299266</v>
      </c>
      <c r="H157" s="53"/>
      <c r="I157" s="53">
        <v>37670232</v>
      </c>
      <c r="J157" s="53"/>
      <c r="K157" s="53">
        <f t="shared" si="23"/>
        <v>1437527</v>
      </c>
      <c r="L157" s="53"/>
      <c r="M157" s="53">
        <v>14159673</v>
      </c>
      <c r="N157" s="53"/>
      <c r="O157" s="53">
        <v>15597200</v>
      </c>
      <c r="P157" s="53"/>
      <c r="Q157" s="53">
        <v>19103494</v>
      </c>
      <c r="R157" s="53"/>
      <c r="S157" s="53">
        <v>0</v>
      </c>
      <c r="T157" s="53"/>
      <c r="U157" s="53">
        <v>2969538</v>
      </c>
      <c r="V157" s="53"/>
      <c r="W157" s="53">
        <f t="shared" si="21"/>
        <v>22073032</v>
      </c>
      <c r="X157" s="51"/>
      <c r="Y157" s="51"/>
      <c r="Z157" s="35" t="s">
        <v>186</v>
      </c>
      <c r="AA157" s="53"/>
      <c r="AB157" s="35" t="s">
        <v>15</v>
      </c>
      <c r="AC157" s="51"/>
      <c r="AD157" s="53">
        <v>5885354</v>
      </c>
      <c r="AE157" s="53"/>
      <c r="AF157" s="53">
        <f>5069085-1588697</f>
        <v>3480388</v>
      </c>
      <c r="AG157" s="53"/>
      <c r="AH157" s="53">
        <v>1588697</v>
      </c>
      <c r="AI157" s="53"/>
      <c r="AJ157" s="45">
        <f t="shared" si="20"/>
        <v>816269</v>
      </c>
      <c r="AK157" s="45"/>
      <c r="AL157" s="53">
        <v>-573712</v>
      </c>
      <c r="AM157" s="45"/>
      <c r="AN157" s="53">
        <v>0</v>
      </c>
      <c r="AO157" s="53"/>
      <c r="AP157" s="53">
        <v>40000</v>
      </c>
      <c r="AQ157" s="53"/>
      <c r="AR157" s="53">
        <v>183511</v>
      </c>
      <c r="AS157" s="53"/>
      <c r="AT157" s="45">
        <f t="shared" si="25"/>
        <v>386068</v>
      </c>
      <c r="AU157" s="45"/>
      <c r="AV157" s="53">
        <v>0</v>
      </c>
      <c r="AW157" s="53"/>
      <c r="AX157" s="53">
        <v>0</v>
      </c>
      <c r="AY157" s="53"/>
      <c r="AZ157" s="53">
        <f t="shared" si="26"/>
        <v>1933439</v>
      </c>
      <c r="BA157" s="51"/>
      <c r="BB157" s="35" t="s">
        <v>186</v>
      </c>
      <c r="BD157" s="35" t="s">
        <v>15</v>
      </c>
      <c r="BE157" s="53"/>
      <c r="BF157" s="53">
        <f>3815000+170000</f>
        <v>3985000</v>
      </c>
      <c r="BG157" s="53"/>
      <c r="BH157" s="53">
        <v>0</v>
      </c>
      <c r="BI157" s="53"/>
      <c r="BJ157" s="53">
        <f>61017+65015+9085756+1258917</f>
        <v>10470705</v>
      </c>
      <c r="BK157" s="53"/>
      <c r="BL157" s="53">
        <v>0</v>
      </c>
      <c r="BM157" s="53"/>
      <c r="BN157" s="53">
        <f t="shared" si="24"/>
        <v>14455705</v>
      </c>
      <c r="BO157" s="54"/>
      <c r="BS157" s="55"/>
      <c r="BT157" s="55"/>
      <c r="BU157" s="84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</row>
    <row r="158" spans="1:95" s="126" customFormat="1" ht="12.75" hidden="1" customHeight="1">
      <c r="A158" s="35" t="s">
        <v>187</v>
      </c>
      <c r="B158" s="51"/>
      <c r="C158" s="35" t="s">
        <v>27</v>
      </c>
      <c r="D158" s="44"/>
      <c r="E158" s="53">
        <f t="shared" si="22"/>
        <v>0</v>
      </c>
      <c r="F158" s="53"/>
      <c r="G158" s="53">
        <v>0</v>
      </c>
      <c r="H158" s="53"/>
      <c r="I158" s="53">
        <v>0</v>
      </c>
      <c r="J158" s="53"/>
      <c r="K158" s="53">
        <f t="shared" si="23"/>
        <v>0</v>
      </c>
      <c r="L158" s="53"/>
      <c r="M158" s="53">
        <v>0</v>
      </c>
      <c r="N158" s="53"/>
      <c r="O158" s="53">
        <v>0</v>
      </c>
      <c r="P158" s="53"/>
      <c r="Q158" s="53">
        <v>0</v>
      </c>
      <c r="R158" s="53"/>
      <c r="S158" s="53">
        <v>0</v>
      </c>
      <c r="T158" s="53"/>
      <c r="U158" s="53">
        <v>0</v>
      </c>
      <c r="V158" s="53"/>
      <c r="W158" s="53">
        <f t="shared" si="21"/>
        <v>0</v>
      </c>
      <c r="X158" s="51"/>
      <c r="Y158" s="51"/>
      <c r="Z158" s="35" t="s">
        <v>187</v>
      </c>
      <c r="AA158" s="53"/>
      <c r="AB158" s="35" t="s">
        <v>27</v>
      </c>
      <c r="AC158" s="51"/>
      <c r="AD158" s="53">
        <v>0</v>
      </c>
      <c r="AE158" s="53"/>
      <c r="AF158" s="53">
        <v>0</v>
      </c>
      <c r="AG158" s="53"/>
      <c r="AH158" s="53">
        <v>0</v>
      </c>
      <c r="AI158" s="53"/>
      <c r="AJ158" s="45">
        <f t="shared" si="20"/>
        <v>0</v>
      </c>
      <c r="AK158" s="45"/>
      <c r="AL158" s="53">
        <v>0</v>
      </c>
      <c r="AM158" s="45"/>
      <c r="AN158" s="53">
        <v>0</v>
      </c>
      <c r="AO158" s="53"/>
      <c r="AP158" s="53">
        <v>0</v>
      </c>
      <c r="AQ158" s="53"/>
      <c r="AR158" s="53">
        <v>0</v>
      </c>
      <c r="AS158" s="53"/>
      <c r="AT158" s="45">
        <f t="shared" si="25"/>
        <v>0</v>
      </c>
      <c r="AU158" s="45"/>
      <c r="AV158" s="53">
        <v>0</v>
      </c>
      <c r="AW158" s="53"/>
      <c r="AX158" s="53">
        <v>0</v>
      </c>
      <c r="AY158" s="53"/>
      <c r="AZ158" s="53">
        <f t="shared" si="26"/>
        <v>0</v>
      </c>
      <c r="BA158" s="51"/>
      <c r="BB158" s="35" t="s">
        <v>187</v>
      </c>
      <c r="BC158" s="35"/>
      <c r="BD158" s="35" t="s">
        <v>27</v>
      </c>
      <c r="BE158" s="53"/>
      <c r="BF158" s="53">
        <v>0</v>
      </c>
      <c r="BG158" s="53"/>
      <c r="BH158" s="53">
        <v>0</v>
      </c>
      <c r="BI158" s="53"/>
      <c r="BJ158" s="53">
        <v>0</v>
      </c>
      <c r="BK158" s="53"/>
      <c r="BL158" s="53">
        <v>0</v>
      </c>
      <c r="BM158" s="79"/>
      <c r="BN158" s="79">
        <f t="shared" si="24"/>
        <v>0</v>
      </c>
      <c r="BO158" s="139"/>
      <c r="BS158" s="140"/>
      <c r="BT158" s="140"/>
      <c r="BU158" s="141"/>
      <c r="BV158" s="140"/>
      <c r="BW158" s="140"/>
      <c r="BX158" s="140"/>
      <c r="BY158" s="140"/>
      <c r="BZ158" s="140"/>
      <c r="CA158" s="140"/>
      <c r="CB158" s="140"/>
      <c r="CC158" s="140"/>
      <c r="CD158" s="140"/>
      <c r="CE158" s="140"/>
      <c r="CF158" s="140"/>
      <c r="CG158" s="140"/>
      <c r="CH158" s="140"/>
      <c r="CI158" s="140"/>
      <c r="CJ158" s="140"/>
      <c r="CK158" s="140"/>
      <c r="CL158" s="140"/>
      <c r="CM158" s="140"/>
      <c r="CN158" s="140"/>
      <c r="CO158" s="140"/>
      <c r="CP158" s="140"/>
      <c r="CQ158" s="140"/>
    </row>
    <row r="159" spans="1:95" s="35" customFormat="1" ht="12.75" customHeight="1">
      <c r="A159" s="44" t="s">
        <v>189</v>
      </c>
      <c r="B159" s="51"/>
      <c r="C159" s="44" t="s">
        <v>17</v>
      </c>
      <c r="D159" s="44"/>
      <c r="E159" s="53">
        <f t="shared" si="22"/>
        <v>6680290</v>
      </c>
      <c r="F159" s="53"/>
      <c r="G159" s="53">
        <v>19977877</v>
      </c>
      <c r="H159" s="53"/>
      <c r="I159" s="53">
        <v>26658167</v>
      </c>
      <c r="J159" s="53"/>
      <c r="K159" s="53">
        <f t="shared" si="23"/>
        <v>1005488</v>
      </c>
      <c r="L159" s="53"/>
      <c r="M159" s="53">
        <v>7299935</v>
      </c>
      <c r="N159" s="53"/>
      <c r="O159" s="53">
        <v>8305423</v>
      </c>
      <c r="P159" s="53"/>
      <c r="Q159" s="53">
        <v>15096492</v>
      </c>
      <c r="R159" s="53"/>
      <c r="S159" s="53">
        <v>0</v>
      </c>
      <c r="T159" s="53"/>
      <c r="U159" s="53">
        <v>3256252</v>
      </c>
      <c r="V159" s="53"/>
      <c r="W159" s="53">
        <f t="shared" si="21"/>
        <v>18352744</v>
      </c>
      <c r="X159" s="51"/>
      <c r="Y159" s="51"/>
      <c r="Z159" s="44" t="s">
        <v>189</v>
      </c>
      <c r="AA159" s="53"/>
      <c r="AB159" s="44" t="s">
        <v>17</v>
      </c>
      <c r="AC159" s="51"/>
      <c r="AD159" s="53">
        <v>3181204</v>
      </c>
      <c r="AE159" s="53"/>
      <c r="AF159" s="53">
        <f>3130661-543432</f>
        <v>2587229</v>
      </c>
      <c r="AG159" s="53"/>
      <c r="AH159" s="53">
        <v>543432</v>
      </c>
      <c r="AI159" s="53"/>
      <c r="AJ159" s="45">
        <f t="shared" ref="AJ159:AJ184" si="28">+AD159-AF159-AH159</f>
        <v>50543</v>
      </c>
      <c r="AK159" s="45"/>
      <c r="AL159" s="53">
        <v>-232555</v>
      </c>
      <c r="AM159" s="45"/>
      <c r="AN159" s="53">
        <v>0</v>
      </c>
      <c r="AO159" s="53"/>
      <c r="AP159" s="53">
        <v>0</v>
      </c>
      <c r="AQ159" s="53"/>
      <c r="AR159" s="53">
        <v>462352</v>
      </c>
      <c r="AS159" s="53"/>
      <c r="AT159" s="45">
        <f t="shared" si="25"/>
        <v>280340</v>
      </c>
      <c r="AU159" s="45"/>
      <c r="AV159" s="53">
        <v>0</v>
      </c>
      <c r="AW159" s="53"/>
      <c r="AX159" s="53">
        <v>0</v>
      </c>
      <c r="AY159" s="53"/>
      <c r="AZ159" s="53">
        <f t="shared" si="26"/>
        <v>5674802</v>
      </c>
      <c r="BA159" s="51"/>
      <c r="BB159" s="44" t="s">
        <v>189</v>
      </c>
      <c r="BD159" s="44" t="s">
        <v>17</v>
      </c>
      <c r="BE159" s="53"/>
      <c r="BF159" s="53">
        <f>4445000+465000</f>
        <v>4910000</v>
      </c>
      <c r="BG159" s="53"/>
      <c r="BH159" s="53">
        <v>0</v>
      </c>
      <c r="BI159" s="53"/>
      <c r="BJ159" s="53">
        <f>2667035+148479</f>
        <v>2815514</v>
      </c>
      <c r="BK159" s="53"/>
      <c r="BL159" s="53">
        <f>187900+27900</f>
        <v>215800</v>
      </c>
      <c r="BM159" s="53"/>
      <c r="BN159" s="53">
        <f t="shared" si="24"/>
        <v>7941314</v>
      </c>
      <c r="BO159" s="54"/>
      <c r="BS159" s="55"/>
      <c r="BT159" s="55"/>
      <c r="BU159" s="84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</row>
    <row r="160" spans="1:95" s="35" customFormat="1" ht="12.75" hidden="1" customHeight="1">
      <c r="A160" s="35" t="s">
        <v>188</v>
      </c>
      <c r="B160" s="51"/>
      <c r="C160" s="35" t="s">
        <v>27</v>
      </c>
      <c r="D160" s="44"/>
      <c r="E160" s="53">
        <f t="shared" si="22"/>
        <v>0</v>
      </c>
      <c r="F160" s="53"/>
      <c r="G160" s="53">
        <v>0</v>
      </c>
      <c r="H160" s="53"/>
      <c r="I160" s="53">
        <v>0</v>
      </c>
      <c r="J160" s="53"/>
      <c r="K160" s="53">
        <f t="shared" si="23"/>
        <v>0</v>
      </c>
      <c r="L160" s="53"/>
      <c r="M160" s="53">
        <v>0</v>
      </c>
      <c r="N160" s="53"/>
      <c r="O160" s="53">
        <v>0</v>
      </c>
      <c r="P160" s="53"/>
      <c r="Q160" s="53">
        <v>0</v>
      </c>
      <c r="R160" s="53"/>
      <c r="S160" s="53">
        <v>0</v>
      </c>
      <c r="T160" s="53"/>
      <c r="U160" s="53">
        <v>0</v>
      </c>
      <c r="V160" s="53"/>
      <c r="W160" s="53">
        <f t="shared" si="21"/>
        <v>0</v>
      </c>
      <c r="X160" s="51"/>
      <c r="Y160" s="51"/>
      <c r="Z160" s="35" t="s">
        <v>188</v>
      </c>
      <c r="AA160" s="53"/>
      <c r="AB160" s="35" t="s">
        <v>27</v>
      </c>
      <c r="AC160" s="51"/>
      <c r="AD160" s="53">
        <v>0</v>
      </c>
      <c r="AE160" s="53"/>
      <c r="AF160" s="53">
        <v>0</v>
      </c>
      <c r="AG160" s="53"/>
      <c r="AH160" s="53">
        <v>0</v>
      </c>
      <c r="AI160" s="53"/>
      <c r="AJ160" s="45">
        <f t="shared" si="28"/>
        <v>0</v>
      </c>
      <c r="AK160" s="45"/>
      <c r="AL160" s="53">
        <v>0</v>
      </c>
      <c r="AM160" s="45"/>
      <c r="AN160" s="53">
        <v>0</v>
      </c>
      <c r="AO160" s="53"/>
      <c r="AP160" s="53">
        <v>0</v>
      </c>
      <c r="AQ160" s="53"/>
      <c r="AR160" s="53">
        <v>0</v>
      </c>
      <c r="AS160" s="53"/>
      <c r="AT160" s="45">
        <f t="shared" si="25"/>
        <v>0</v>
      </c>
      <c r="AU160" s="45"/>
      <c r="AV160" s="53">
        <v>0</v>
      </c>
      <c r="AW160" s="53"/>
      <c r="AX160" s="53">
        <v>0</v>
      </c>
      <c r="AY160" s="53"/>
      <c r="AZ160" s="53">
        <f t="shared" si="26"/>
        <v>0</v>
      </c>
      <c r="BA160" s="51"/>
      <c r="BB160" s="35" t="s">
        <v>188</v>
      </c>
      <c r="BD160" s="35" t="s">
        <v>27</v>
      </c>
      <c r="BE160" s="53"/>
      <c r="BF160" s="53">
        <v>0</v>
      </c>
      <c r="BG160" s="53"/>
      <c r="BH160" s="53">
        <v>0</v>
      </c>
      <c r="BI160" s="53"/>
      <c r="BJ160" s="53">
        <v>0</v>
      </c>
      <c r="BK160" s="53"/>
      <c r="BL160" s="53">
        <v>0</v>
      </c>
      <c r="BM160" s="53"/>
      <c r="BN160" s="53">
        <f t="shared" si="24"/>
        <v>0</v>
      </c>
      <c r="BO160" s="54"/>
      <c r="BS160" s="55"/>
      <c r="BT160" s="55"/>
      <c r="BU160" s="84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</row>
    <row r="161" spans="1:95" s="126" customFormat="1" ht="12.75" hidden="1" customHeight="1">
      <c r="A161" s="35" t="s">
        <v>190</v>
      </c>
      <c r="B161" s="51"/>
      <c r="C161" s="35" t="s">
        <v>47</v>
      </c>
      <c r="D161" s="44"/>
      <c r="E161" s="53">
        <f t="shared" si="22"/>
        <v>0</v>
      </c>
      <c r="F161" s="53"/>
      <c r="G161" s="53">
        <v>0</v>
      </c>
      <c r="H161" s="53"/>
      <c r="I161" s="53">
        <v>0</v>
      </c>
      <c r="J161" s="53"/>
      <c r="K161" s="53">
        <f t="shared" si="23"/>
        <v>0</v>
      </c>
      <c r="L161" s="53"/>
      <c r="M161" s="53">
        <v>0</v>
      </c>
      <c r="N161" s="53"/>
      <c r="O161" s="53">
        <v>0</v>
      </c>
      <c r="P161" s="53"/>
      <c r="Q161" s="53">
        <v>0</v>
      </c>
      <c r="R161" s="53"/>
      <c r="S161" s="53">
        <v>0</v>
      </c>
      <c r="T161" s="53"/>
      <c r="U161" s="53">
        <v>0</v>
      </c>
      <c r="V161" s="53"/>
      <c r="W161" s="53">
        <f t="shared" si="21"/>
        <v>0</v>
      </c>
      <c r="X161" s="51"/>
      <c r="Y161" s="51"/>
      <c r="Z161" s="35" t="s">
        <v>190</v>
      </c>
      <c r="AA161" s="53"/>
      <c r="AB161" s="35" t="s">
        <v>47</v>
      </c>
      <c r="AC161" s="51"/>
      <c r="AD161" s="53">
        <v>0</v>
      </c>
      <c r="AE161" s="53"/>
      <c r="AF161" s="53">
        <v>0</v>
      </c>
      <c r="AG161" s="53"/>
      <c r="AH161" s="53">
        <v>0</v>
      </c>
      <c r="AI161" s="53"/>
      <c r="AJ161" s="45">
        <f t="shared" si="28"/>
        <v>0</v>
      </c>
      <c r="AK161" s="45"/>
      <c r="AL161" s="53">
        <v>0</v>
      </c>
      <c r="AM161" s="45"/>
      <c r="AN161" s="53">
        <v>0</v>
      </c>
      <c r="AO161" s="53"/>
      <c r="AP161" s="53">
        <v>0</v>
      </c>
      <c r="AQ161" s="53"/>
      <c r="AR161" s="53">
        <v>0</v>
      </c>
      <c r="AS161" s="53"/>
      <c r="AT161" s="45">
        <f t="shared" si="25"/>
        <v>0</v>
      </c>
      <c r="AU161" s="45"/>
      <c r="AV161" s="53">
        <v>0</v>
      </c>
      <c r="AW161" s="53"/>
      <c r="AX161" s="53">
        <v>0</v>
      </c>
      <c r="AY161" s="53"/>
      <c r="AZ161" s="53">
        <f t="shared" si="26"/>
        <v>0</v>
      </c>
      <c r="BA161" s="51"/>
      <c r="BB161" s="35" t="s">
        <v>190</v>
      </c>
      <c r="BC161" s="35"/>
      <c r="BD161" s="35" t="s">
        <v>47</v>
      </c>
      <c r="BE161" s="53"/>
      <c r="BF161" s="53">
        <v>0</v>
      </c>
      <c r="BG161" s="53"/>
      <c r="BH161" s="53">
        <v>0</v>
      </c>
      <c r="BI161" s="53"/>
      <c r="BJ161" s="53">
        <v>0</v>
      </c>
      <c r="BK161" s="53"/>
      <c r="BL161" s="53">
        <v>0</v>
      </c>
      <c r="BM161" s="53"/>
      <c r="BN161" s="53">
        <f t="shared" si="24"/>
        <v>0</v>
      </c>
      <c r="BO161" s="139"/>
      <c r="BS161" s="140"/>
      <c r="BT161" s="140"/>
      <c r="BU161" s="141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40"/>
      <c r="CI161" s="140"/>
      <c r="CJ161" s="140"/>
      <c r="CK161" s="140"/>
      <c r="CL161" s="140"/>
      <c r="CM161" s="140"/>
      <c r="CN161" s="140"/>
      <c r="CO161" s="140"/>
      <c r="CP161" s="140"/>
      <c r="CQ161" s="140"/>
    </row>
    <row r="162" spans="1:95" s="126" customFormat="1" ht="12.75" hidden="1" customHeight="1">
      <c r="A162" s="35" t="s">
        <v>191</v>
      </c>
      <c r="B162" s="51"/>
      <c r="C162" s="35" t="s">
        <v>13</v>
      </c>
      <c r="D162" s="44"/>
      <c r="E162" s="53">
        <f t="shared" si="22"/>
        <v>0</v>
      </c>
      <c r="F162" s="53"/>
      <c r="G162" s="53">
        <v>0</v>
      </c>
      <c r="H162" s="53"/>
      <c r="I162" s="53">
        <v>0</v>
      </c>
      <c r="J162" s="53"/>
      <c r="K162" s="53">
        <f t="shared" si="23"/>
        <v>0</v>
      </c>
      <c r="L162" s="53"/>
      <c r="M162" s="53">
        <v>0</v>
      </c>
      <c r="N162" s="53"/>
      <c r="O162" s="53">
        <v>0</v>
      </c>
      <c r="P162" s="53"/>
      <c r="Q162" s="53">
        <v>0</v>
      </c>
      <c r="R162" s="53"/>
      <c r="S162" s="53">
        <v>0</v>
      </c>
      <c r="T162" s="53"/>
      <c r="U162" s="53">
        <v>0</v>
      </c>
      <c r="V162" s="53"/>
      <c r="W162" s="53">
        <f t="shared" ref="W162:W184" si="29">SUM(Q162:U162)</f>
        <v>0</v>
      </c>
      <c r="X162" s="51"/>
      <c r="Y162" s="51"/>
      <c r="Z162" s="35" t="s">
        <v>191</v>
      </c>
      <c r="AA162" s="53"/>
      <c r="AB162" s="35" t="s">
        <v>13</v>
      </c>
      <c r="AC162" s="51"/>
      <c r="AD162" s="53">
        <v>0</v>
      </c>
      <c r="AE162" s="53"/>
      <c r="AF162" s="53">
        <v>0</v>
      </c>
      <c r="AG162" s="53"/>
      <c r="AH162" s="53">
        <v>0</v>
      </c>
      <c r="AI162" s="53"/>
      <c r="AJ162" s="45">
        <f t="shared" si="28"/>
        <v>0</v>
      </c>
      <c r="AK162" s="45"/>
      <c r="AL162" s="53">
        <v>0</v>
      </c>
      <c r="AM162" s="45"/>
      <c r="AN162" s="53">
        <v>0</v>
      </c>
      <c r="AO162" s="53"/>
      <c r="AP162" s="53">
        <v>0</v>
      </c>
      <c r="AQ162" s="53"/>
      <c r="AR162" s="53">
        <v>0</v>
      </c>
      <c r="AS162" s="53"/>
      <c r="AT162" s="45">
        <f t="shared" si="25"/>
        <v>0</v>
      </c>
      <c r="AU162" s="45"/>
      <c r="AV162" s="53">
        <v>0</v>
      </c>
      <c r="AW162" s="53"/>
      <c r="AX162" s="53">
        <v>0</v>
      </c>
      <c r="AY162" s="53"/>
      <c r="AZ162" s="53">
        <f t="shared" si="26"/>
        <v>0</v>
      </c>
      <c r="BA162" s="51"/>
      <c r="BB162" s="35" t="s">
        <v>191</v>
      </c>
      <c r="BC162" s="35"/>
      <c r="BD162" s="35" t="s">
        <v>13</v>
      </c>
      <c r="BE162" s="53"/>
      <c r="BF162" s="53">
        <v>0</v>
      </c>
      <c r="BG162" s="53"/>
      <c r="BH162" s="53">
        <v>0</v>
      </c>
      <c r="BI162" s="53"/>
      <c r="BJ162" s="53">
        <v>0</v>
      </c>
      <c r="BK162" s="53"/>
      <c r="BL162" s="53">
        <v>0</v>
      </c>
      <c r="BM162" s="53"/>
      <c r="BN162" s="53">
        <f t="shared" si="24"/>
        <v>0</v>
      </c>
      <c r="BO162" s="139"/>
      <c r="BS162" s="140"/>
      <c r="BT162" s="140"/>
      <c r="BU162" s="141"/>
      <c r="BV162" s="140"/>
      <c r="BW162" s="140"/>
      <c r="BX162" s="140"/>
      <c r="BY162" s="140"/>
      <c r="BZ162" s="140"/>
      <c r="CA162" s="140"/>
      <c r="CB162" s="140"/>
      <c r="CC162" s="140"/>
      <c r="CD162" s="140"/>
      <c r="CE162" s="140"/>
      <c r="CF162" s="140"/>
      <c r="CG162" s="140"/>
      <c r="CH162" s="140"/>
      <c r="CI162" s="140"/>
      <c r="CJ162" s="140"/>
      <c r="CK162" s="140"/>
      <c r="CL162" s="140"/>
      <c r="CM162" s="140"/>
      <c r="CN162" s="140"/>
      <c r="CO162" s="140"/>
      <c r="CP162" s="140"/>
      <c r="CQ162" s="140"/>
    </row>
    <row r="163" spans="1:95" s="35" customFormat="1" ht="12.75" customHeight="1">
      <c r="A163" s="35" t="s">
        <v>192</v>
      </c>
      <c r="C163" s="35" t="s">
        <v>38</v>
      </c>
      <c r="D163" s="44"/>
      <c r="E163" s="53">
        <f t="shared" si="22"/>
        <v>-8151101</v>
      </c>
      <c r="F163" s="53"/>
      <c r="G163" s="53">
        <v>9184990</v>
      </c>
      <c r="H163" s="53"/>
      <c r="I163" s="53">
        <v>1033889</v>
      </c>
      <c r="J163" s="53"/>
      <c r="K163" s="53">
        <f t="shared" si="23"/>
        <v>462442</v>
      </c>
      <c r="L163" s="53"/>
      <c r="M163" s="53">
        <v>2365643</v>
      </c>
      <c r="N163" s="53"/>
      <c r="O163" s="53">
        <v>2828085</v>
      </c>
      <c r="P163" s="53"/>
      <c r="Q163" s="53">
        <v>6593005</v>
      </c>
      <c r="R163" s="53"/>
      <c r="S163" s="53">
        <v>0</v>
      </c>
      <c r="T163" s="53"/>
      <c r="U163" s="53">
        <v>1612799</v>
      </c>
      <c r="V163" s="53"/>
      <c r="W163" s="53">
        <f t="shared" si="29"/>
        <v>8205804</v>
      </c>
      <c r="X163" s="51"/>
      <c r="Y163" s="51"/>
      <c r="Z163" s="35" t="s">
        <v>192</v>
      </c>
      <c r="AA163" s="53"/>
      <c r="AB163" s="35" t="s">
        <v>38</v>
      </c>
      <c r="AD163" s="53">
        <v>2622825</v>
      </c>
      <c r="AE163" s="53"/>
      <c r="AF163" s="53">
        <f>2493990-530850</f>
        <v>1963140</v>
      </c>
      <c r="AG163" s="53"/>
      <c r="AH163" s="53">
        <v>530850</v>
      </c>
      <c r="AI163" s="53"/>
      <c r="AJ163" s="45">
        <f t="shared" si="28"/>
        <v>128835</v>
      </c>
      <c r="AK163" s="45"/>
      <c r="AL163" s="53">
        <v>230272</v>
      </c>
      <c r="AM163" s="45"/>
      <c r="AN163" s="53">
        <v>0</v>
      </c>
      <c r="AO163" s="53"/>
      <c r="AP163" s="53">
        <v>0</v>
      </c>
      <c r="AQ163" s="53"/>
      <c r="AR163" s="53">
        <v>0</v>
      </c>
      <c r="AS163" s="53"/>
      <c r="AT163" s="45">
        <f t="shared" si="25"/>
        <v>359107</v>
      </c>
      <c r="AU163" s="45"/>
      <c r="AV163" s="53">
        <v>0</v>
      </c>
      <c r="AW163" s="53"/>
      <c r="AX163" s="53">
        <v>0</v>
      </c>
      <c r="AY163" s="53"/>
      <c r="AZ163" s="53">
        <f t="shared" si="26"/>
        <v>-8613543</v>
      </c>
      <c r="BA163" s="51"/>
      <c r="BB163" s="35" t="s">
        <v>192</v>
      </c>
      <c r="BD163" s="35" t="s">
        <v>38</v>
      </c>
      <c r="BE163" s="53"/>
      <c r="BF163" s="53">
        <f>1465000+250000</f>
        <v>1715000</v>
      </c>
      <c r="BG163" s="53"/>
      <c r="BH163" s="53">
        <v>0</v>
      </c>
      <c r="BI163" s="53"/>
      <c r="BJ163" s="53">
        <f>886372+4247</f>
        <v>890619</v>
      </c>
      <c r="BK163" s="53"/>
      <c r="BL163" s="53">
        <f>12998+41364-6165-123926+57482+19229</f>
        <v>982</v>
      </c>
      <c r="BM163" s="53"/>
      <c r="BN163" s="53">
        <f t="shared" si="24"/>
        <v>2606601</v>
      </c>
      <c r="BO163" s="54"/>
      <c r="BS163" s="55"/>
      <c r="BT163" s="55"/>
      <c r="BU163" s="84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</row>
    <row r="164" spans="1:95" s="35" customFormat="1" ht="12.75" customHeight="1">
      <c r="A164" s="35" t="s">
        <v>193</v>
      </c>
      <c r="B164" s="51"/>
      <c r="C164" s="35" t="s">
        <v>45</v>
      </c>
      <c r="D164" s="44"/>
      <c r="E164" s="53">
        <f t="shared" si="22"/>
        <v>1189471</v>
      </c>
      <c r="F164" s="53"/>
      <c r="G164" s="53">
        <v>1808793</v>
      </c>
      <c r="H164" s="53"/>
      <c r="I164" s="53">
        <v>2998264</v>
      </c>
      <c r="J164" s="53"/>
      <c r="K164" s="53">
        <f t="shared" si="23"/>
        <v>134362</v>
      </c>
      <c r="L164" s="53"/>
      <c r="M164" s="53">
        <v>59708</v>
      </c>
      <c r="N164" s="53"/>
      <c r="O164" s="53">
        <v>194070</v>
      </c>
      <c r="P164" s="53"/>
      <c r="Q164" s="53">
        <v>1686227</v>
      </c>
      <c r="R164" s="53"/>
      <c r="S164" s="53">
        <v>0</v>
      </c>
      <c r="T164" s="53"/>
      <c r="U164" s="53">
        <v>1117967</v>
      </c>
      <c r="V164" s="53"/>
      <c r="W164" s="53">
        <f t="shared" si="29"/>
        <v>2804194</v>
      </c>
      <c r="X164" s="51"/>
      <c r="Y164" s="51"/>
      <c r="Z164" s="35" t="s">
        <v>193</v>
      </c>
      <c r="AA164" s="53"/>
      <c r="AB164" s="35" t="s">
        <v>45</v>
      </c>
      <c r="AC164" s="51"/>
      <c r="AD164" s="53">
        <v>3591259</v>
      </c>
      <c r="AE164" s="53"/>
      <c r="AF164" s="53">
        <f>3141623-140204</f>
        <v>3001419</v>
      </c>
      <c r="AG164" s="53"/>
      <c r="AH164" s="53">
        <v>140204</v>
      </c>
      <c r="AI164" s="53"/>
      <c r="AJ164" s="45">
        <f t="shared" si="28"/>
        <v>449636</v>
      </c>
      <c r="AK164" s="45"/>
      <c r="AL164" s="53">
        <v>-900</v>
      </c>
      <c r="AM164" s="45"/>
      <c r="AN164" s="53">
        <v>0</v>
      </c>
      <c r="AO164" s="53"/>
      <c r="AP164" s="53">
        <v>0</v>
      </c>
      <c r="AQ164" s="53"/>
      <c r="AR164" s="53">
        <v>0</v>
      </c>
      <c r="AS164" s="53"/>
      <c r="AT164" s="45">
        <f t="shared" si="25"/>
        <v>448736</v>
      </c>
      <c r="AU164" s="45"/>
      <c r="AV164" s="53">
        <v>0</v>
      </c>
      <c r="AW164" s="53"/>
      <c r="AX164" s="53">
        <v>0</v>
      </c>
      <c r="AY164" s="53"/>
      <c r="AZ164" s="53">
        <f t="shared" si="26"/>
        <v>1055109</v>
      </c>
      <c r="BA164" s="51"/>
      <c r="BB164" s="35" t="s">
        <v>193</v>
      </c>
      <c r="BD164" s="35" t="s">
        <v>45</v>
      </c>
      <c r="BE164" s="53"/>
      <c r="BF164" s="53">
        <v>0</v>
      </c>
      <c r="BG164" s="53"/>
      <c r="BH164" s="53">
        <v>0</v>
      </c>
      <c r="BI164" s="53"/>
      <c r="BJ164" s="53">
        <f>39245+19622</f>
        <v>58867</v>
      </c>
      <c r="BK164" s="53"/>
      <c r="BL164" s="53">
        <f>63699+20463+14495</f>
        <v>98657</v>
      </c>
      <c r="BM164" s="53"/>
      <c r="BN164" s="53">
        <f t="shared" si="24"/>
        <v>157524</v>
      </c>
      <c r="BO164" s="54"/>
      <c r="BS164" s="55"/>
      <c r="BT164" s="55"/>
      <c r="BU164" s="84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</row>
    <row r="165" spans="1:95" s="35" customFormat="1" ht="12.75" customHeight="1">
      <c r="A165" s="35" t="s">
        <v>194</v>
      </c>
      <c r="B165" s="51"/>
      <c r="C165" s="35" t="s">
        <v>66</v>
      </c>
      <c r="D165" s="44"/>
      <c r="E165" s="53">
        <f t="shared" si="22"/>
        <v>1484418</v>
      </c>
      <c r="F165" s="53"/>
      <c r="G165" s="53">
        <v>1528716</v>
      </c>
      <c r="H165" s="53"/>
      <c r="I165" s="53">
        <v>3013134</v>
      </c>
      <c r="J165" s="53"/>
      <c r="K165" s="53">
        <f t="shared" si="23"/>
        <v>64104</v>
      </c>
      <c r="L165" s="53"/>
      <c r="M165" s="53">
        <v>52897</v>
      </c>
      <c r="N165" s="53"/>
      <c r="O165" s="53">
        <v>117001</v>
      </c>
      <c r="P165" s="53"/>
      <c r="Q165" s="53">
        <v>1528716</v>
      </c>
      <c r="R165" s="53"/>
      <c r="S165" s="53">
        <v>0</v>
      </c>
      <c r="T165" s="53"/>
      <c r="U165" s="53">
        <v>1367417</v>
      </c>
      <c r="V165" s="53"/>
      <c r="W165" s="53">
        <f t="shared" si="29"/>
        <v>2896133</v>
      </c>
      <c r="X165" s="51"/>
      <c r="Y165" s="51"/>
      <c r="Z165" s="35" t="s">
        <v>194</v>
      </c>
      <c r="AA165" s="53"/>
      <c r="AB165" s="35" t="s">
        <v>66</v>
      </c>
      <c r="AC165" s="51"/>
      <c r="AD165" s="53">
        <v>909697</v>
      </c>
      <c r="AE165" s="53"/>
      <c r="AF165" s="53">
        <f>1025741-77690</f>
        <v>948051</v>
      </c>
      <c r="AG165" s="53"/>
      <c r="AH165" s="53">
        <v>77690</v>
      </c>
      <c r="AI165" s="53"/>
      <c r="AJ165" s="45">
        <f t="shared" si="28"/>
        <v>-116044</v>
      </c>
      <c r="AK165" s="45"/>
      <c r="AL165" s="53">
        <v>33336</v>
      </c>
      <c r="AM165" s="45"/>
      <c r="AN165" s="53">
        <v>0</v>
      </c>
      <c r="AO165" s="53"/>
      <c r="AP165" s="53">
        <v>0</v>
      </c>
      <c r="AQ165" s="53"/>
      <c r="AR165" s="53">
        <v>0</v>
      </c>
      <c r="AS165" s="53"/>
      <c r="AT165" s="45">
        <f t="shared" si="25"/>
        <v>-82708</v>
      </c>
      <c r="AU165" s="45"/>
      <c r="AV165" s="53">
        <v>0</v>
      </c>
      <c r="AW165" s="53"/>
      <c r="AX165" s="53">
        <v>0</v>
      </c>
      <c r="AY165" s="53"/>
      <c r="AZ165" s="53">
        <f t="shared" si="26"/>
        <v>1420314</v>
      </c>
      <c r="BA165" s="51"/>
      <c r="BB165" s="35" t="s">
        <v>194</v>
      </c>
      <c r="BD165" s="35" t="s">
        <v>66</v>
      </c>
      <c r="BE165" s="53"/>
      <c r="BF165" s="53">
        <v>0</v>
      </c>
      <c r="BG165" s="53"/>
      <c r="BH165" s="53">
        <v>0</v>
      </c>
      <c r="BI165" s="53"/>
      <c r="BJ165" s="53">
        <v>0</v>
      </c>
      <c r="BK165" s="53"/>
      <c r="BL165" s="53">
        <f>52897+13224</f>
        <v>66121</v>
      </c>
      <c r="BM165" s="53"/>
      <c r="BN165" s="53">
        <f t="shared" si="24"/>
        <v>66121</v>
      </c>
      <c r="BO165" s="54"/>
      <c r="BS165" s="55"/>
      <c r="BT165" s="55"/>
      <c r="BU165" s="84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</row>
    <row r="166" spans="1:95" s="35" customFormat="1" ht="12.75" customHeight="1">
      <c r="A166" s="35" t="s">
        <v>195</v>
      </c>
      <c r="B166" s="51"/>
      <c r="C166" s="35" t="s">
        <v>17</v>
      </c>
      <c r="D166" s="44"/>
      <c r="E166" s="53">
        <f t="shared" si="22"/>
        <v>3073755</v>
      </c>
      <c r="F166" s="53"/>
      <c r="G166" s="53">
        <v>11059949</v>
      </c>
      <c r="H166" s="53"/>
      <c r="I166" s="53">
        <v>14133704</v>
      </c>
      <c r="J166" s="53"/>
      <c r="K166" s="53">
        <f t="shared" si="23"/>
        <v>97364</v>
      </c>
      <c r="L166" s="53"/>
      <c r="M166" s="53">
        <f>89041+4588838</f>
        <v>4677879</v>
      </c>
      <c r="N166" s="53"/>
      <c r="O166" s="53">
        <v>4775243</v>
      </c>
      <c r="P166" s="53"/>
      <c r="Q166" s="53">
        <v>6471111</v>
      </c>
      <c r="R166" s="53"/>
      <c r="S166" s="53">
        <v>0</v>
      </c>
      <c r="T166" s="53"/>
      <c r="U166" s="53">
        <v>2887350</v>
      </c>
      <c r="V166" s="53"/>
      <c r="W166" s="53">
        <f t="shared" si="29"/>
        <v>9358461</v>
      </c>
      <c r="X166" s="51"/>
      <c r="Y166" s="51"/>
      <c r="Z166" s="35" t="s">
        <v>195</v>
      </c>
      <c r="AA166" s="53"/>
      <c r="AB166" s="35" t="s">
        <v>17</v>
      </c>
      <c r="AC166" s="51"/>
      <c r="AD166" s="53">
        <v>1880138</v>
      </c>
      <c r="AE166" s="53"/>
      <c r="AF166" s="53">
        <f>1587315-114368</f>
        <v>1472947</v>
      </c>
      <c r="AG166" s="53"/>
      <c r="AH166" s="53">
        <v>114368</v>
      </c>
      <c r="AI166" s="53"/>
      <c r="AJ166" s="45">
        <f t="shared" si="28"/>
        <v>292823</v>
      </c>
      <c r="AK166" s="45"/>
      <c r="AL166" s="53">
        <v>-53322</v>
      </c>
      <c r="AM166" s="45"/>
      <c r="AN166" s="53">
        <v>0</v>
      </c>
      <c r="AO166" s="53"/>
      <c r="AP166" s="53">
        <v>1366</v>
      </c>
      <c r="AQ166" s="53"/>
      <c r="AR166" s="53">
        <v>756600</v>
      </c>
      <c r="AS166" s="53"/>
      <c r="AT166" s="45">
        <f t="shared" si="25"/>
        <v>994735</v>
      </c>
      <c r="AU166" s="45"/>
      <c r="AV166" s="53">
        <v>0</v>
      </c>
      <c r="AW166" s="53"/>
      <c r="AX166" s="53">
        <v>0</v>
      </c>
      <c r="AY166" s="53"/>
      <c r="AZ166" s="53">
        <f t="shared" si="26"/>
        <v>2976391</v>
      </c>
      <c r="BA166" s="51"/>
      <c r="BB166" s="35" t="s">
        <v>195</v>
      </c>
      <c r="BD166" s="35" t="s">
        <v>17</v>
      </c>
      <c r="BE166" s="53"/>
      <c r="BF166" s="53">
        <v>0</v>
      </c>
      <c r="BG166" s="53"/>
      <c r="BH166" s="53">
        <v>0</v>
      </c>
      <c r="BI166" s="53"/>
      <c r="BJ166" s="53">
        <v>4588838</v>
      </c>
      <c r="BK166" s="53"/>
      <c r="BL166" s="53">
        <v>89041</v>
      </c>
      <c r="BM166" s="53"/>
      <c r="BN166" s="53">
        <f t="shared" si="24"/>
        <v>4677879</v>
      </c>
      <c r="BO166" s="54"/>
      <c r="BS166" s="55"/>
      <c r="BT166" s="55"/>
      <c r="BU166" s="84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</row>
    <row r="167" spans="1:95" s="126" customFormat="1" ht="12.75" hidden="1" customHeight="1">
      <c r="A167" s="35" t="s">
        <v>196</v>
      </c>
      <c r="B167" s="51"/>
      <c r="C167" s="35" t="s">
        <v>27</v>
      </c>
      <c r="D167" s="44"/>
      <c r="E167" s="53">
        <f t="shared" si="22"/>
        <v>0</v>
      </c>
      <c r="F167" s="53"/>
      <c r="G167" s="53">
        <v>0</v>
      </c>
      <c r="H167" s="53"/>
      <c r="I167" s="53">
        <v>0</v>
      </c>
      <c r="J167" s="53"/>
      <c r="K167" s="53">
        <f t="shared" si="23"/>
        <v>0</v>
      </c>
      <c r="L167" s="53"/>
      <c r="M167" s="53">
        <v>0</v>
      </c>
      <c r="N167" s="53"/>
      <c r="O167" s="53">
        <v>0</v>
      </c>
      <c r="P167" s="53"/>
      <c r="Q167" s="53">
        <v>0</v>
      </c>
      <c r="R167" s="53"/>
      <c r="S167" s="53">
        <v>0</v>
      </c>
      <c r="T167" s="53"/>
      <c r="U167" s="53">
        <v>0</v>
      </c>
      <c r="V167" s="53"/>
      <c r="W167" s="53">
        <f t="shared" si="29"/>
        <v>0</v>
      </c>
      <c r="X167" s="51"/>
      <c r="Y167" s="51"/>
      <c r="Z167" s="35" t="s">
        <v>196</v>
      </c>
      <c r="AA167" s="53"/>
      <c r="AB167" s="35" t="s">
        <v>27</v>
      </c>
      <c r="AC167" s="51"/>
      <c r="AD167" s="53">
        <v>0</v>
      </c>
      <c r="AE167" s="53"/>
      <c r="AF167" s="53">
        <v>0</v>
      </c>
      <c r="AG167" s="53"/>
      <c r="AH167" s="53">
        <v>0</v>
      </c>
      <c r="AI167" s="53"/>
      <c r="AJ167" s="45">
        <f t="shared" si="28"/>
        <v>0</v>
      </c>
      <c r="AK167" s="45"/>
      <c r="AL167" s="53">
        <v>0</v>
      </c>
      <c r="AM167" s="45"/>
      <c r="AN167" s="53">
        <v>0</v>
      </c>
      <c r="AO167" s="53"/>
      <c r="AP167" s="53">
        <v>0</v>
      </c>
      <c r="AQ167" s="53"/>
      <c r="AR167" s="53">
        <v>0</v>
      </c>
      <c r="AS167" s="53"/>
      <c r="AT167" s="45">
        <f t="shared" si="25"/>
        <v>0</v>
      </c>
      <c r="AU167" s="45"/>
      <c r="AV167" s="53">
        <v>0</v>
      </c>
      <c r="AW167" s="53"/>
      <c r="AX167" s="53">
        <v>0</v>
      </c>
      <c r="AY167" s="53"/>
      <c r="AZ167" s="53">
        <f t="shared" si="26"/>
        <v>0</v>
      </c>
      <c r="BA167" s="51"/>
      <c r="BB167" s="35" t="s">
        <v>196</v>
      </c>
      <c r="BC167" s="35"/>
      <c r="BD167" s="35" t="s">
        <v>27</v>
      </c>
      <c r="BE167" s="53"/>
      <c r="BF167" s="53">
        <v>0</v>
      </c>
      <c r="BG167" s="53"/>
      <c r="BH167" s="53">
        <v>0</v>
      </c>
      <c r="BI167" s="53"/>
      <c r="BJ167" s="53">
        <v>0</v>
      </c>
      <c r="BK167" s="53"/>
      <c r="BL167" s="53">
        <v>0</v>
      </c>
      <c r="BM167" s="53"/>
      <c r="BN167" s="53">
        <f t="shared" si="24"/>
        <v>0</v>
      </c>
      <c r="BO167" s="139"/>
      <c r="BS167" s="140"/>
      <c r="BT167" s="140"/>
      <c r="BU167" s="141"/>
      <c r="BV167" s="140"/>
      <c r="BW167" s="140"/>
      <c r="BX167" s="140"/>
      <c r="BY167" s="140"/>
      <c r="BZ167" s="140"/>
      <c r="CA167" s="140"/>
      <c r="CB167" s="140"/>
      <c r="CC167" s="140"/>
      <c r="CD167" s="140"/>
      <c r="CE167" s="140"/>
      <c r="CF167" s="140"/>
      <c r="CG167" s="140"/>
      <c r="CH167" s="140"/>
      <c r="CI167" s="140"/>
      <c r="CJ167" s="140"/>
      <c r="CK167" s="140"/>
      <c r="CL167" s="140"/>
      <c r="CM167" s="140"/>
      <c r="CN167" s="140"/>
      <c r="CO167" s="140"/>
      <c r="CP167" s="140"/>
      <c r="CQ167" s="140"/>
    </row>
    <row r="168" spans="1:95" s="35" customFormat="1" ht="12.75" customHeight="1">
      <c r="A168" s="35" t="s">
        <v>402</v>
      </c>
      <c r="B168" s="51"/>
      <c r="C168" s="35" t="s">
        <v>153</v>
      </c>
      <c r="D168" s="44"/>
      <c r="E168" s="53">
        <f t="shared" si="22"/>
        <v>1933376</v>
      </c>
      <c r="F168" s="53"/>
      <c r="G168" s="53">
        <v>5461283</v>
      </c>
      <c r="H168" s="53"/>
      <c r="I168" s="53">
        <v>7394659</v>
      </c>
      <c r="J168" s="53"/>
      <c r="K168" s="53">
        <f t="shared" si="23"/>
        <v>28796</v>
      </c>
      <c r="L168" s="53"/>
      <c r="M168" s="53">
        <v>48178</v>
      </c>
      <c r="N168" s="53"/>
      <c r="O168" s="53">
        <v>76974</v>
      </c>
      <c r="P168" s="53"/>
      <c r="Q168" s="53">
        <v>5441988</v>
      </c>
      <c r="R168" s="53"/>
      <c r="S168" s="53">
        <v>0</v>
      </c>
      <c r="T168" s="53"/>
      <c r="U168" s="53">
        <v>1875697</v>
      </c>
      <c r="V168" s="53"/>
      <c r="W168" s="53">
        <f t="shared" si="29"/>
        <v>7317685</v>
      </c>
      <c r="X168" s="51"/>
      <c r="Y168" s="51"/>
      <c r="Z168" s="35" t="s">
        <v>402</v>
      </c>
      <c r="AA168" s="53"/>
      <c r="AB168" s="35" t="s">
        <v>153</v>
      </c>
      <c r="AC168" s="51"/>
      <c r="AD168" s="53">
        <v>715549</v>
      </c>
      <c r="AE168" s="53"/>
      <c r="AF168" s="53">
        <f>900922-294414</f>
        <v>606508</v>
      </c>
      <c r="AG168" s="53"/>
      <c r="AH168" s="53">
        <v>294414</v>
      </c>
      <c r="AI168" s="53"/>
      <c r="AJ168" s="45">
        <f t="shared" si="28"/>
        <v>-185373</v>
      </c>
      <c r="AK168" s="45"/>
      <c r="AL168" s="53">
        <v>6422</v>
      </c>
      <c r="AM168" s="45"/>
      <c r="AN168" s="53">
        <v>0</v>
      </c>
      <c r="AO168" s="53"/>
      <c r="AP168" s="53">
        <v>0</v>
      </c>
      <c r="AQ168" s="53"/>
      <c r="AR168" s="53">
        <v>0</v>
      </c>
      <c r="AS168" s="53"/>
      <c r="AT168" s="45">
        <f t="shared" si="25"/>
        <v>-178951</v>
      </c>
      <c r="AU168" s="45"/>
      <c r="AV168" s="53">
        <v>0</v>
      </c>
      <c r="AW168" s="53"/>
      <c r="AX168" s="53">
        <v>0</v>
      </c>
      <c r="AY168" s="53"/>
      <c r="AZ168" s="53">
        <f t="shared" si="26"/>
        <v>1904580</v>
      </c>
      <c r="BA168" s="51"/>
      <c r="BB168" s="35" t="s">
        <v>402</v>
      </c>
      <c r="BD168" s="35" t="s">
        <v>153</v>
      </c>
      <c r="BE168" s="53"/>
      <c r="BF168" s="53">
        <v>0</v>
      </c>
      <c r="BG168" s="53"/>
      <c r="BH168" s="53">
        <v>0</v>
      </c>
      <c r="BI168" s="53"/>
      <c r="BJ168" s="53">
        <f>17457+1838</f>
        <v>19295</v>
      </c>
      <c r="BK168" s="53"/>
      <c r="BL168" s="53">
        <f>30721+8725</f>
        <v>39446</v>
      </c>
      <c r="BM168" s="53"/>
      <c r="BN168" s="53">
        <f t="shared" si="24"/>
        <v>58741</v>
      </c>
      <c r="BO168" s="54"/>
      <c r="BS168" s="55"/>
      <c r="BT168" s="55"/>
      <c r="BU168" s="84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</row>
    <row r="169" spans="1:95" s="35" customFormat="1" ht="12.75" customHeight="1">
      <c r="A169" s="35" t="s">
        <v>197</v>
      </c>
      <c r="B169" s="51"/>
      <c r="C169" s="35" t="s">
        <v>163</v>
      </c>
      <c r="D169" s="44"/>
      <c r="E169" s="53">
        <f t="shared" si="22"/>
        <v>4067854</v>
      </c>
      <c r="F169" s="53"/>
      <c r="G169" s="53">
        <v>12667231</v>
      </c>
      <c r="H169" s="53"/>
      <c r="I169" s="53">
        <v>16735085</v>
      </c>
      <c r="J169" s="53"/>
      <c r="K169" s="53">
        <f t="shared" si="23"/>
        <v>146008</v>
      </c>
      <c r="L169" s="53"/>
      <c r="M169" s="53">
        <v>397355</v>
      </c>
      <c r="N169" s="53"/>
      <c r="O169" s="53">
        <v>543363</v>
      </c>
      <c r="P169" s="53"/>
      <c r="Q169" s="53">
        <v>12667231</v>
      </c>
      <c r="R169" s="53"/>
      <c r="S169" s="53">
        <v>0</v>
      </c>
      <c r="T169" s="53"/>
      <c r="U169" s="53">
        <v>3524491</v>
      </c>
      <c r="V169" s="53"/>
      <c r="W169" s="53">
        <f t="shared" si="29"/>
        <v>16191722</v>
      </c>
      <c r="Z169" s="35" t="s">
        <v>197</v>
      </c>
      <c r="AA169" s="53"/>
      <c r="AB169" s="35" t="s">
        <v>163</v>
      </c>
      <c r="AC169" s="51"/>
      <c r="AD169" s="53">
        <v>4132920</v>
      </c>
      <c r="AE169" s="53"/>
      <c r="AF169" s="53">
        <f>4806946-617841</f>
        <v>4189105</v>
      </c>
      <c r="AG169" s="53"/>
      <c r="AH169" s="53">
        <v>617841</v>
      </c>
      <c r="AI169" s="53"/>
      <c r="AJ169" s="45">
        <f t="shared" si="28"/>
        <v>-674026</v>
      </c>
      <c r="AK169" s="45"/>
      <c r="AL169" s="53">
        <v>1750</v>
      </c>
      <c r="AM169" s="45"/>
      <c r="AN169" s="53">
        <v>447159</v>
      </c>
      <c r="AO169" s="53"/>
      <c r="AP169" s="53">
        <v>0</v>
      </c>
      <c r="AQ169" s="53"/>
      <c r="AR169" s="53">
        <v>2440805</v>
      </c>
      <c r="AS169" s="53"/>
      <c r="AT169" s="45">
        <f t="shared" si="25"/>
        <v>2215688</v>
      </c>
      <c r="AU169" s="45"/>
      <c r="AV169" s="53">
        <v>0</v>
      </c>
      <c r="AW169" s="53"/>
      <c r="AX169" s="53">
        <v>0</v>
      </c>
      <c r="AY169" s="53"/>
      <c r="AZ169" s="53">
        <f t="shared" si="26"/>
        <v>3921846</v>
      </c>
      <c r="BA169" s="51"/>
      <c r="BB169" s="35" t="s">
        <v>197</v>
      </c>
      <c r="BD169" s="35" t="s">
        <v>163</v>
      </c>
      <c r="BE169" s="53"/>
      <c r="BF169" s="53">
        <v>0</v>
      </c>
      <c r="BG169" s="53"/>
      <c r="BH169" s="53">
        <v>0</v>
      </c>
      <c r="BI169" s="53"/>
      <c r="BJ169" s="53">
        <v>0</v>
      </c>
      <c r="BK169" s="53"/>
      <c r="BL169" s="53">
        <v>397355</v>
      </c>
      <c r="BM169" s="53"/>
      <c r="BN169" s="53">
        <f t="shared" si="24"/>
        <v>397355</v>
      </c>
      <c r="BO169" s="54"/>
      <c r="BS169" s="55"/>
      <c r="BT169" s="55"/>
      <c r="BU169" s="84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</row>
    <row r="170" spans="1:95" s="35" customFormat="1" ht="12.75" customHeight="1">
      <c r="A170" s="35" t="s">
        <v>198</v>
      </c>
      <c r="B170" s="51"/>
      <c r="C170" s="35" t="s">
        <v>199</v>
      </c>
      <c r="D170" s="44"/>
      <c r="E170" s="53">
        <f t="shared" si="22"/>
        <v>2705673</v>
      </c>
      <c r="F170" s="53"/>
      <c r="G170" s="53">
        <v>17357300</v>
      </c>
      <c r="H170" s="53"/>
      <c r="I170" s="53">
        <v>20062973</v>
      </c>
      <c r="J170" s="53"/>
      <c r="K170" s="53">
        <f t="shared" si="23"/>
        <v>1253653</v>
      </c>
      <c r="L170" s="53"/>
      <c r="M170" s="53">
        <v>6795937</v>
      </c>
      <c r="N170" s="53"/>
      <c r="O170" s="53">
        <v>8049590</v>
      </c>
      <c r="P170" s="53"/>
      <c r="Q170" s="53">
        <v>8874989</v>
      </c>
      <c r="R170" s="53"/>
      <c r="S170" s="53">
        <f>800000+751343</f>
        <v>1551343</v>
      </c>
      <c r="T170" s="53"/>
      <c r="U170" s="53">
        <v>1587051</v>
      </c>
      <c r="V170" s="53"/>
      <c r="W170" s="53">
        <f t="shared" si="29"/>
        <v>12013383</v>
      </c>
      <c r="X170" s="51"/>
      <c r="Y170" s="51"/>
      <c r="Z170" s="35" t="s">
        <v>198</v>
      </c>
      <c r="AA170" s="53"/>
      <c r="AB170" s="35" t="s">
        <v>199</v>
      </c>
      <c r="AC170" s="51"/>
      <c r="AD170" s="53">
        <v>2625387</v>
      </c>
      <c r="AE170" s="53"/>
      <c r="AF170" s="53">
        <f>2876410-840490</f>
        <v>2035920</v>
      </c>
      <c r="AG170" s="53"/>
      <c r="AH170" s="53">
        <v>840490</v>
      </c>
      <c r="AI170" s="53"/>
      <c r="AJ170" s="45">
        <f t="shared" si="28"/>
        <v>-251023</v>
      </c>
      <c r="AK170" s="45"/>
      <c r="AL170" s="53">
        <v>396890</v>
      </c>
      <c r="AM170" s="45"/>
      <c r="AN170" s="53">
        <v>0</v>
      </c>
      <c r="AO170" s="53"/>
      <c r="AP170" s="53">
        <v>0</v>
      </c>
      <c r="AQ170" s="53"/>
      <c r="AR170" s="53">
        <v>0</v>
      </c>
      <c r="AS170" s="53"/>
      <c r="AT170" s="45">
        <f t="shared" si="25"/>
        <v>145867</v>
      </c>
      <c r="AU170" s="45"/>
      <c r="AV170" s="53">
        <v>0</v>
      </c>
      <c r="AW170" s="53"/>
      <c r="AX170" s="53">
        <v>0</v>
      </c>
      <c r="AY170" s="53"/>
      <c r="AZ170" s="53">
        <f t="shared" si="26"/>
        <v>1452020</v>
      </c>
      <c r="BA170" s="51"/>
      <c r="BB170" s="35" t="s">
        <v>198</v>
      </c>
      <c r="BD170" s="35" t="s">
        <v>199</v>
      </c>
      <c r="BE170" s="53"/>
      <c r="BF170" s="53">
        <v>0</v>
      </c>
      <c r="BG170" s="53"/>
      <c r="BH170" s="53">
        <f>4219486+475000</f>
        <v>4694486</v>
      </c>
      <c r="BI170" s="53"/>
      <c r="BJ170" s="53">
        <f>1029372+82110</f>
        <v>1111482</v>
      </c>
      <c r="BK170" s="53"/>
      <c r="BL170" s="53">
        <f>1500000+4779+100000+43417</f>
        <v>1648196</v>
      </c>
      <c r="BM170" s="53"/>
      <c r="BN170" s="53">
        <f t="shared" si="24"/>
        <v>7454164</v>
      </c>
      <c r="BO170" s="54"/>
      <c r="BS170" s="55"/>
      <c r="BT170" s="55"/>
      <c r="BU170" s="84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</row>
    <row r="171" spans="1:95" s="35" customFormat="1" ht="12.75" customHeight="1">
      <c r="A171" s="35" t="s">
        <v>200</v>
      </c>
      <c r="B171" s="51"/>
      <c r="C171" s="35" t="s">
        <v>103</v>
      </c>
      <c r="D171" s="44"/>
      <c r="E171" s="53">
        <f t="shared" si="22"/>
        <v>5874328</v>
      </c>
      <c r="F171" s="53"/>
      <c r="G171" s="53">
        <v>11388411</v>
      </c>
      <c r="H171" s="53"/>
      <c r="I171" s="53">
        <v>17262739</v>
      </c>
      <c r="J171" s="53"/>
      <c r="K171" s="53">
        <f t="shared" si="23"/>
        <v>916470</v>
      </c>
      <c r="L171" s="53"/>
      <c r="M171" s="53">
        <v>3350570</v>
      </c>
      <c r="N171" s="53"/>
      <c r="O171" s="53">
        <v>4267040</v>
      </c>
      <c r="P171" s="53"/>
      <c r="Q171" s="53">
        <v>7363544</v>
      </c>
      <c r="R171" s="53"/>
      <c r="S171" s="53">
        <v>765012</v>
      </c>
      <c r="T171" s="53"/>
      <c r="U171" s="53">
        <v>4867143</v>
      </c>
      <c r="V171" s="53"/>
      <c r="W171" s="53">
        <f t="shared" si="29"/>
        <v>12995699</v>
      </c>
      <c r="X171" s="51"/>
      <c r="Y171" s="51"/>
      <c r="Z171" s="35" t="s">
        <v>200</v>
      </c>
      <c r="AA171" s="53"/>
      <c r="AB171" s="35" t="s">
        <v>103</v>
      </c>
      <c r="AC171" s="51"/>
      <c r="AD171" s="53">
        <v>2516671</v>
      </c>
      <c r="AE171" s="53"/>
      <c r="AF171" s="53">
        <f>2166532-415625</f>
        <v>1750907</v>
      </c>
      <c r="AG171" s="53"/>
      <c r="AH171" s="53">
        <v>415628</v>
      </c>
      <c r="AI171" s="53"/>
      <c r="AJ171" s="45">
        <f t="shared" si="28"/>
        <v>350136</v>
      </c>
      <c r="AK171" s="45"/>
      <c r="AL171" s="53">
        <v>113110</v>
      </c>
      <c r="AM171" s="45"/>
      <c r="AN171" s="53">
        <v>0</v>
      </c>
      <c r="AO171" s="53"/>
      <c r="AP171" s="53">
        <v>0</v>
      </c>
      <c r="AQ171" s="53"/>
      <c r="AR171" s="53">
        <v>43264</v>
      </c>
      <c r="AS171" s="53"/>
      <c r="AT171" s="45">
        <f t="shared" si="25"/>
        <v>506510</v>
      </c>
      <c r="AU171" s="45"/>
      <c r="AV171" s="53">
        <v>0</v>
      </c>
      <c r="AW171" s="53"/>
      <c r="AX171" s="53">
        <v>0</v>
      </c>
      <c r="AY171" s="53"/>
      <c r="AZ171" s="53">
        <f t="shared" si="26"/>
        <v>4957858</v>
      </c>
      <c r="BA171" s="51"/>
      <c r="BB171" s="35" t="s">
        <v>200</v>
      </c>
      <c r="BD171" s="35" t="s">
        <v>103</v>
      </c>
      <c r="BE171" s="53"/>
      <c r="BF171" s="53">
        <f>3229834+770000</f>
        <v>3999834</v>
      </c>
      <c r="BG171" s="53"/>
      <c r="BH171" s="53">
        <v>0</v>
      </c>
      <c r="BI171" s="53"/>
      <c r="BJ171" s="53">
        <v>0</v>
      </c>
      <c r="BK171" s="53"/>
      <c r="BL171" s="53">
        <f>50180+120736</f>
        <v>170916</v>
      </c>
      <c r="BM171" s="53"/>
      <c r="BN171" s="53">
        <f t="shared" si="24"/>
        <v>4170750</v>
      </c>
      <c r="BO171" s="54"/>
      <c r="BS171" s="55"/>
      <c r="BT171" s="55"/>
      <c r="BU171" s="84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</row>
    <row r="172" spans="1:95" s="35" customFormat="1" ht="12.75" customHeight="1">
      <c r="A172" s="35" t="s">
        <v>201</v>
      </c>
      <c r="C172" s="35" t="s">
        <v>92</v>
      </c>
      <c r="D172" s="44"/>
      <c r="E172" s="53">
        <f t="shared" si="22"/>
        <v>3400088</v>
      </c>
      <c r="F172" s="53"/>
      <c r="G172" s="53">
        <v>23379464</v>
      </c>
      <c r="H172" s="53"/>
      <c r="I172" s="53">
        <v>26779552</v>
      </c>
      <c r="J172" s="53"/>
      <c r="K172" s="53">
        <f t="shared" si="23"/>
        <v>2596692</v>
      </c>
      <c r="L172" s="53"/>
      <c r="M172" s="53">
        <v>7296696</v>
      </c>
      <c r="N172" s="53"/>
      <c r="O172" s="53">
        <v>9893388</v>
      </c>
      <c r="P172" s="53"/>
      <c r="Q172" s="53">
        <v>15228921</v>
      </c>
      <c r="R172" s="53"/>
      <c r="S172" s="53">
        <v>0</v>
      </c>
      <c r="T172" s="53"/>
      <c r="U172" s="53">
        <v>1657243</v>
      </c>
      <c r="V172" s="53"/>
      <c r="W172" s="53">
        <f t="shared" si="29"/>
        <v>16886164</v>
      </c>
      <c r="Z172" s="35" t="s">
        <v>201</v>
      </c>
      <c r="AA172" s="53"/>
      <c r="AB172" s="35" t="s">
        <v>92</v>
      </c>
      <c r="AD172" s="53">
        <v>4417491</v>
      </c>
      <c r="AE172" s="53"/>
      <c r="AF172" s="53">
        <f>4295078-912668</f>
        <v>3382410</v>
      </c>
      <c r="AG172" s="53"/>
      <c r="AH172" s="53">
        <v>912668</v>
      </c>
      <c r="AI172" s="53"/>
      <c r="AJ172" s="45">
        <f t="shared" si="28"/>
        <v>122413</v>
      </c>
      <c r="AK172" s="45"/>
      <c r="AL172" s="53">
        <v>1110044</v>
      </c>
      <c r="AM172" s="45"/>
      <c r="AN172" s="53">
        <v>21958</v>
      </c>
      <c r="AO172" s="53"/>
      <c r="AP172" s="53">
        <v>5500</v>
      </c>
      <c r="AQ172" s="53"/>
      <c r="AR172" s="53">
        <v>0</v>
      </c>
      <c r="AS172" s="53"/>
      <c r="AT172" s="45">
        <f t="shared" si="25"/>
        <v>1248915</v>
      </c>
      <c r="AU172" s="45"/>
      <c r="AV172" s="53">
        <v>0</v>
      </c>
      <c r="AW172" s="53"/>
      <c r="AX172" s="53">
        <v>0</v>
      </c>
      <c r="AY172" s="53"/>
      <c r="AZ172" s="53">
        <f t="shared" si="26"/>
        <v>803396</v>
      </c>
      <c r="BA172" s="65"/>
      <c r="BB172" s="35" t="s">
        <v>201</v>
      </c>
      <c r="BD172" s="35" t="s">
        <v>92</v>
      </c>
      <c r="BE172" s="53"/>
      <c r="BF172" s="53">
        <f>2540000+505000</f>
        <v>3045000</v>
      </c>
      <c r="BG172" s="53"/>
      <c r="BH172" s="53">
        <v>0</v>
      </c>
      <c r="BI172" s="53"/>
      <c r="BJ172" s="53">
        <f>866137+326688+76073+101358</f>
        <v>1370256</v>
      </c>
      <c r="BK172" s="53"/>
      <c r="BL172" s="53">
        <f>3324859+239012+159979+27690</f>
        <v>3751540</v>
      </c>
      <c r="BM172" s="53"/>
      <c r="BN172" s="53">
        <f t="shared" si="24"/>
        <v>8166796</v>
      </c>
      <c r="BO172" s="54"/>
      <c r="BS172" s="55"/>
      <c r="BT172" s="55"/>
      <c r="BU172" s="84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</row>
    <row r="173" spans="1:95" s="126" customFormat="1" ht="12" hidden="1" customHeight="1">
      <c r="A173" s="35" t="s">
        <v>202</v>
      </c>
      <c r="B173" s="51"/>
      <c r="C173" s="35" t="s">
        <v>27</v>
      </c>
      <c r="D173" s="44"/>
      <c r="E173" s="53">
        <f t="shared" si="22"/>
        <v>0</v>
      </c>
      <c r="F173" s="53"/>
      <c r="G173" s="53">
        <v>0</v>
      </c>
      <c r="H173" s="53"/>
      <c r="I173" s="53">
        <v>0</v>
      </c>
      <c r="J173" s="53"/>
      <c r="K173" s="53">
        <f t="shared" si="23"/>
        <v>0</v>
      </c>
      <c r="L173" s="53"/>
      <c r="M173" s="53">
        <v>0</v>
      </c>
      <c r="N173" s="53"/>
      <c r="O173" s="53">
        <v>0</v>
      </c>
      <c r="P173" s="53"/>
      <c r="Q173" s="53">
        <v>0</v>
      </c>
      <c r="R173" s="53"/>
      <c r="S173" s="53">
        <v>0</v>
      </c>
      <c r="T173" s="53"/>
      <c r="U173" s="53">
        <v>0</v>
      </c>
      <c r="V173" s="53"/>
      <c r="W173" s="53">
        <f t="shared" si="29"/>
        <v>0</v>
      </c>
      <c r="X173" s="51"/>
      <c r="Y173" s="51"/>
      <c r="Z173" s="35" t="s">
        <v>202</v>
      </c>
      <c r="AA173" s="53"/>
      <c r="AB173" s="35" t="s">
        <v>27</v>
      </c>
      <c r="AC173" s="51"/>
      <c r="AD173" s="53">
        <v>0</v>
      </c>
      <c r="AE173" s="53"/>
      <c r="AF173" s="53">
        <v>0</v>
      </c>
      <c r="AG173" s="53"/>
      <c r="AH173" s="53">
        <v>0</v>
      </c>
      <c r="AI173" s="53"/>
      <c r="AJ173" s="45">
        <f t="shared" si="28"/>
        <v>0</v>
      </c>
      <c r="AK173" s="45"/>
      <c r="AL173" s="53">
        <v>0</v>
      </c>
      <c r="AM173" s="45"/>
      <c r="AN173" s="53">
        <v>0</v>
      </c>
      <c r="AO173" s="53"/>
      <c r="AP173" s="53">
        <v>0</v>
      </c>
      <c r="AQ173" s="53"/>
      <c r="AR173" s="53">
        <v>0</v>
      </c>
      <c r="AS173" s="53"/>
      <c r="AT173" s="45">
        <f t="shared" si="25"/>
        <v>0</v>
      </c>
      <c r="AU173" s="45"/>
      <c r="AV173" s="53">
        <v>0</v>
      </c>
      <c r="AW173" s="53"/>
      <c r="AX173" s="53">
        <v>0</v>
      </c>
      <c r="AY173" s="53"/>
      <c r="AZ173" s="53">
        <f t="shared" si="26"/>
        <v>0</v>
      </c>
      <c r="BA173" s="51"/>
      <c r="BB173" s="35" t="s">
        <v>202</v>
      </c>
      <c r="BC173" s="35"/>
      <c r="BD173" s="35" t="s">
        <v>27</v>
      </c>
      <c r="BE173" s="53"/>
      <c r="BF173" s="53">
        <v>0</v>
      </c>
      <c r="BG173" s="53"/>
      <c r="BH173" s="53">
        <v>0</v>
      </c>
      <c r="BI173" s="53"/>
      <c r="BJ173" s="53">
        <v>0</v>
      </c>
      <c r="BK173" s="53"/>
      <c r="BL173" s="53">
        <v>0</v>
      </c>
      <c r="BM173" s="53"/>
      <c r="BN173" s="53">
        <f t="shared" si="24"/>
        <v>0</v>
      </c>
      <c r="BO173" s="139"/>
      <c r="BS173" s="140"/>
      <c r="BT173" s="140"/>
      <c r="BU173" s="141"/>
      <c r="BV173" s="140"/>
      <c r="BW173" s="140"/>
      <c r="BX173" s="140"/>
      <c r="BY173" s="140"/>
      <c r="BZ173" s="140"/>
      <c r="CA173" s="140"/>
      <c r="CB173" s="140"/>
      <c r="CC173" s="140"/>
      <c r="CD173" s="140"/>
      <c r="CE173" s="140"/>
      <c r="CF173" s="140"/>
      <c r="CG173" s="140"/>
      <c r="CH173" s="140"/>
      <c r="CI173" s="140"/>
      <c r="CJ173" s="140"/>
      <c r="CK173" s="140"/>
      <c r="CL173" s="140"/>
      <c r="CM173" s="140"/>
      <c r="CN173" s="140"/>
      <c r="CO173" s="140"/>
      <c r="CP173" s="140"/>
      <c r="CQ173" s="140"/>
    </row>
    <row r="174" spans="1:95" s="126" customFormat="1" ht="12.75" hidden="1" customHeight="1">
      <c r="A174" s="35" t="s">
        <v>203</v>
      </c>
      <c r="B174" s="51"/>
      <c r="C174" s="35" t="s">
        <v>27</v>
      </c>
      <c r="D174" s="44"/>
      <c r="E174" s="53">
        <f t="shared" si="22"/>
        <v>0</v>
      </c>
      <c r="F174" s="53"/>
      <c r="G174" s="53">
        <v>0</v>
      </c>
      <c r="H174" s="53"/>
      <c r="I174" s="53">
        <v>0</v>
      </c>
      <c r="J174" s="53"/>
      <c r="K174" s="53">
        <f t="shared" si="23"/>
        <v>0</v>
      </c>
      <c r="L174" s="53"/>
      <c r="M174" s="53">
        <v>0</v>
      </c>
      <c r="N174" s="53"/>
      <c r="O174" s="53">
        <v>0</v>
      </c>
      <c r="P174" s="53"/>
      <c r="Q174" s="53">
        <v>0</v>
      </c>
      <c r="R174" s="53"/>
      <c r="S174" s="53">
        <v>0</v>
      </c>
      <c r="T174" s="53"/>
      <c r="U174" s="53">
        <v>0</v>
      </c>
      <c r="V174" s="53"/>
      <c r="W174" s="53">
        <f t="shared" si="29"/>
        <v>0</v>
      </c>
      <c r="X174" s="51"/>
      <c r="Y174" s="51"/>
      <c r="Z174" s="35" t="s">
        <v>203</v>
      </c>
      <c r="AA174" s="53"/>
      <c r="AB174" s="35" t="s">
        <v>27</v>
      </c>
      <c r="AC174" s="51"/>
      <c r="AD174" s="53">
        <v>0</v>
      </c>
      <c r="AE174" s="53"/>
      <c r="AF174" s="53">
        <v>0</v>
      </c>
      <c r="AG174" s="53"/>
      <c r="AH174" s="53">
        <v>0</v>
      </c>
      <c r="AI174" s="53"/>
      <c r="AJ174" s="45">
        <f t="shared" si="28"/>
        <v>0</v>
      </c>
      <c r="AK174" s="45"/>
      <c r="AL174" s="53">
        <v>0</v>
      </c>
      <c r="AM174" s="45"/>
      <c r="AN174" s="53">
        <v>0</v>
      </c>
      <c r="AO174" s="53"/>
      <c r="AP174" s="53">
        <v>0</v>
      </c>
      <c r="AQ174" s="53"/>
      <c r="AR174" s="53">
        <v>0</v>
      </c>
      <c r="AS174" s="53"/>
      <c r="AT174" s="45">
        <f t="shared" si="25"/>
        <v>0</v>
      </c>
      <c r="AU174" s="45"/>
      <c r="AV174" s="53">
        <v>0</v>
      </c>
      <c r="AW174" s="53"/>
      <c r="AX174" s="53">
        <v>0</v>
      </c>
      <c r="AY174" s="53"/>
      <c r="AZ174" s="53">
        <f t="shared" si="26"/>
        <v>0</v>
      </c>
      <c r="BA174" s="51"/>
      <c r="BB174" s="35" t="s">
        <v>203</v>
      </c>
      <c r="BC174" s="35"/>
      <c r="BD174" s="35" t="s">
        <v>27</v>
      </c>
      <c r="BE174" s="53"/>
      <c r="BF174" s="53">
        <v>0</v>
      </c>
      <c r="BG174" s="53"/>
      <c r="BH174" s="53">
        <v>0</v>
      </c>
      <c r="BI174" s="53"/>
      <c r="BJ174" s="53">
        <v>0</v>
      </c>
      <c r="BK174" s="53"/>
      <c r="BL174" s="53">
        <v>0</v>
      </c>
      <c r="BM174" s="53"/>
      <c r="BN174" s="53">
        <f t="shared" si="24"/>
        <v>0</v>
      </c>
      <c r="BO174" s="139"/>
      <c r="BS174" s="140"/>
      <c r="BT174" s="140"/>
      <c r="BU174" s="141"/>
      <c r="BV174" s="140"/>
      <c r="BW174" s="140"/>
      <c r="BX174" s="140"/>
      <c r="BY174" s="140"/>
      <c r="BZ174" s="140"/>
      <c r="CA174" s="140"/>
      <c r="CB174" s="140"/>
      <c r="CC174" s="140"/>
      <c r="CD174" s="140"/>
      <c r="CE174" s="140"/>
      <c r="CF174" s="140"/>
      <c r="CG174" s="140"/>
      <c r="CH174" s="140"/>
      <c r="CI174" s="140"/>
      <c r="CJ174" s="140"/>
      <c r="CK174" s="140"/>
      <c r="CL174" s="140"/>
      <c r="CM174" s="140"/>
      <c r="CN174" s="140"/>
      <c r="CO174" s="140"/>
      <c r="CP174" s="140"/>
      <c r="CQ174" s="140"/>
    </row>
    <row r="175" spans="1:95" s="35" customFormat="1" ht="12.75" customHeight="1">
      <c r="A175" s="35" t="s">
        <v>204</v>
      </c>
      <c r="B175" s="51"/>
      <c r="C175" s="35" t="s">
        <v>125</v>
      </c>
      <c r="D175" s="44"/>
      <c r="E175" s="53">
        <f t="shared" si="22"/>
        <v>1540164</v>
      </c>
      <c r="F175" s="53"/>
      <c r="G175" s="53">
        <v>6637090</v>
      </c>
      <c r="H175" s="53"/>
      <c r="I175" s="53">
        <v>8177254</v>
      </c>
      <c r="J175" s="53"/>
      <c r="K175" s="53">
        <f t="shared" si="23"/>
        <v>284278</v>
      </c>
      <c r="L175" s="53"/>
      <c r="M175" s="53">
        <v>6475442</v>
      </c>
      <c r="N175" s="53"/>
      <c r="O175" s="53">
        <v>6759720</v>
      </c>
      <c r="P175" s="53"/>
      <c r="Q175" s="53">
        <v>-143016</v>
      </c>
      <c r="R175" s="53"/>
      <c r="S175" s="53">
        <v>0</v>
      </c>
      <c r="T175" s="53"/>
      <c r="U175" s="53">
        <v>1560550</v>
      </c>
      <c r="V175" s="53"/>
      <c r="W175" s="53">
        <f t="shared" si="29"/>
        <v>1417534</v>
      </c>
      <c r="X175" s="51"/>
      <c r="Y175" s="51"/>
      <c r="Z175" s="35" t="s">
        <v>204</v>
      </c>
      <c r="AA175" s="53"/>
      <c r="AB175" s="35" t="s">
        <v>125</v>
      </c>
      <c r="AC175" s="51"/>
      <c r="AD175" s="53">
        <v>780361</v>
      </c>
      <c r="AE175" s="53"/>
      <c r="AF175" s="53">
        <f>1280739-287024</f>
        <v>993715</v>
      </c>
      <c r="AG175" s="53"/>
      <c r="AH175" s="53">
        <v>287024</v>
      </c>
      <c r="AI175" s="53"/>
      <c r="AJ175" s="45">
        <f t="shared" si="28"/>
        <v>-500378</v>
      </c>
      <c r="AK175" s="45"/>
      <c r="AL175" s="53">
        <v>-320006</v>
      </c>
      <c r="AM175" s="45"/>
      <c r="AN175" s="53">
        <v>0</v>
      </c>
      <c r="AO175" s="53"/>
      <c r="AP175" s="53">
        <v>0</v>
      </c>
      <c r="AQ175" s="53"/>
      <c r="AR175" s="53">
        <v>101460</v>
      </c>
      <c r="AS175" s="53"/>
      <c r="AT175" s="45">
        <f t="shared" si="25"/>
        <v>-718924</v>
      </c>
      <c r="AU175" s="45"/>
      <c r="AV175" s="53">
        <v>0</v>
      </c>
      <c r="AW175" s="53"/>
      <c r="AX175" s="53">
        <v>0</v>
      </c>
      <c r="AY175" s="53"/>
      <c r="AZ175" s="53">
        <f t="shared" si="26"/>
        <v>1255886</v>
      </c>
      <c r="BA175" s="51"/>
      <c r="BB175" s="35" t="s">
        <v>204</v>
      </c>
      <c r="BD175" s="35" t="s">
        <v>125</v>
      </c>
      <c r="BE175" s="53"/>
      <c r="BF175" s="53">
        <f>6412640+110000</f>
        <v>6522640</v>
      </c>
      <c r="BG175" s="53"/>
      <c r="BH175" s="53">
        <v>0</v>
      </c>
      <c r="BI175" s="53"/>
      <c r="BJ175" s="53">
        <f>62802+120127</f>
        <v>182929</v>
      </c>
      <c r="BK175" s="53"/>
      <c r="BL175" s="53">
        <v>0</v>
      </c>
      <c r="BM175" s="53"/>
      <c r="BN175" s="53">
        <f t="shared" si="24"/>
        <v>6705569</v>
      </c>
      <c r="BO175" s="54"/>
      <c r="BS175" s="55"/>
      <c r="BT175" s="55"/>
      <c r="BU175" s="84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</row>
    <row r="176" spans="1:95" s="126" customFormat="1" ht="12.75" hidden="1" customHeight="1">
      <c r="A176" s="35" t="s">
        <v>205</v>
      </c>
      <c r="B176" s="51"/>
      <c r="C176" s="35" t="s">
        <v>27</v>
      </c>
      <c r="D176" s="44"/>
      <c r="E176" s="53">
        <f t="shared" si="22"/>
        <v>0</v>
      </c>
      <c r="F176" s="53"/>
      <c r="G176" s="53">
        <v>0</v>
      </c>
      <c r="H176" s="53"/>
      <c r="I176" s="53">
        <v>0</v>
      </c>
      <c r="J176" s="53"/>
      <c r="K176" s="53">
        <f t="shared" si="23"/>
        <v>0</v>
      </c>
      <c r="L176" s="53"/>
      <c r="M176" s="53">
        <v>0</v>
      </c>
      <c r="N176" s="53"/>
      <c r="O176" s="53">
        <v>0</v>
      </c>
      <c r="P176" s="53"/>
      <c r="Q176" s="53">
        <v>0</v>
      </c>
      <c r="R176" s="53"/>
      <c r="S176" s="53">
        <v>0</v>
      </c>
      <c r="T176" s="53"/>
      <c r="U176" s="53">
        <v>0</v>
      </c>
      <c r="V176" s="53"/>
      <c r="W176" s="53">
        <f t="shared" si="29"/>
        <v>0</v>
      </c>
      <c r="X176" s="51"/>
      <c r="Y176" s="51"/>
      <c r="Z176" s="35" t="s">
        <v>205</v>
      </c>
      <c r="AA176" s="53"/>
      <c r="AB176" s="35" t="s">
        <v>27</v>
      </c>
      <c r="AC176" s="51"/>
      <c r="AD176" s="53">
        <v>0</v>
      </c>
      <c r="AE176" s="53"/>
      <c r="AF176" s="53">
        <v>0</v>
      </c>
      <c r="AG176" s="53"/>
      <c r="AH176" s="53">
        <v>0</v>
      </c>
      <c r="AI176" s="53"/>
      <c r="AJ176" s="45">
        <f t="shared" si="28"/>
        <v>0</v>
      </c>
      <c r="AK176" s="45"/>
      <c r="AL176" s="53">
        <v>0</v>
      </c>
      <c r="AM176" s="45"/>
      <c r="AN176" s="53">
        <v>0</v>
      </c>
      <c r="AO176" s="53"/>
      <c r="AP176" s="53">
        <v>0</v>
      </c>
      <c r="AQ176" s="53"/>
      <c r="AR176" s="53">
        <v>0</v>
      </c>
      <c r="AS176" s="53"/>
      <c r="AT176" s="45">
        <f t="shared" si="25"/>
        <v>0</v>
      </c>
      <c r="AU176" s="45"/>
      <c r="AV176" s="53">
        <v>0</v>
      </c>
      <c r="AW176" s="53"/>
      <c r="AX176" s="53">
        <v>0</v>
      </c>
      <c r="AY176" s="53"/>
      <c r="AZ176" s="53">
        <f t="shared" si="26"/>
        <v>0</v>
      </c>
      <c r="BA176" s="51"/>
      <c r="BB176" s="35" t="s">
        <v>205</v>
      </c>
      <c r="BC176" s="35"/>
      <c r="BD176" s="35" t="s">
        <v>27</v>
      </c>
      <c r="BE176" s="53"/>
      <c r="BF176" s="53">
        <v>0</v>
      </c>
      <c r="BG176" s="53"/>
      <c r="BH176" s="53">
        <v>0</v>
      </c>
      <c r="BI176" s="53"/>
      <c r="BJ176" s="53">
        <v>0</v>
      </c>
      <c r="BK176" s="53"/>
      <c r="BL176" s="53">
        <v>0</v>
      </c>
      <c r="BM176" s="53"/>
      <c r="BN176" s="53">
        <f t="shared" si="24"/>
        <v>0</v>
      </c>
      <c r="BO176" s="139"/>
      <c r="BS176" s="140"/>
      <c r="BT176" s="140"/>
      <c r="BU176" s="141"/>
      <c r="BV176" s="140"/>
      <c r="BW176" s="140"/>
      <c r="BX176" s="140"/>
      <c r="BY176" s="140"/>
      <c r="BZ176" s="140"/>
      <c r="CA176" s="140"/>
      <c r="CB176" s="140"/>
      <c r="CC176" s="140"/>
      <c r="CD176" s="140"/>
      <c r="CE176" s="140"/>
      <c r="CF176" s="140"/>
      <c r="CG176" s="140"/>
      <c r="CH176" s="140"/>
      <c r="CI176" s="140"/>
      <c r="CJ176" s="140"/>
      <c r="CK176" s="140"/>
      <c r="CL176" s="140"/>
      <c r="CM176" s="140"/>
      <c r="CN176" s="140"/>
      <c r="CO176" s="140"/>
      <c r="CP176" s="140"/>
      <c r="CQ176" s="140"/>
    </row>
    <row r="177" spans="1:95" s="35" customFormat="1" ht="12.75" customHeight="1">
      <c r="A177" s="35" t="s">
        <v>206</v>
      </c>
      <c r="C177" s="35" t="s">
        <v>47</v>
      </c>
      <c r="D177" s="44"/>
      <c r="E177" s="53">
        <f t="shared" si="22"/>
        <v>2837425</v>
      </c>
      <c r="F177" s="53"/>
      <c r="G177" s="53">
        <v>13847242</v>
      </c>
      <c r="H177" s="53"/>
      <c r="I177" s="53">
        <v>16684667</v>
      </c>
      <c r="J177" s="53"/>
      <c r="K177" s="53">
        <f t="shared" si="23"/>
        <v>106464</v>
      </c>
      <c r="L177" s="53"/>
      <c r="M177" s="53">
        <v>82416</v>
      </c>
      <c r="N177" s="53"/>
      <c r="O177" s="53">
        <v>188880</v>
      </c>
      <c r="P177" s="53"/>
      <c r="Q177" s="53">
        <v>13847242</v>
      </c>
      <c r="R177" s="53"/>
      <c r="S177" s="53">
        <v>0</v>
      </c>
      <c r="T177" s="53"/>
      <c r="U177" s="53">
        <v>2648545</v>
      </c>
      <c r="V177" s="53"/>
      <c r="W177" s="53">
        <f t="shared" si="29"/>
        <v>16495787</v>
      </c>
      <c r="X177" s="51"/>
      <c r="Y177" s="51"/>
      <c r="Z177" s="35" t="s">
        <v>206</v>
      </c>
      <c r="AA177" s="53"/>
      <c r="AB177" s="35" t="s">
        <v>47</v>
      </c>
      <c r="AD177" s="53">
        <v>3491247</v>
      </c>
      <c r="AE177" s="53"/>
      <c r="AF177" s="53">
        <f>3830030-525193</f>
        <v>3304837</v>
      </c>
      <c r="AG177" s="53"/>
      <c r="AH177" s="53">
        <v>525193</v>
      </c>
      <c r="AI177" s="53"/>
      <c r="AJ177" s="45">
        <f t="shared" si="28"/>
        <v>-338783</v>
      </c>
      <c r="AK177" s="45"/>
      <c r="AL177" s="53">
        <v>-36029</v>
      </c>
      <c r="AM177" s="45"/>
      <c r="AN177" s="53">
        <v>0</v>
      </c>
      <c r="AO177" s="53"/>
      <c r="AP177" s="53">
        <v>0</v>
      </c>
      <c r="AQ177" s="53"/>
      <c r="AR177" s="53">
        <v>0</v>
      </c>
      <c r="AS177" s="53"/>
      <c r="AT177" s="45">
        <f t="shared" si="25"/>
        <v>-374812</v>
      </c>
      <c r="AU177" s="45"/>
      <c r="AV177" s="53">
        <v>0</v>
      </c>
      <c r="AW177" s="53"/>
      <c r="AX177" s="53">
        <v>0</v>
      </c>
      <c r="AY177" s="53"/>
      <c r="AZ177" s="53">
        <f t="shared" si="26"/>
        <v>2730961</v>
      </c>
      <c r="BA177" s="51"/>
      <c r="BB177" s="35" t="s">
        <v>206</v>
      </c>
      <c r="BD177" s="35" t="s">
        <v>47</v>
      </c>
      <c r="BE177" s="53"/>
      <c r="BF177" s="53">
        <v>0</v>
      </c>
      <c r="BG177" s="53"/>
      <c r="BH177" s="53">
        <v>0</v>
      </c>
      <c r="BI177" s="53"/>
      <c r="BJ177" s="53">
        <v>0</v>
      </c>
      <c r="BK177" s="53"/>
      <c r="BL177" s="53">
        <v>82416</v>
      </c>
      <c r="BM177" s="53"/>
      <c r="BN177" s="53">
        <f t="shared" si="24"/>
        <v>82416</v>
      </c>
      <c r="BO177" s="54"/>
      <c r="BS177" s="55"/>
      <c r="BT177" s="55"/>
      <c r="BU177" s="84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</row>
    <row r="178" spans="1:95" s="35" customFormat="1" ht="12.75" customHeight="1">
      <c r="A178" s="35" t="s">
        <v>207</v>
      </c>
      <c r="B178" s="51"/>
      <c r="C178" s="35" t="s">
        <v>102</v>
      </c>
      <c r="D178" s="44"/>
      <c r="E178" s="53">
        <f t="shared" si="22"/>
        <v>2396441</v>
      </c>
      <c r="F178" s="53"/>
      <c r="G178" s="53">
        <v>17782961</v>
      </c>
      <c r="H178" s="53"/>
      <c r="I178" s="53">
        <v>20179402</v>
      </c>
      <c r="J178" s="53"/>
      <c r="K178" s="53">
        <f t="shared" si="23"/>
        <v>726151</v>
      </c>
      <c r="L178" s="53"/>
      <c r="M178" s="53">
        <v>2203574</v>
      </c>
      <c r="N178" s="53"/>
      <c r="O178" s="53">
        <v>2929725</v>
      </c>
      <c r="P178" s="53"/>
      <c r="Q178" s="53">
        <v>15045042</v>
      </c>
      <c r="R178" s="53"/>
      <c r="S178" s="53">
        <v>0</v>
      </c>
      <c r="T178" s="53"/>
      <c r="U178" s="53">
        <v>2204635</v>
      </c>
      <c r="V178" s="53"/>
      <c r="W178" s="53">
        <f t="shared" si="29"/>
        <v>17249677</v>
      </c>
      <c r="X178" s="51"/>
      <c r="Y178" s="51"/>
      <c r="Z178" s="35" t="s">
        <v>207</v>
      </c>
      <c r="AA178" s="53"/>
      <c r="AB178" s="35" t="s">
        <v>102</v>
      </c>
      <c r="AC178" s="51"/>
      <c r="AD178" s="53">
        <v>1807976</v>
      </c>
      <c r="AE178" s="53"/>
      <c r="AF178" s="53">
        <f>1875190-532066</f>
        <v>1343124</v>
      </c>
      <c r="AG178" s="53"/>
      <c r="AH178" s="53">
        <v>532066</v>
      </c>
      <c r="AI178" s="53"/>
      <c r="AJ178" s="45">
        <f t="shared" si="28"/>
        <v>-67214</v>
      </c>
      <c r="AK178" s="45"/>
      <c r="AL178" s="53">
        <v>-40464</v>
      </c>
      <c r="AM178" s="45"/>
      <c r="AN178" s="53">
        <v>0</v>
      </c>
      <c r="AO178" s="53"/>
      <c r="AP178" s="53">
        <v>0</v>
      </c>
      <c r="AQ178" s="53"/>
      <c r="AR178" s="53">
        <v>363969</v>
      </c>
      <c r="AS178" s="53"/>
      <c r="AT178" s="45">
        <f t="shared" si="25"/>
        <v>256291</v>
      </c>
      <c r="AU178" s="45"/>
      <c r="AV178" s="53">
        <v>0</v>
      </c>
      <c r="AW178" s="53"/>
      <c r="AX178" s="53">
        <v>0</v>
      </c>
      <c r="AY178" s="53"/>
      <c r="AZ178" s="53">
        <f t="shared" si="26"/>
        <v>1670290</v>
      </c>
      <c r="BA178" s="51"/>
      <c r="BB178" s="35" t="s">
        <v>207</v>
      </c>
      <c r="BD178" s="35" t="s">
        <v>102</v>
      </c>
      <c r="BE178" s="53"/>
      <c r="BF178" s="53">
        <f>410423+100000</f>
        <v>510423</v>
      </c>
      <c r="BG178" s="53"/>
      <c r="BH178" s="53">
        <v>0</v>
      </c>
      <c r="BI178" s="53"/>
      <c r="BJ178" s="53">
        <v>0</v>
      </c>
      <c r="BK178" s="53"/>
      <c r="BL178" s="53">
        <f>6435+70878+1700000+15838+32651+5223</f>
        <v>1831025</v>
      </c>
      <c r="BM178" s="53"/>
      <c r="BN178" s="53">
        <f t="shared" si="24"/>
        <v>2341448</v>
      </c>
      <c r="BO178" s="54"/>
      <c r="BS178" s="55"/>
      <c r="BT178" s="55"/>
      <c r="BU178" s="84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</row>
    <row r="179" spans="1:95" s="35" customFormat="1" ht="12.75" customHeight="1">
      <c r="B179" s="51"/>
      <c r="D179" s="44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 t="s">
        <v>484</v>
      </c>
      <c r="X179" s="51"/>
      <c r="Y179" s="51"/>
      <c r="AA179" s="53"/>
      <c r="AC179" s="51"/>
      <c r="AD179" s="53"/>
      <c r="AE179" s="53"/>
      <c r="AF179" s="53"/>
      <c r="AG179" s="53"/>
      <c r="AH179" s="53"/>
      <c r="AI179" s="53"/>
      <c r="AJ179" s="45"/>
      <c r="AK179" s="45"/>
      <c r="AL179" s="53"/>
      <c r="AM179" s="45"/>
      <c r="AN179" s="53"/>
      <c r="AO179" s="53"/>
      <c r="AP179" s="53"/>
      <c r="AQ179" s="53"/>
      <c r="AR179" s="53"/>
      <c r="AS179" s="53"/>
      <c r="AT179" s="45"/>
      <c r="AU179" s="45"/>
      <c r="AV179" s="53"/>
      <c r="AW179" s="53"/>
      <c r="AX179" s="53"/>
      <c r="AY179" s="53"/>
      <c r="AZ179" s="53" t="s">
        <v>484</v>
      </c>
      <c r="BA179" s="51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 t="s">
        <v>484</v>
      </c>
      <c r="BO179" s="54"/>
      <c r="BS179" s="55"/>
      <c r="BT179" s="55"/>
      <c r="BU179" s="84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</row>
    <row r="180" spans="1:95" s="64" customFormat="1" ht="12.75" customHeight="1">
      <c r="A180" s="64" t="s">
        <v>208</v>
      </c>
      <c r="B180" s="66"/>
      <c r="C180" s="64" t="s">
        <v>209</v>
      </c>
      <c r="D180" s="46"/>
      <c r="E180" s="79">
        <f t="shared" si="22"/>
        <v>2312064</v>
      </c>
      <c r="F180" s="79"/>
      <c r="G180" s="79">
        <v>10840956</v>
      </c>
      <c r="H180" s="79"/>
      <c r="I180" s="79">
        <v>13153020</v>
      </c>
      <c r="J180" s="79"/>
      <c r="K180" s="79">
        <f t="shared" si="23"/>
        <v>431887</v>
      </c>
      <c r="L180" s="79"/>
      <c r="M180" s="79">
        <v>743432</v>
      </c>
      <c r="N180" s="79"/>
      <c r="O180" s="79">
        <v>1175319</v>
      </c>
      <c r="P180" s="79"/>
      <c r="Q180" s="79">
        <v>10109918</v>
      </c>
      <c r="R180" s="79"/>
      <c r="S180" s="79">
        <v>0</v>
      </c>
      <c r="T180" s="79"/>
      <c r="U180" s="79">
        <v>1867783</v>
      </c>
      <c r="V180" s="79"/>
      <c r="W180" s="79">
        <f t="shared" si="29"/>
        <v>11977701</v>
      </c>
      <c r="X180" s="66"/>
      <c r="Y180" s="66"/>
      <c r="Z180" s="64" t="s">
        <v>208</v>
      </c>
      <c r="AA180" s="79"/>
      <c r="AB180" s="64" t="s">
        <v>209</v>
      </c>
      <c r="AC180" s="66"/>
      <c r="AD180" s="79">
        <v>3119750</v>
      </c>
      <c r="AE180" s="79"/>
      <c r="AF180" s="79">
        <f>-2754795-377630</f>
        <v>-3132425</v>
      </c>
      <c r="AG180" s="79"/>
      <c r="AH180" s="79">
        <v>377630</v>
      </c>
      <c r="AI180" s="79"/>
      <c r="AJ180" s="94">
        <f t="shared" si="28"/>
        <v>5874545</v>
      </c>
      <c r="AK180" s="94"/>
      <c r="AL180" s="79">
        <v>102544</v>
      </c>
      <c r="AM180" s="94"/>
      <c r="AN180" s="79">
        <v>0</v>
      </c>
      <c r="AO180" s="79"/>
      <c r="AP180" s="79">
        <v>0</v>
      </c>
      <c r="AQ180" s="79"/>
      <c r="AR180" s="79">
        <v>0</v>
      </c>
      <c r="AS180" s="79"/>
      <c r="AT180" s="94">
        <f t="shared" si="25"/>
        <v>5977089</v>
      </c>
      <c r="AU180" s="94"/>
      <c r="AV180" s="79">
        <v>0</v>
      </c>
      <c r="AW180" s="79"/>
      <c r="AX180" s="79">
        <v>0</v>
      </c>
      <c r="AY180" s="79"/>
      <c r="AZ180" s="79">
        <f t="shared" si="26"/>
        <v>1880177</v>
      </c>
      <c r="BA180" s="66"/>
      <c r="BB180" s="64" t="s">
        <v>208</v>
      </c>
      <c r="BD180" s="64" t="s">
        <v>209</v>
      </c>
      <c r="BE180" s="79"/>
      <c r="BF180" s="79">
        <f>122823+608215</f>
        <v>731038</v>
      </c>
      <c r="BG180" s="79"/>
      <c r="BH180" s="79">
        <v>0</v>
      </c>
      <c r="BI180" s="79"/>
      <c r="BJ180" s="79">
        <v>0</v>
      </c>
      <c r="BK180" s="79"/>
      <c r="BL180" s="79">
        <f>61986+135217</f>
        <v>197203</v>
      </c>
      <c r="BM180" s="79"/>
      <c r="BN180" s="79">
        <f t="shared" si="24"/>
        <v>928241</v>
      </c>
      <c r="BO180" s="91"/>
      <c r="BS180" s="90"/>
      <c r="BT180" s="90"/>
      <c r="BU180" s="95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</row>
    <row r="181" spans="1:95" s="35" customFormat="1" ht="12.75" customHeight="1">
      <c r="A181" s="44" t="s">
        <v>210</v>
      </c>
      <c r="B181" s="51"/>
      <c r="C181" s="44" t="s">
        <v>211</v>
      </c>
      <c r="D181" s="44"/>
      <c r="E181" s="53">
        <f t="shared" si="22"/>
        <v>569087</v>
      </c>
      <c r="F181" s="53"/>
      <c r="G181" s="53">
        <v>2429810</v>
      </c>
      <c r="H181" s="53"/>
      <c r="I181" s="53">
        <v>2998897</v>
      </c>
      <c r="J181" s="53"/>
      <c r="K181" s="53">
        <f t="shared" si="23"/>
        <v>98822</v>
      </c>
      <c r="L181" s="53"/>
      <c r="M181" s="53">
        <v>740693</v>
      </c>
      <c r="N181" s="53"/>
      <c r="O181" s="53">
        <v>839515</v>
      </c>
      <c r="P181" s="53"/>
      <c r="Q181" s="53">
        <v>1646833</v>
      </c>
      <c r="R181" s="53"/>
      <c r="S181" s="53">
        <v>0</v>
      </c>
      <c r="T181" s="53"/>
      <c r="U181" s="53">
        <v>512549</v>
      </c>
      <c r="V181" s="53"/>
      <c r="W181" s="53">
        <f t="shared" si="29"/>
        <v>2159382</v>
      </c>
      <c r="X181" s="66"/>
      <c r="Y181" s="64"/>
      <c r="Z181" s="44" t="s">
        <v>210</v>
      </c>
      <c r="AA181" s="53"/>
      <c r="AB181" s="44" t="s">
        <v>211</v>
      </c>
      <c r="AC181" s="51"/>
      <c r="AD181" s="53">
        <v>1496915</v>
      </c>
      <c r="AE181" s="53"/>
      <c r="AF181" s="53">
        <f>1403859-81718</f>
        <v>1322141</v>
      </c>
      <c r="AG181" s="53"/>
      <c r="AH181" s="53">
        <v>81718</v>
      </c>
      <c r="AI181" s="53"/>
      <c r="AJ181" s="45">
        <f t="shared" si="28"/>
        <v>93056</v>
      </c>
      <c r="AK181" s="45"/>
      <c r="AL181" s="53">
        <v>-39259</v>
      </c>
      <c r="AM181" s="45"/>
      <c r="AN181" s="53">
        <v>0</v>
      </c>
      <c r="AO181" s="53"/>
      <c r="AP181" s="53">
        <v>0</v>
      </c>
      <c r="AQ181" s="53"/>
      <c r="AR181" s="53">
        <v>0</v>
      </c>
      <c r="AS181" s="53"/>
      <c r="AT181" s="45">
        <f t="shared" si="25"/>
        <v>53797</v>
      </c>
      <c r="AU181" s="45"/>
      <c r="AV181" s="53">
        <v>0</v>
      </c>
      <c r="AW181" s="53"/>
      <c r="AX181" s="53">
        <v>0</v>
      </c>
      <c r="AY181" s="53"/>
      <c r="AZ181" s="53">
        <f t="shared" si="26"/>
        <v>470265</v>
      </c>
      <c r="BA181" s="66"/>
      <c r="BB181" s="44" t="s">
        <v>210</v>
      </c>
      <c r="BD181" s="44" t="s">
        <v>211</v>
      </c>
      <c r="BE181" s="53"/>
      <c r="BF181" s="53">
        <v>0</v>
      </c>
      <c r="BG181" s="53"/>
      <c r="BH181" s="53">
        <v>0</v>
      </c>
      <c r="BI181" s="53"/>
      <c r="BJ181" s="53">
        <f>21303+590982+1515+53409</f>
        <v>667209</v>
      </c>
      <c r="BK181" s="53"/>
      <c r="BL181" s="53">
        <f>58533+21303+19928+7288+10807</f>
        <v>117859</v>
      </c>
      <c r="BM181" s="53"/>
      <c r="BN181" s="53">
        <f t="shared" si="24"/>
        <v>785068</v>
      </c>
      <c r="BO181" s="54"/>
      <c r="BS181" s="55"/>
      <c r="BT181" s="55"/>
      <c r="BU181" s="84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</row>
    <row r="182" spans="1:95" s="35" customFormat="1" ht="12.75" customHeight="1">
      <c r="A182" s="44" t="s">
        <v>212</v>
      </c>
      <c r="B182" s="51"/>
      <c r="C182" s="44" t="s">
        <v>213</v>
      </c>
      <c r="D182" s="44"/>
      <c r="E182" s="53">
        <f t="shared" si="22"/>
        <v>1249286</v>
      </c>
      <c r="F182" s="53"/>
      <c r="G182" s="53">
        <v>20807356</v>
      </c>
      <c r="H182" s="53"/>
      <c r="I182" s="53">
        <v>22056642</v>
      </c>
      <c r="J182" s="53"/>
      <c r="K182" s="53">
        <f t="shared" si="23"/>
        <v>1753282</v>
      </c>
      <c r="L182" s="53"/>
      <c r="M182" s="53">
        <v>10526837</v>
      </c>
      <c r="N182" s="53"/>
      <c r="O182" s="53">
        <v>12280119</v>
      </c>
      <c r="P182" s="53"/>
      <c r="Q182" s="53">
        <v>8964780</v>
      </c>
      <c r="R182" s="53"/>
      <c r="S182" s="53">
        <v>873786</v>
      </c>
      <c r="T182" s="53"/>
      <c r="U182" s="53">
        <v>-62043</v>
      </c>
      <c r="V182" s="53"/>
      <c r="W182" s="53">
        <f t="shared" si="29"/>
        <v>9776523</v>
      </c>
      <c r="X182" s="51"/>
      <c r="Y182" s="51"/>
      <c r="Z182" s="44" t="s">
        <v>212</v>
      </c>
      <c r="AA182" s="53"/>
      <c r="AB182" s="44" t="s">
        <v>213</v>
      </c>
      <c r="AC182" s="51"/>
      <c r="AD182" s="53">
        <v>5495715</v>
      </c>
      <c r="AE182" s="53"/>
      <c r="AF182" s="53">
        <f>5808761-865934</f>
        <v>4942827</v>
      </c>
      <c r="AG182" s="53"/>
      <c r="AH182" s="53">
        <v>865934</v>
      </c>
      <c r="AI182" s="53"/>
      <c r="AJ182" s="45">
        <f t="shared" si="28"/>
        <v>-313046</v>
      </c>
      <c r="AK182" s="45"/>
      <c r="AL182" s="53">
        <v>-525040</v>
      </c>
      <c r="AM182" s="45"/>
      <c r="AN182" s="53">
        <v>0</v>
      </c>
      <c r="AO182" s="53"/>
      <c r="AP182" s="53">
        <v>0</v>
      </c>
      <c r="AQ182" s="53"/>
      <c r="AR182" s="53">
        <v>0</v>
      </c>
      <c r="AS182" s="53"/>
      <c r="AT182" s="45">
        <f t="shared" si="25"/>
        <v>-838086</v>
      </c>
      <c r="AU182" s="45"/>
      <c r="AV182" s="53">
        <v>0</v>
      </c>
      <c r="AW182" s="53"/>
      <c r="AX182" s="53">
        <v>0</v>
      </c>
      <c r="AY182" s="53"/>
      <c r="AZ182" s="53">
        <f t="shared" si="26"/>
        <v>-503996</v>
      </c>
      <c r="BA182" s="51"/>
      <c r="BB182" s="44" t="s">
        <v>212</v>
      </c>
      <c r="BD182" s="44" t="s">
        <v>213</v>
      </c>
      <c r="BE182" s="53"/>
      <c r="BF182" s="53">
        <v>0</v>
      </c>
      <c r="BG182" s="53"/>
      <c r="BH182" s="53">
        <f>2575000+420045</f>
        <v>2995045</v>
      </c>
      <c r="BI182" s="53"/>
      <c r="BJ182" s="53">
        <f>148198+3304276</f>
        <v>3452474</v>
      </c>
      <c r="BK182" s="53"/>
      <c r="BL182" s="53">
        <f>4589746+57815+519646+5703</f>
        <v>5172910</v>
      </c>
      <c r="BM182" s="53"/>
      <c r="BN182" s="53">
        <f t="shared" si="24"/>
        <v>11620429</v>
      </c>
      <c r="BO182" s="54"/>
      <c r="BP182" s="55"/>
      <c r="BS182" s="55"/>
      <c r="BT182" s="55"/>
      <c r="BU182" s="84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</row>
    <row r="183" spans="1:95" s="126" customFormat="1" ht="12.75" hidden="1" customHeight="1">
      <c r="A183" s="44" t="s">
        <v>214</v>
      </c>
      <c r="B183" s="51"/>
      <c r="C183" s="44" t="s">
        <v>86</v>
      </c>
      <c r="D183" s="44"/>
      <c r="E183" s="53">
        <f t="shared" si="22"/>
        <v>0</v>
      </c>
      <c r="F183" s="53"/>
      <c r="G183" s="53">
        <v>0</v>
      </c>
      <c r="H183" s="53"/>
      <c r="I183" s="53">
        <v>0</v>
      </c>
      <c r="J183" s="53"/>
      <c r="K183" s="53">
        <f t="shared" si="23"/>
        <v>0</v>
      </c>
      <c r="L183" s="53"/>
      <c r="M183" s="53">
        <v>0</v>
      </c>
      <c r="N183" s="53"/>
      <c r="O183" s="53">
        <v>0</v>
      </c>
      <c r="P183" s="53"/>
      <c r="Q183" s="53">
        <v>0</v>
      </c>
      <c r="R183" s="53"/>
      <c r="S183" s="53">
        <v>0</v>
      </c>
      <c r="T183" s="53"/>
      <c r="U183" s="53">
        <v>0</v>
      </c>
      <c r="V183" s="53"/>
      <c r="W183" s="53">
        <f t="shared" si="29"/>
        <v>0</v>
      </c>
      <c r="X183" s="51"/>
      <c r="Y183" s="51"/>
      <c r="Z183" s="44" t="s">
        <v>214</v>
      </c>
      <c r="AA183" s="53"/>
      <c r="AB183" s="44" t="s">
        <v>86</v>
      </c>
      <c r="AC183" s="51"/>
      <c r="AD183" s="53">
        <v>0</v>
      </c>
      <c r="AE183" s="53"/>
      <c r="AF183" s="53">
        <v>0</v>
      </c>
      <c r="AG183" s="53"/>
      <c r="AH183" s="53">
        <v>0</v>
      </c>
      <c r="AI183" s="53"/>
      <c r="AJ183" s="45">
        <f t="shared" si="28"/>
        <v>0</v>
      </c>
      <c r="AK183" s="45"/>
      <c r="AL183" s="53">
        <v>0</v>
      </c>
      <c r="AM183" s="45"/>
      <c r="AN183" s="53">
        <v>0</v>
      </c>
      <c r="AO183" s="53"/>
      <c r="AP183" s="53">
        <v>0</v>
      </c>
      <c r="AQ183" s="53"/>
      <c r="AR183" s="53">
        <v>0</v>
      </c>
      <c r="AS183" s="53"/>
      <c r="AT183" s="45">
        <f t="shared" si="25"/>
        <v>0</v>
      </c>
      <c r="AU183" s="45"/>
      <c r="AV183" s="53">
        <v>0</v>
      </c>
      <c r="AW183" s="53"/>
      <c r="AX183" s="53">
        <v>0</v>
      </c>
      <c r="AY183" s="53"/>
      <c r="AZ183" s="53">
        <f t="shared" si="26"/>
        <v>0</v>
      </c>
      <c r="BA183" s="51"/>
      <c r="BB183" s="44" t="s">
        <v>214</v>
      </c>
      <c r="BC183" s="35"/>
      <c r="BD183" s="44" t="s">
        <v>86</v>
      </c>
      <c r="BE183" s="53"/>
      <c r="BF183" s="53">
        <v>0</v>
      </c>
      <c r="BG183" s="53"/>
      <c r="BH183" s="53">
        <v>0</v>
      </c>
      <c r="BI183" s="53"/>
      <c r="BJ183" s="53">
        <v>0</v>
      </c>
      <c r="BK183" s="53"/>
      <c r="BL183" s="53">
        <v>0</v>
      </c>
      <c r="BM183" s="53"/>
      <c r="BN183" s="53">
        <f t="shared" si="24"/>
        <v>0</v>
      </c>
      <c r="BO183" s="139"/>
      <c r="BS183" s="140"/>
      <c r="BT183" s="140"/>
      <c r="BU183" s="141"/>
      <c r="BV183" s="140"/>
      <c r="BW183" s="140"/>
      <c r="BX183" s="140"/>
      <c r="BY183" s="140"/>
      <c r="BZ183" s="140"/>
      <c r="CA183" s="140"/>
      <c r="CB183" s="140"/>
      <c r="CC183" s="140"/>
      <c r="CD183" s="140"/>
      <c r="CE183" s="140"/>
      <c r="CF183" s="140"/>
      <c r="CG183" s="140"/>
      <c r="CH183" s="140"/>
      <c r="CI183" s="140"/>
      <c r="CJ183" s="140"/>
      <c r="CK183" s="140"/>
      <c r="CL183" s="140"/>
      <c r="CM183" s="140"/>
      <c r="CN183" s="140"/>
      <c r="CO183" s="140"/>
      <c r="CP183" s="140"/>
      <c r="CQ183" s="140"/>
    </row>
    <row r="184" spans="1:95" s="35" customFormat="1" ht="12.75" customHeight="1">
      <c r="A184" s="35" t="s">
        <v>215</v>
      </c>
      <c r="C184" s="35" t="s">
        <v>22</v>
      </c>
      <c r="D184" s="44"/>
      <c r="E184" s="53">
        <f t="shared" si="22"/>
        <v>3005536</v>
      </c>
      <c r="F184" s="53"/>
      <c r="G184" s="53">
        <v>18724615</v>
      </c>
      <c r="H184" s="53"/>
      <c r="I184" s="53">
        <v>21730151</v>
      </c>
      <c r="J184" s="53"/>
      <c r="K184" s="53">
        <f t="shared" si="23"/>
        <v>190728</v>
      </c>
      <c r="L184" s="53"/>
      <c r="M184" s="53">
        <v>1864460</v>
      </c>
      <c r="N184" s="53"/>
      <c r="O184" s="53">
        <v>2055188</v>
      </c>
      <c r="P184" s="53"/>
      <c r="Q184" s="53">
        <v>16940612</v>
      </c>
      <c r="R184" s="53"/>
      <c r="S184" s="53">
        <v>0</v>
      </c>
      <c r="T184" s="53"/>
      <c r="U184" s="53">
        <v>2734351</v>
      </c>
      <c r="V184" s="53"/>
      <c r="W184" s="53">
        <f t="shared" si="29"/>
        <v>19674963</v>
      </c>
      <c r="X184" s="51"/>
      <c r="Y184" s="51"/>
      <c r="Z184" s="35" t="s">
        <v>215</v>
      </c>
      <c r="AB184" s="35" t="s">
        <v>22</v>
      </c>
      <c r="AC184" s="51"/>
      <c r="AD184" s="53">
        <v>2710646</v>
      </c>
      <c r="AE184" s="53"/>
      <c r="AF184" s="53">
        <f>4136404-544354</f>
        <v>3592050</v>
      </c>
      <c r="AG184" s="53"/>
      <c r="AH184" s="53">
        <v>544354</v>
      </c>
      <c r="AI184" s="53"/>
      <c r="AJ184" s="45">
        <f t="shared" si="28"/>
        <v>-1425758</v>
      </c>
      <c r="AK184" s="45"/>
      <c r="AL184" s="53">
        <v>803811</v>
      </c>
      <c r="AM184" s="45"/>
      <c r="AN184" s="53">
        <v>348281</v>
      </c>
      <c r="AO184" s="53"/>
      <c r="AP184" s="53">
        <v>0</v>
      </c>
      <c r="AQ184" s="53"/>
      <c r="AR184" s="53">
        <v>0</v>
      </c>
      <c r="AS184" s="53"/>
      <c r="AT184" s="45">
        <f t="shared" si="25"/>
        <v>-273666</v>
      </c>
      <c r="AU184" s="45"/>
      <c r="AV184" s="53">
        <v>0</v>
      </c>
      <c r="AW184" s="53"/>
      <c r="AX184" s="53">
        <v>0</v>
      </c>
      <c r="AY184" s="53"/>
      <c r="AZ184" s="53">
        <f t="shared" si="26"/>
        <v>2814808</v>
      </c>
      <c r="BA184" s="51"/>
      <c r="BB184" s="35" t="s">
        <v>215</v>
      </c>
      <c r="BD184" s="35" t="s">
        <v>22</v>
      </c>
      <c r="BE184" s="53"/>
      <c r="BF184" s="53">
        <v>0</v>
      </c>
      <c r="BG184" s="53"/>
      <c r="BH184" s="53">
        <v>0</v>
      </c>
      <c r="BI184" s="53"/>
      <c r="BJ184" s="53">
        <f>255114+1446033+27824+20956</f>
        <v>1749927</v>
      </c>
      <c r="BK184" s="53"/>
      <c r="BL184" s="53">
        <f>36680+143313</f>
        <v>179993</v>
      </c>
      <c r="BM184" s="53"/>
      <c r="BN184" s="53">
        <f>SUM(BF184:BL184)</f>
        <v>1929920</v>
      </c>
      <c r="BO184" s="54"/>
      <c r="BS184" s="55"/>
      <c r="BT184" s="55"/>
      <c r="BU184" s="84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</row>
    <row r="185" spans="1:95" s="126" customFormat="1" ht="12.75" customHeight="1">
      <c r="A185" s="35" t="s">
        <v>216</v>
      </c>
      <c r="B185" s="51"/>
      <c r="C185" s="35" t="s">
        <v>45</v>
      </c>
      <c r="D185" s="44"/>
      <c r="E185" s="53">
        <f t="shared" ref="E185:E190" si="30">I185-G185</f>
        <v>468686</v>
      </c>
      <c r="F185" s="53"/>
      <c r="G185" s="53">
        <f>6135+776953</f>
        <v>783088</v>
      </c>
      <c r="H185" s="53"/>
      <c r="I185" s="53">
        <v>1251774</v>
      </c>
      <c r="J185" s="53"/>
      <c r="K185" s="53">
        <f t="shared" ref="K185:K190" si="31">O185-M185</f>
        <v>192925</v>
      </c>
      <c r="L185" s="53"/>
      <c r="M185" s="53">
        <f>79402+48000+11070</f>
        <v>138472</v>
      </c>
      <c r="N185" s="53"/>
      <c r="O185" s="53">
        <v>331397</v>
      </c>
      <c r="P185" s="53"/>
      <c r="Q185" s="53">
        <v>639558</v>
      </c>
      <c r="R185" s="53"/>
      <c r="S185" s="53">
        <v>0</v>
      </c>
      <c r="T185" s="53"/>
      <c r="U185" s="53">
        <v>280819</v>
      </c>
      <c r="V185" s="53"/>
      <c r="W185" s="53">
        <f t="shared" ref="W185:W190" si="32">SUM(Q185:U185)</f>
        <v>920377</v>
      </c>
      <c r="X185" s="51"/>
      <c r="Y185" s="51"/>
      <c r="Z185" s="35" t="s">
        <v>216</v>
      </c>
      <c r="AA185" s="53"/>
      <c r="AB185" s="35" t="s">
        <v>45</v>
      </c>
      <c r="AC185" s="51"/>
      <c r="AD185" s="53">
        <v>1433709</v>
      </c>
      <c r="AE185" s="53"/>
      <c r="AF185" s="53">
        <f>1372804-38772</f>
        <v>1334032</v>
      </c>
      <c r="AG185" s="53"/>
      <c r="AH185" s="53">
        <v>38772</v>
      </c>
      <c r="AI185" s="53"/>
      <c r="AJ185" s="45">
        <f t="shared" ref="AJ185:AJ190" si="33">+AD185-AF185-AH185</f>
        <v>60905</v>
      </c>
      <c r="AK185" s="45"/>
      <c r="AL185" s="53">
        <v>-12432</v>
      </c>
      <c r="AM185" s="45"/>
      <c r="AN185" s="53">
        <v>0</v>
      </c>
      <c r="AO185" s="53"/>
      <c r="AP185" s="53">
        <v>0</v>
      </c>
      <c r="AQ185" s="53"/>
      <c r="AR185" s="53">
        <v>0</v>
      </c>
      <c r="AS185" s="53"/>
      <c r="AT185" s="45">
        <f t="shared" ref="AT185:AT190" si="34">+AJ185+AL185+AN185-AP185+AR185</f>
        <v>48473</v>
      </c>
      <c r="AU185" s="45"/>
      <c r="AV185" s="53">
        <v>0</v>
      </c>
      <c r="AW185" s="53"/>
      <c r="AX185" s="53">
        <v>0</v>
      </c>
      <c r="AY185" s="53"/>
      <c r="AZ185" s="53">
        <f t="shared" ref="AZ185:AZ190" si="35">E185-K185</f>
        <v>275761</v>
      </c>
      <c r="BA185" s="51"/>
      <c r="BB185" s="35" t="s">
        <v>216</v>
      </c>
      <c r="BC185" s="35"/>
      <c r="BD185" s="35" t="s">
        <v>45</v>
      </c>
      <c r="BE185" s="53"/>
      <c r="BF185" s="53">
        <f>4800+82460</f>
        <v>87260</v>
      </c>
      <c r="BG185" s="53"/>
      <c r="BH185" s="53">
        <v>0</v>
      </c>
      <c r="BI185" s="53"/>
      <c r="BJ185" s="53">
        <v>0</v>
      </c>
      <c r="BK185" s="53"/>
      <c r="BL185" s="53">
        <f>79402+11070</f>
        <v>90472</v>
      </c>
      <c r="BM185" s="53"/>
      <c r="BN185" s="53">
        <f t="shared" si="24"/>
        <v>177732</v>
      </c>
      <c r="BO185" s="139"/>
      <c r="BS185" s="140"/>
      <c r="BT185" s="140"/>
      <c r="BU185" s="141"/>
      <c r="BV185" s="140"/>
      <c r="BW185" s="140"/>
      <c r="BX185" s="140"/>
      <c r="BY185" s="140"/>
      <c r="BZ185" s="140"/>
      <c r="CA185" s="140"/>
      <c r="CB185" s="140"/>
      <c r="CC185" s="140"/>
      <c r="CD185" s="140"/>
      <c r="CE185" s="140"/>
      <c r="CF185" s="140"/>
      <c r="CG185" s="140"/>
      <c r="CH185" s="140"/>
      <c r="CI185" s="140"/>
      <c r="CJ185" s="140"/>
      <c r="CK185" s="140"/>
      <c r="CL185" s="140"/>
      <c r="CM185" s="140"/>
      <c r="CN185" s="140"/>
      <c r="CO185" s="140"/>
      <c r="CP185" s="140"/>
      <c r="CQ185" s="140"/>
    </row>
    <row r="186" spans="1:95" s="35" customFormat="1" ht="12.75" customHeight="1">
      <c r="A186" s="35" t="s">
        <v>217</v>
      </c>
      <c r="B186" s="65"/>
      <c r="C186" s="35" t="s">
        <v>43</v>
      </c>
      <c r="D186" s="44"/>
      <c r="E186" s="53">
        <f t="shared" si="30"/>
        <v>2519525</v>
      </c>
      <c r="F186" s="53"/>
      <c r="G186" s="53">
        <v>22939884</v>
      </c>
      <c r="H186" s="53"/>
      <c r="I186" s="53">
        <v>25459409</v>
      </c>
      <c r="J186" s="53"/>
      <c r="K186" s="53">
        <f t="shared" si="31"/>
        <v>1213348</v>
      </c>
      <c r="L186" s="53"/>
      <c r="M186" s="53">
        <v>2091937</v>
      </c>
      <c r="N186" s="53"/>
      <c r="O186" s="53">
        <v>3305285</v>
      </c>
      <c r="P186" s="53"/>
      <c r="Q186" s="53">
        <v>21279654</v>
      </c>
      <c r="R186" s="53"/>
      <c r="S186" s="53">
        <v>0</v>
      </c>
      <c r="T186" s="53"/>
      <c r="U186" s="53">
        <v>874470</v>
      </c>
      <c r="V186" s="53"/>
      <c r="W186" s="53">
        <f t="shared" si="32"/>
        <v>22154124</v>
      </c>
      <c r="X186" s="65"/>
      <c r="Y186" s="65"/>
      <c r="Z186" s="35" t="s">
        <v>217</v>
      </c>
      <c r="AA186" s="53"/>
      <c r="AB186" s="35" t="s">
        <v>43</v>
      </c>
      <c r="AC186" s="65"/>
      <c r="AD186" s="53">
        <v>4253418</v>
      </c>
      <c r="AE186" s="53"/>
      <c r="AF186" s="53">
        <f>4733547-619391</f>
        <v>4114156</v>
      </c>
      <c r="AG186" s="53"/>
      <c r="AH186" s="53">
        <v>619391</v>
      </c>
      <c r="AI186" s="53"/>
      <c r="AJ186" s="45">
        <f t="shared" si="33"/>
        <v>-480129</v>
      </c>
      <c r="AK186" s="45"/>
      <c r="AL186" s="53">
        <v>46890</v>
      </c>
      <c r="AM186" s="45"/>
      <c r="AN186" s="53">
        <v>0</v>
      </c>
      <c r="AO186" s="53"/>
      <c r="AP186" s="53">
        <v>0</v>
      </c>
      <c r="AQ186" s="53"/>
      <c r="AR186" s="53">
        <f>8745+488295</f>
        <v>497040</v>
      </c>
      <c r="AS186" s="53"/>
      <c r="AT186" s="45">
        <f t="shared" si="34"/>
        <v>63801</v>
      </c>
      <c r="AU186" s="45"/>
      <c r="AV186" s="53">
        <v>0</v>
      </c>
      <c r="AW186" s="53"/>
      <c r="AX186" s="53">
        <v>0</v>
      </c>
      <c r="AY186" s="53"/>
      <c r="AZ186" s="53">
        <f t="shared" si="35"/>
        <v>1306177</v>
      </c>
      <c r="BA186" s="65"/>
      <c r="BB186" s="35" t="s">
        <v>217</v>
      </c>
      <c r="BD186" s="35" t="s">
        <v>43</v>
      </c>
      <c r="BE186" s="53"/>
      <c r="BF186" s="53">
        <f>1040990+252700</f>
        <v>1293690</v>
      </c>
      <c r="BG186" s="53"/>
      <c r="BH186" s="53">
        <v>0</v>
      </c>
      <c r="BI186" s="53"/>
      <c r="BJ186" s="53">
        <f>933576+86272</f>
        <v>1019848</v>
      </c>
      <c r="BK186" s="53"/>
      <c r="BL186" s="53">
        <f>68588+48783+19074</f>
        <v>136445</v>
      </c>
      <c r="BM186" s="53"/>
      <c r="BN186" s="53">
        <f t="shared" si="24"/>
        <v>2449983</v>
      </c>
      <c r="BO186" s="54"/>
      <c r="BS186" s="55"/>
      <c r="BT186" s="55"/>
      <c r="BU186" s="84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</row>
    <row r="187" spans="1:95" s="126" customFormat="1" ht="12.75" hidden="1" customHeight="1">
      <c r="A187" s="35" t="s">
        <v>218</v>
      </c>
      <c r="B187" s="51"/>
      <c r="C187" s="35" t="s">
        <v>27</v>
      </c>
      <c r="D187" s="44"/>
      <c r="E187" s="53">
        <f t="shared" si="30"/>
        <v>0</v>
      </c>
      <c r="F187" s="53"/>
      <c r="G187" s="53"/>
      <c r="H187" s="53"/>
      <c r="I187" s="53"/>
      <c r="J187" s="53"/>
      <c r="K187" s="53">
        <f t="shared" si="31"/>
        <v>0</v>
      </c>
      <c r="L187" s="53"/>
      <c r="M187" s="53"/>
      <c r="N187" s="53"/>
      <c r="O187" s="53"/>
      <c r="P187" s="53"/>
      <c r="Q187" s="53"/>
      <c r="R187" s="53"/>
      <c r="S187" s="53">
        <v>0</v>
      </c>
      <c r="T187" s="53"/>
      <c r="U187" s="53"/>
      <c r="V187" s="53"/>
      <c r="W187" s="53">
        <f t="shared" si="32"/>
        <v>0</v>
      </c>
      <c r="X187" s="51"/>
      <c r="Y187" s="51"/>
      <c r="Z187" s="35" t="s">
        <v>218</v>
      </c>
      <c r="AA187" s="53"/>
      <c r="AB187" s="35" t="s">
        <v>27</v>
      </c>
      <c r="AC187" s="51"/>
      <c r="AD187" s="53"/>
      <c r="AE187" s="53"/>
      <c r="AF187" s="53"/>
      <c r="AG187" s="53"/>
      <c r="AH187" s="53"/>
      <c r="AI187" s="53"/>
      <c r="AJ187" s="45">
        <f t="shared" si="33"/>
        <v>0</v>
      </c>
      <c r="AK187" s="45"/>
      <c r="AL187" s="53"/>
      <c r="AM187" s="45"/>
      <c r="AN187" s="53"/>
      <c r="AO187" s="53"/>
      <c r="AP187" s="53"/>
      <c r="AQ187" s="53"/>
      <c r="AR187" s="53"/>
      <c r="AS187" s="53"/>
      <c r="AT187" s="45">
        <f t="shared" si="34"/>
        <v>0</v>
      </c>
      <c r="AU187" s="45"/>
      <c r="AV187" s="53">
        <v>0</v>
      </c>
      <c r="AW187" s="53"/>
      <c r="AX187" s="53">
        <v>0</v>
      </c>
      <c r="AY187" s="53"/>
      <c r="AZ187" s="53">
        <f t="shared" si="35"/>
        <v>0</v>
      </c>
      <c r="BA187" s="51"/>
      <c r="BB187" s="35" t="s">
        <v>218</v>
      </c>
      <c r="BC187" s="35"/>
      <c r="BD187" s="35" t="s">
        <v>27</v>
      </c>
      <c r="BE187" s="53"/>
      <c r="BF187" s="53"/>
      <c r="BG187" s="53"/>
      <c r="BH187" s="53"/>
      <c r="BI187" s="53"/>
      <c r="BJ187" s="53"/>
      <c r="BK187" s="53"/>
      <c r="BL187" s="53"/>
      <c r="BM187" s="53"/>
      <c r="BN187" s="53">
        <f t="shared" si="24"/>
        <v>0</v>
      </c>
      <c r="BO187" s="139"/>
      <c r="BS187" s="140"/>
      <c r="BT187" s="140"/>
      <c r="BU187" s="141"/>
      <c r="BV187" s="140"/>
      <c r="BW187" s="140"/>
      <c r="BX187" s="140"/>
      <c r="BY187" s="140"/>
      <c r="BZ187" s="140"/>
      <c r="CA187" s="140"/>
      <c r="CB187" s="140"/>
      <c r="CC187" s="140"/>
      <c r="CD187" s="140"/>
      <c r="CE187" s="140"/>
      <c r="CF187" s="140"/>
      <c r="CG187" s="140"/>
      <c r="CH187" s="140"/>
      <c r="CI187" s="140"/>
      <c r="CJ187" s="140"/>
      <c r="CK187" s="140"/>
      <c r="CL187" s="140"/>
      <c r="CM187" s="140"/>
      <c r="CN187" s="140"/>
      <c r="CO187" s="140"/>
      <c r="CP187" s="140"/>
      <c r="CQ187" s="140"/>
    </row>
    <row r="188" spans="1:95" s="35" customFormat="1" ht="12.75" customHeight="1">
      <c r="A188" s="35" t="s">
        <v>219</v>
      </c>
      <c r="B188" s="51"/>
      <c r="C188" s="35" t="s">
        <v>199</v>
      </c>
      <c r="D188" s="44"/>
      <c r="E188" s="53">
        <f t="shared" si="30"/>
        <v>863945</v>
      </c>
      <c r="F188" s="53"/>
      <c r="G188" s="53">
        <v>5407702</v>
      </c>
      <c r="H188" s="53"/>
      <c r="I188" s="53">
        <v>6271647</v>
      </c>
      <c r="J188" s="53"/>
      <c r="K188" s="53">
        <f t="shared" si="31"/>
        <v>169997</v>
      </c>
      <c r="L188" s="53"/>
      <c r="M188" s="53">
        <v>1399584</v>
      </c>
      <c r="N188" s="53"/>
      <c r="O188" s="53">
        <v>1569581</v>
      </c>
      <c r="P188" s="53"/>
      <c r="Q188" s="53">
        <v>3878449</v>
      </c>
      <c r="R188" s="53"/>
      <c r="S188" s="53">
        <v>0</v>
      </c>
      <c r="T188" s="53"/>
      <c r="U188" s="53">
        <v>823617</v>
      </c>
      <c r="V188" s="53"/>
      <c r="W188" s="53">
        <f t="shared" si="32"/>
        <v>4702066</v>
      </c>
      <c r="X188" s="51"/>
      <c r="Y188" s="51"/>
      <c r="Z188" s="35" t="s">
        <v>219</v>
      </c>
      <c r="AA188" s="53"/>
      <c r="AB188" s="35" t="s">
        <v>199</v>
      </c>
      <c r="AC188" s="51"/>
      <c r="AD188" s="53">
        <v>367850</v>
      </c>
      <c r="AE188" s="53"/>
      <c r="AF188" s="53">
        <v>754396</v>
      </c>
      <c r="AG188" s="53"/>
      <c r="AH188" s="53">
        <v>0</v>
      </c>
      <c r="AI188" s="53"/>
      <c r="AJ188" s="45">
        <f t="shared" si="33"/>
        <v>-386546</v>
      </c>
      <c r="AK188" s="45"/>
      <c r="AL188" s="53">
        <v>446005</v>
      </c>
      <c r="AM188" s="45"/>
      <c r="AN188" s="53">
        <v>0</v>
      </c>
      <c r="AO188" s="53"/>
      <c r="AP188" s="53">
        <v>0</v>
      </c>
      <c r="AQ188" s="53"/>
      <c r="AR188" s="53">
        <v>0</v>
      </c>
      <c r="AS188" s="53"/>
      <c r="AT188" s="45">
        <f t="shared" si="34"/>
        <v>59459</v>
      </c>
      <c r="AU188" s="45"/>
      <c r="AV188" s="53">
        <v>0</v>
      </c>
      <c r="AW188" s="53"/>
      <c r="AX188" s="53">
        <v>0</v>
      </c>
      <c r="AY188" s="53"/>
      <c r="AZ188" s="53">
        <f t="shared" si="35"/>
        <v>693948</v>
      </c>
      <c r="BA188" s="51"/>
      <c r="BB188" s="35" t="s">
        <v>219</v>
      </c>
      <c r="BD188" s="35" t="s">
        <v>199</v>
      </c>
      <c r="BE188" s="53"/>
      <c r="BF188" s="53">
        <f>1195000+65000</f>
        <v>1260000</v>
      </c>
      <c r="BG188" s="53"/>
      <c r="BH188" s="53">
        <v>0</v>
      </c>
      <c r="BI188" s="53"/>
      <c r="BJ188" s="53">
        <f>187500+12500</f>
        <v>200000</v>
      </c>
      <c r="BK188" s="53"/>
      <c r="BL188" s="53">
        <f>17084+6725</f>
        <v>23809</v>
      </c>
      <c r="BM188" s="53"/>
      <c r="BN188" s="53">
        <f t="shared" si="24"/>
        <v>1483809</v>
      </c>
      <c r="BO188" s="54"/>
      <c r="BS188" s="55"/>
      <c r="BT188" s="55"/>
      <c r="BU188" s="84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</row>
    <row r="189" spans="1:95" s="126" customFormat="1" ht="12.75" hidden="1" customHeight="1">
      <c r="A189" s="35" t="s">
        <v>220</v>
      </c>
      <c r="B189" s="51"/>
      <c r="C189" s="35" t="s">
        <v>66</v>
      </c>
      <c r="D189" s="44"/>
      <c r="E189" s="53">
        <f t="shared" si="30"/>
        <v>0</v>
      </c>
      <c r="F189" s="53"/>
      <c r="G189" s="53"/>
      <c r="H189" s="53"/>
      <c r="I189" s="53"/>
      <c r="J189" s="53"/>
      <c r="K189" s="53">
        <f t="shared" si="31"/>
        <v>0</v>
      </c>
      <c r="L189" s="53"/>
      <c r="M189" s="53"/>
      <c r="N189" s="53"/>
      <c r="O189" s="53"/>
      <c r="P189" s="53"/>
      <c r="Q189" s="53"/>
      <c r="R189" s="53"/>
      <c r="S189" s="53">
        <v>0</v>
      </c>
      <c r="T189" s="53"/>
      <c r="U189" s="53"/>
      <c r="V189" s="53"/>
      <c r="W189" s="53">
        <f t="shared" si="32"/>
        <v>0</v>
      </c>
      <c r="X189" s="51"/>
      <c r="Y189" s="51"/>
      <c r="Z189" s="35" t="s">
        <v>220</v>
      </c>
      <c r="AA189" s="53"/>
      <c r="AB189" s="35" t="s">
        <v>66</v>
      </c>
      <c r="AC189" s="51"/>
      <c r="AD189" s="53"/>
      <c r="AE189" s="53"/>
      <c r="AF189" s="53"/>
      <c r="AG189" s="53"/>
      <c r="AH189" s="53"/>
      <c r="AI189" s="53"/>
      <c r="AJ189" s="45">
        <f t="shared" si="33"/>
        <v>0</v>
      </c>
      <c r="AK189" s="45"/>
      <c r="AL189" s="53"/>
      <c r="AM189" s="45"/>
      <c r="AN189" s="53"/>
      <c r="AO189" s="53"/>
      <c r="AP189" s="53"/>
      <c r="AQ189" s="53"/>
      <c r="AR189" s="53"/>
      <c r="AS189" s="53"/>
      <c r="AT189" s="45">
        <f t="shared" si="34"/>
        <v>0</v>
      </c>
      <c r="AU189" s="45"/>
      <c r="AV189" s="53">
        <v>0</v>
      </c>
      <c r="AW189" s="53"/>
      <c r="AX189" s="53">
        <v>0</v>
      </c>
      <c r="AY189" s="53"/>
      <c r="AZ189" s="53">
        <f t="shared" si="35"/>
        <v>0</v>
      </c>
      <c r="BA189" s="51"/>
      <c r="BB189" s="35" t="s">
        <v>220</v>
      </c>
      <c r="BC189" s="35"/>
      <c r="BD189" s="35" t="s">
        <v>66</v>
      </c>
      <c r="BE189" s="53"/>
      <c r="BF189" s="53">
        <v>0</v>
      </c>
      <c r="BG189" s="53"/>
      <c r="BH189" s="53">
        <v>0</v>
      </c>
      <c r="BI189" s="53"/>
      <c r="BJ189" s="53">
        <v>0</v>
      </c>
      <c r="BK189" s="53"/>
      <c r="BL189" s="53">
        <v>0</v>
      </c>
      <c r="BM189" s="53"/>
      <c r="BN189" s="53">
        <f t="shared" si="24"/>
        <v>0</v>
      </c>
      <c r="BO189" s="139"/>
      <c r="BS189" s="140"/>
      <c r="BT189" s="140"/>
      <c r="BU189" s="141"/>
      <c r="BV189" s="140"/>
      <c r="BW189" s="140"/>
      <c r="BX189" s="140"/>
      <c r="BY189" s="140"/>
      <c r="BZ189" s="140"/>
      <c r="CA189" s="140"/>
      <c r="CB189" s="140"/>
      <c r="CC189" s="140"/>
      <c r="CD189" s="140"/>
      <c r="CE189" s="140"/>
      <c r="CF189" s="140"/>
      <c r="CG189" s="140"/>
      <c r="CH189" s="140"/>
      <c r="CI189" s="140"/>
      <c r="CJ189" s="140"/>
      <c r="CK189" s="140"/>
      <c r="CL189" s="140"/>
      <c r="CM189" s="140"/>
      <c r="CN189" s="140"/>
      <c r="CO189" s="140"/>
      <c r="CP189" s="140"/>
      <c r="CQ189" s="140"/>
    </row>
    <row r="190" spans="1:95" s="126" customFormat="1" ht="12.75" hidden="1" customHeight="1">
      <c r="A190" s="35" t="s">
        <v>221</v>
      </c>
      <c r="B190" s="51"/>
      <c r="C190" s="35" t="s">
        <v>27</v>
      </c>
      <c r="D190" s="44"/>
      <c r="E190" s="53">
        <f t="shared" si="30"/>
        <v>0</v>
      </c>
      <c r="F190" s="53"/>
      <c r="G190" s="53"/>
      <c r="H190" s="53"/>
      <c r="I190" s="53"/>
      <c r="J190" s="53"/>
      <c r="K190" s="53">
        <f t="shared" si="31"/>
        <v>0</v>
      </c>
      <c r="L190" s="53"/>
      <c r="M190" s="53"/>
      <c r="N190" s="53"/>
      <c r="O190" s="53"/>
      <c r="P190" s="53"/>
      <c r="Q190" s="53"/>
      <c r="R190" s="53"/>
      <c r="S190" s="53">
        <v>0</v>
      </c>
      <c r="T190" s="53"/>
      <c r="U190" s="53"/>
      <c r="V190" s="53"/>
      <c r="W190" s="53">
        <f t="shared" si="32"/>
        <v>0</v>
      </c>
      <c r="X190" s="51"/>
      <c r="Y190" s="51"/>
      <c r="Z190" s="35" t="s">
        <v>221</v>
      </c>
      <c r="AA190" s="53"/>
      <c r="AB190" s="35" t="s">
        <v>27</v>
      </c>
      <c r="AC190" s="51"/>
      <c r="AD190" s="53"/>
      <c r="AE190" s="53"/>
      <c r="AF190" s="53"/>
      <c r="AG190" s="53"/>
      <c r="AH190" s="53"/>
      <c r="AI190" s="53"/>
      <c r="AJ190" s="45">
        <f t="shared" si="33"/>
        <v>0</v>
      </c>
      <c r="AK190" s="45"/>
      <c r="AL190" s="53"/>
      <c r="AM190" s="45"/>
      <c r="AN190" s="53"/>
      <c r="AO190" s="53"/>
      <c r="AP190" s="53"/>
      <c r="AQ190" s="53"/>
      <c r="AR190" s="53"/>
      <c r="AS190" s="53"/>
      <c r="AT190" s="45">
        <f t="shared" si="34"/>
        <v>0</v>
      </c>
      <c r="AU190" s="45"/>
      <c r="AV190" s="53">
        <v>0</v>
      </c>
      <c r="AW190" s="53"/>
      <c r="AX190" s="53">
        <v>0</v>
      </c>
      <c r="AY190" s="53"/>
      <c r="AZ190" s="53">
        <f t="shared" si="35"/>
        <v>0</v>
      </c>
      <c r="BA190" s="51"/>
      <c r="BB190" s="35" t="s">
        <v>221</v>
      </c>
      <c r="BC190" s="35"/>
      <c r="BD190" s="35" t="s">
        <v>27</v>
      </c>
      <c r="BE190" s="53"/>
      <c r="BF190" s="53">
        <v>0</v>
      </c>
      <c r="BG190" s="53"/>
      <c r="BH190" s="53">
        <v>0</v>
      </c>
      <c r="BI190" s="53"/>
      <c r="BJ190" s="53">
        <v>0</v>
      </c>
      <c r="BK190" s="53"/>
      <c r="BL190" s="53">
        <v>0</v>
      </c>
      <c r="BM190" s="53"/>
      <c r="BN190" s="53">
        <f t="shared" si="24"/>
        <v>0</v>
      </c>
      <c r="BO190" s="139"/>
      <c r="BS190" s="140"/>
      <c r="BT190" s="140"/>
      <c r="BU190" s="141"/>
      <c r="BV190" s="140"/>
      <c r="BW190" s="140"/>
      <c r="BX190" s="140"/>
      <c r="BY190" s="140"/>
      <c r="BZ190" s="140"/>
      <c r="CA190" s="140"/>
      <c r="CB190" s="140"/>
      <c r="CC190" s="140"/>
      <c r="CD190" s="140"/>
      <c r="CE190" s="140"/>
      <c r="CF190" s="140"/>
      <c r="CG190" s="140"/>
      <c r="CH190" s="140"/>
      <c r="CI190" s="140"/>
      <c r="CJ190" s="140"/>
      <c r="CK190" s="140"/>
      <c r="CL190" s="140"/>
      <c r="CM190" s="140"/>
      <c r="CN190" s="140"/>
      <c r="CO190" s="140"/>
      <c r="CP190" s="140"/>
      <c r="CQ190" s="140"/>
    </row>
    <row r="191" spans="1:95" s="35" customFormat="1" ht="12.75" customHeight="1">
      <c r="A191" s="35" t="s">
        <v>222</v>
      </c>
      <c r="B191" s="51"/>
      <c r="C191" s="35" t="s">
        <v>47</v>
      </c>
      <c r="D191" s="44"/>
      <c r="E191" s="53">
        <f t="shared" ref="E191:E254" si="36">I191-G191</f>
        <v>452660</v>
      </c>
      <c r="F191" s="53"/>
      <c r="G191" s="53">
        <v>2463994</v>
      </c>
      <c r="H191" s="53"/>
      <c r="I191" s="53">
        <v>2916654</v>
      </c>
      <c r="J191" s="53"/>
      <c r="K191" s="53">
        <f t="shared" ref="K191:K254" si="37">O191-M191</f>
        <v>263304</v>
      </c>
      <c r="L191" s="53"/>
      <c r="M191" s="53">
        <v>1501724</v>
      </c>
      <c r="N191" s="53"/>
      <c r="O191" s="53">
        <v>1765028</v>
      </c>
      <c r="P191" s="53"/>
      <c r="Q191" s="53">
        <v>893691</v>
      </c>
      <c r="R191" s="53"/>
      <c r="S191" s="53">
        <v>0</v>
      </c>
      <c r="T191" s="53"/>
      <c r="U191" s="53">
        <v>257935</v>
      </c>
      <c r="V191" s="53"/>
      <c r="W191" s="53">
        <f t="shared" ref="W191:W254" si="38">SUM(Q191:U191)</f>
        <v>1151626</v>
      </c>
      <c r="X191" s="51"/>
      <c r="Y191" s="51"/>
      <c r="Z191" s="35" t="s">
        <v>222</v>
      </c>
      <c r="AA191" s="53"/>
      <c r="AB191" s="35" t="s">
        <v>47</v>
      </c>
      <c r="AC191" s="51"/>
      <c r="AD191" s="53">
        <v>172826</v>
      </c>
      <c r="AE191" s="53"/>
      <c r="AF191" s="53">
        <v>20872</v>
      </c>
      <c r="AG191" s="53"/>
      <c r="AH191" s="53">
        <v>73727</v>
      </c>
      <c r="AI191" s="53"/>
      <c r="AJ191" s="45">
        <f t="shared" ref="AJ191:AJ254" si="39">+AD191-AF191-AH191</f>
        <v>78227</v>
      </c>
      <c r="AK191" s="45"/>
      <c r="AL191" s="53">
        <v>-79347</v>
      </c>
      <c r="AM191" s="45"/>
      <c r="AN191" s="53">
        <v>45000</v>
      </c>
      <c r="AO191" s="53"/>
      <c r="AP191" s="53">
        <v>0</v>
      </c>
      <c r="AQ191" s="53"/>
      <c r="AR191" s="53">
        <v>0</v>
      </c>
      <c r="AS191" s="53"/>
      <c r="AT191" s="45">
        <f t="shared" ref="AT191:AT254" si="40">+AJ191+AL191+AN191-AP191+AR191</f>
        <v>43880</v>
      </c>
      <c r="AU191" s="45"/>
      <c r="AV191" s="53">
        <v>0</v>
      </c>
      <c r="AW191" s="53"/>
      <c r="AX191" s="53">
        <v>0</v>
      </c>
      <c r="AY191" s="53"/>
      <c r="AZ191" s="53">
        <f t="shared" ref="AZ191:AZ254" si="41">E191-K191</f>
        <v>189356</v>
      </c>
      <c r="BA191" s="51"/>
      <c r="BB191" s="35" t="s">
        <v>222</v>
      </c>
      <c r="BD191" s="35" t="s">
        <v>47</v>
      </c>
      <c r="BE191" s="53"/>
      <c r="BF191" s="53">
        <f>1459474+63884</f>
        <v>1523358</v>
      </c>
      <c r="BG191" s="53"/>
      <c r="BH191" s="53">
        <v>0</v>
      </c>
      <c r="BI191" s="53"/>
      <c r="BJ191" s="53">
        <f>4695+42250</f>
        <v>46945</v>
      </c>
      <c r="BK191" s="53"/>
      <c r="BL191" s="53">
        <v>0</v>
      </c>
      <c r="BM191" s="53"/>
      <c r="BN191" s="53">
        <f t="shared" si="24"/>
        <v>1570303</v>
      </c>
      <c r="BO191" s="54"/>
      <c r="BS191" s="55"/>
      <c r="BT191" s="55"/>
      <c r="BU191" s="84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</row>
    <row r="192" spans="1:95" s="35" customFormat="1" ht="12.75" hidden="1" customHeight="1">
      <c r="A192" s="35" t="s">
        <v>223</v>
      </c>
      <c r="B192" s="51"/>
      <c r="C192" s="35" t="s">
        <v>94</v>
      </c>
      <c r="D192" s="44"/>
      <c r="E192" s="53">
        <f t="shared" si="36"/>
        <v>0</v>
      </c>
      <c r="F192" s="53"/>
      <c r="G192" s="53">
        <v>0</v>
      </c>
      <c r="H192" s="53"/>
      <c r="I192" s="53">
        <v>0</v>
      </c>
      <c r="J192" s="53"/>
      <c r="K192" s="53">
        <f t="shared" si="37"/>
        <v>0</v>
      </c>
      <c r="L192" s="53"/>
      <c r="M192" s="53">
        <v>0</v>
      </c>
      <c r="N192" s="53"/>
      <c r="O192" s="53">
        <v>0</v>
      </c>
      <c r="P192" s="53"/>
      <c r="Q192" s="53">
        <v>0</v>
      </c>
      <c r="R192" s="53"/>
      <c r="S192" s="53">
        <v>0</v>
      </c>
      <c r="T192" s="53"/>
      <c r="U192" s="53">
        <v>0</v>
      </c>
      <c r="V192" s="53"/>
      <c r="W192" s="53">
        <f t="shared" si="38"/>
        <v>0</v>
      </c>
      <c r="X192" s="51"/>
      <c r="Y192" s="51"/>
      <c r="Z192" s="35" t="s">
        <v>223</v>
      </c>
      <c r="AA192" s="53"/>
      <c r="AB192" s="35" t="s">
        <v>94</v>
      </c>
      <c r="AC192" s="51"/>
      <c r="AD192" s="53">
        <v>0</v>
      </c>
      <c r="AE192" s="53"/>
      <c r="AF192" s="53">
        <v>0</v>
      </c>
      <c r="AG192" s="53"/>
      <c r="AH192" s="53">
        <v>0</v>
      </c>
      <c r="AI192" s="53"/>
      <c r="AJ192" s="45">
        <f t="shared" si="39"/>
        <v>0</v>
      </c>
      <c r="AK192" s="45"/>
      <c r="AL192" s="53">
        <v>0</v>
      </c>
      <c r="AM192" s="45"/>
      <c r="AN192" s="53">
        <v>0</v>
      </c>
      <c r="AO192" s="53"/>
      <c r="AP192" s="53">
        <v>0</v>
      </c>
      <c r="AQ192" s="53"/>
      <c r="AR192" s="53">
        <v>0</v>
      </c>
      <c r="AS192" s="53"/>
      <c r="AT192" s="45">
        <f t="shared" si="40"/>
        <v>0</v>
      </c>
      <c r="AU192" s="45"/>
      <c r="AV192" s="53">
        <v>0</v>
      </c>
      <c r="AW192" s="53"/>
      <c r="AX192" s="53">
        <v>0</v>
      </c>
      <c r="AY192" s="53"/>
      <c r="AZ192" s="53">
        <f t="shared" si="41"/>
        <v>0</v>
      </c>
      <c r="BA192" s="51"/>
      <c r="BB192" s="35" t="s">
        <v>223</v>
      </c>
      <c r="BD192" s="35" t="s">
        <v>94</v>
      </c>
      <c r="BE192" s="53"/>
      <c r="BF192" s="53">
        <v>0</v>
      </c>
      <c r="BG192" s="53"/>
      <c r="BH192" s="53">
        <v>0</v>
      </c>
      <c r="BI192" s="53"/>
      <c r="BJ192" s="53">
        <v>0</v>
      </c>
      <c r="BK192" s="53"/>
      <c r="BL192" s="53">
        <v>0</v>
      </c>
      <c r="BM192" s="53"/>
      <c r="BN192" s="53">
        <f t="shared" si="24"/>
        <v>0</v>
      </c>
      <c r="BO192" s="54"/>
      <c r="BS192" s="55"/>
      <c r="BT192" s="55"/>
      <c r="BU192" s="84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</row>
    <row r="193" spans="1:227" s="35" customFormat="1" ht="12.75" customHeight="1">
      <c r="A193" s="35" t="s">
        <v>76</v>
      </c>
      <c r="B193" s="51"/>
      <c r="C193" s="35" t="s">
        <v>132</v>
      </c>
      <c r="D193" s="44"/>
      <c r="E193" s="53">
        <f t="shared" si="36"/>
        <v>9310845</v>
      </c>
      <c r="F193" s="53"/>
      <c r="G193" s="53">
        <v>25707855</v>
      </c>
      <c r="H193" s="53"/>
      <c r="I193" s="53">
        <v>35018700</v>
      </c>
      <c r="J193" s="53"/>
      <c r="K193" s="53">
        <f t="shared" si="37"/>
        <v>975716</v>
      </c>
      <c r="L193" s="53"/>
      <c r="M193" s="53">
        <v>15133438</v>
      </c>
      <c r="N193" s="53"/>
      <c r="O193" s="53">
        <v>16109154</v>
      </c>
      <c r="P193" s="53"/>
      <c r="Q193" s="53">
        <v>10530063</v>
      </c>
      <c r="R193" s="53"/>
      <c r="S193" s="53">
        <v>0</v>
      </c>
      <c r="T193" s="53"/>
      <c r="U193" s="53">
        <v>8379483</v>
      </c>
      <c r="V193" s="53"/>
      <c r="W193" s="53">
        <f t="shared" si="38"/>
        <v>18909546</v>
      </c>
      <c r="X193" s="51"/>
      <c r="Y193" s="51"/>
      <c r="Z193" s="35" t="s">
        <v>76</v>
      </c>
      <c r="AA193" s="53"/>
      <c r="AB193" s="35" t="s">
        <v>132</v>
      </c>
      <c r="AC193" s="51"/>
      <c r="AD193" s="53">
        <v>5377081</v>
      </c>
      <c r="AE193" s="53"/>
      <c r="AF193" s="53">
        <f>4182466-928054</f>
        <v>3254412</v>
      </c>
      <c r="AG193" s="53"/>
      <c r="AH193" s="53">
        <v>928054</v>
      </c>
      <c r="AI193" s="53"/>
      <c r="AJ193" s="45">
        <f t="shared" si="39"/>
        <v>1194615</v>
      </c>
      <c r="AK193" s="45"/>
      <c r="AL193" s="53">
        <v>-918147</v>
      </c>
      <c r="AM193" s="45"/>
      <c r="AN193" s="53">
        <v>0</v>
      </c>
      <c r="AO193" s="53"/>
      <c r="AP193" s="53">
        <v>94735</v>
      </c>
      <c r="AQ193" s="53"/>
      <c r="AR193" s="53">
        <v>238701</v>
      </c>
      <c r="AS193" s="53"/>
      <c r="AT193" s="45">
        <f t="shared" si="40"/>
        <v>420434</v>
      </c>
      <c r="AU193" s="45"/>
      <c r="AV193" s="53">
        <v>0</v>
      </c>
      <c r="AW193" s="53"/>
      <c r="AX193" s="53">
        <v>0</v>
      </c>
      <c r="AY193" s="53"/>
      <c r="AZ193" s="53">
        <f t="shared" si="41"/>
        <v>8335129</v>
      </c>
      <c r="BA193" s="51"/>
      <c r="BB193" s="35" t="s">
        <v>76</v>
      </c>
      <c r="BD193" s="35" t="s">
        <v>132</v>
      </c>
      <c r="BE193" s="53"/>
      <c r="BF193" s="53">
        <f>23823+85000</f>
        <v>108823</v>
      </c>
      <c r="BG193" s="53"/>
      <c r="BH193" s="53">
        <v>0</v>
      </c>
      <c r="BI193" s="53"/>
      <c r="BJ193" s="53">
        <f>14338234+311593+373590+37490</f>
        <v>15060907</v>
      </c>
      <c r="BK193" s="53"/>
      <c r="BL193" s="53">
        <f>245408+107430</f>
        <v>352838</v>
      </c>
      <c r="BM193" s="53"/>
      <c r="BN193" s="53">
        <f t="shared" si="24"/>
        <v>15522568</v>
      </c>
      <c r="BO193" s="54"/>
      <c r="BS193" s="55"/>
      <c r="BT193" s="55"/>
      <c r="BU193" s="84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</row>
    <row r="194" spans="1:227" s="126" customFormat="1" ht="12.75" hidden="1" customHeight="1">
      <c r="A194" s="35" t="s">
        <v>224</v>
      </c>
      <c r="B194" s="51"/>
      <c r="C194" s="35" t="s">
        <v>27</v>
      </c>
      <c r="D194" s="44"/>
      <c r="E194" s="53">
        <f t="shared" si="36"/>
        <v>0</v>
      </c>
      <c r="F194" s="53"/>
      <c r="G194" s="53">
        <v>0</v>
      </c>
      <c r="H194" s="53"/>
      <c r="I194" s="53">
        <v>0</v>
      </c>
      <c r="J194" s="53"/>
      <c r="K194" s="53">
        <f t="shared" si="37"/>
        <v>0</v>
      </c>
      <c r="L194" s="53"/>
      <c r="M194" s="53">
        <v>0</v>
      </c>
      <c r="N194" s="53"/>
      <c r="O194" s="53">
        <v>0</v>
      </c>
      <c r="P194" s="53"/>
      <c r="Q194" s="53">
        <v>0</v>
      </c>
      <c r="R194" s="53"/>
      <c r="S194" s="53">
        <v>0</v>
      </c>
      <c r="T194" s="53"/>
      <c r="U194" s="53">
        <v>0</v>
      </c>
      <c r="V194" s="53"/>
      <c r="W194" s="53">
        <f t="shared" si="38"/>
        <v>0</v>
      </c>
      <c r="X194" s="51"/>
      <c r="Y194" s="51"/>
      <c r="Z194" s="35" t="s">
        <v>224</v>
      </c>
      <c r="AA194" s="53"/>
      <c r="AB194" s="35" t="s">
        <v>27</v>
      </c>
      <c r="AC194" s="51"/>
      <c r="AD194" s="53">
        <v>0</v>
      </c>
      <c r="AE194" s="53"/>
      <c r="AF194" s="53">
        <v>0</v>
      </c>
      <c r="AG194" s="53"/>
      <c r="AH194" s="53">
        <v>0</v>
      </c>
      <c r="AI194" s="53"/>
      <c r="AJ194" s="45">
        <f t="shared" si="39"/>
        <v>0</v>
      </c>
      <c r="AK194" s="45"/>
      <c r="AL194" s="53">
        <v>0</v>
      </c>
      <c r="AM194" s="45"/>
      <c r="AN194" s="53">
        <v>0</v>
      </c>
      <c r="AO194" s="53"/>
      <c r="AP194" s="53">
        <v>0</v>
      </c>
      <c r="AQ194" s="53"/>
      <c r="AR194" s="53">
        <v>0</v>
      </c>
      <c r="AS194" s="53"/>
      <c r="AT194" s="45">
        <f t="shared" si="40"/>
        <v>0</v>
      </c>
      <c r="AU194" s="45"/>
      <c r="AV194" s="53">
        <v>0</v>
      </c>
      <c r="AW194" s="53"/>
      <c r="AX194" s="53">
        <v>0</v>
      </c>
      <c r="AY194" s="53"/>
      <c r="AZ194" s="53">
        <f t="shared" si="41"/>
        <v>0</v>
      </c>
      <c r="BA194" s="51"/>
      <c r="BB194" s="35" t="s">
        <v>224</v>
      </c>
      <c r="BC194" s="35"/>
      <c r="BD194" s="35" t="s">
        <v>27</v>
      </c>
      <c r="BE194" s="53"/>
      <c r="BF194" s="53">
        <v>0</v>
      </c>
      <c r="BG194" s="53"/>
      <c r="BH194" s="53">
        <v>0</v>
      </c>
      <c r="BI194" s="53"/>
      <c r="BJ194" s="53">
        <v>0</v>
      </c>
      <c r="BK194" s="53"/>
      <c r="BL194" s="53">
        <v>0</v>
      </c>
      <c r="BM194" s="53"/>
      <c r="BN194" s="53">
        <f t="shared" si="24"/>
        <v>0</v>
      </c>
      <c r="BO194" s="139"/>
      <c r="BS194" s="140"/>
      <c r="BT194" s="140"/>
      <c r="BU194" s="141"/>
      <c r="BV194" s="140"/>
      <c r="BW194" s="140"/>
      <c r="BX194" s="140"/>
      <c r="BY194" s="140"/>
      <c r="BZ194" s="140"/>
      <c r="CA194" s="140"/>
      <c r="CB194" s="140"/>
      <c r="CC194" s="140"/>
      <c r="CD194" s="140"/>
      <c r="CE194" s="140"/>
      <c r="CF194" s="140"/>
      <c r="CG194" s="140"/>
      <c r="CH194" s="140"/>
      <c r="CI194" s="140"/>
      <c r="CJ194" s="140"/>
      <c r="CK194" s="140"/>
      <c r="CL194" s="140"/>
      <c r="CM194" s="140"/>
      <c r="CN194" s="140"/>
      <c r="CO194" s="140"/>
      <c r="CP194" s="140"/>
      <c r="CQ194" s="140"/>
    </row>
    <row r="195" spans="1:227" s="126" customFormat="1" ht="12.75" hidden="1" customHeight="1">
      <c r="A195" s="35" t="s">
        <v>225</v>
      </c>
      <c r="B195" s="51"/>
      <c r="C195" s="35" t="s">
        <v>27</v>
      </c>
      <c r="D195" s="44"/>
      <c r="E195" s="53">
        <f t="shared" si="36"/>
        <v>0</v>
      </c>
      <c r="F195" s="53"/>
      <c r="G195" s="53">
        <v>0</v>
      </c>
      <c r="H195" s="53"/>
      <c r="I195" s="53">
        <v>0</v>
      </c>
      <c r="J195" s="53"/>
      <c r="K195" s="53">
        <f t="shared" si="37"/>
        <v>0</v>
      </c>
      <c r="L195" s="53"/>
      <c r="M195" s="53">
        <v>0</v>
      </c>
      <c r="N195" s="53"/>
      <c r="O195" s="53">
        <v>0</v>
      </c>
      <c r="P195" s="53"/>
      <c r="Q195" s="53">
        <v>0</v>
      </c>
      <c r="R195" s="53"/>
      <c r="S195" s="53">
        <v>0</v>
      </c>
      <c r="T195" s="53"/>
      <c r="U195" s="53">
        <v>0</v>
      </c>
      <c r="V195" s="53"/>
      <c r="W195" s="53">
        <f t="shared" si="38"/>
        <v>0</v>
      </c>
      <c r="X195" s="51"/>
      <c r="Y195" s="51"/>
      <c r="Z195" s="35" t="s">
        <v>225</v>
      </c>
      <c r="AA195" s="53"/>
      <c r="AB195" s="35" t="s">
        <v>27</v>
      </c>
      <c r="AC195" s="51"/>
      <c r="AD195" s="53">
        <v>0</v>
      </c>
      <c r="AE195" s="53"/>
      <c r="AF195" s="53">
        <v>0</v>
      </c>
      <c r="AG195" s="53"/>
      <c r="AH195" s="53">
        <v>0</v>
      </c>
      <c r="AI195" s="53"/>
      <c r="AJ195" s="45">
        <f t="shared" si="39"/>
        <v>0</v>
      </c>
      <c r="AK195" s="45"/>
      <c r="AL195" s="53">
        <v>0</v>
      </c>
      <c r="AM195" s="45"/>
      <c r="AN195" s="53">
        <v>0</v>
      </c>
      <c r="AO195" s="53"/>
      <c r="AP195" s="53">
        <v>0</v>
      </c>
      <c r="AQ195" s="53"/>
      <c r="AR195" s="53">
        <v>0</v>
      </c>
      <c r="AS195" s="53"/>
      <c r="AT195" s="45">
        <f t="shared" si="40"/>
        <v>0</v>
      </c>
      <c r="AU195" s="45"/>
      <c r="AV195" s="53">
        <v>0</v>
      </c>
      <c r="AW195" s="53"/>
      <c r="AX195" s="53">
        <v>0</v>
      </c>
      <c r="AY195" s="53"/>
      <c r="AZ195" s="53">
        <f t="shared" si="41"/>
        <v>0</v>
      </c>
      <c r="BA195" s="51"/>
      <c r="BB195" s="35" t="s">
        <v>225</v>
      </c>
      <c r="BC195" s="35"/>
      <c r="BD195" s="35" t="s">
        <v>27</v>
      </c>
      <c r="BE195" s="53"/>
      <c r="BF195" s="53">
        <v>0</v>
      </c>
      <c r="BG195" s="53"/>
      <c r="BH195" s="53">
        <v>0</v>
      </c>
      <c r="BI195" s="53"/>
      <c r="BJ195" s="53">
        <v>0</v>
      </c>
      <c r="BK195" s="53"/>
      <c r="BL195" s="53">
        <v>0</v>
      </c>
      <c r="BM195" s="53"/>
      <c r="BN195" s="53">
        <f t="shared" si="24"/>
        <v>0</v>
      </c>
      <c r="BO195" s="139"/>
      <c r="BS195" s="140"/>
      <c r="BT195" s="140"/>
      <c r="BU195" s="141"/>
      <c r="BV195" s="140"/>
      <c r="BW195" s="140"/>
      <c r="BX195" s="140"/>
      <c r="BY195" s="140"/>
      <c r="BZ195" s="140"/>
      <c r="CA195" s="140"/>
      <c r="CB195" s="140"/>
      <c r="CC195" s="140"/>
      <c r="CD195" s="140"/>
      <c r="CE195" s="140"/>
      <c r="CF195" s="140"/>
      <c r="CG195" s="140"/>
      <c r="CH195" s="140"/>
      <c r="CI195" s="140"/>
      <c r="CJ195" s="140"/>
      <c r="CK195" s="140"/>
      <c r="CL195" s="140"/>
      <c r="CM195" s="140"/>
      <c r="CN195" s="140"/>
      <c r="CO195" s="140"/>
      <c r="CP195" s="140"/>
      <c r="CQ195" s="140"/>
    </row>
    <row r="196" spans="1:227" s="126" customFormat="1" ht="12.75" hidden="1" customHeight="1">
      <c r="A196" s="35" t="s">
        <v>226</v>
      </c>
      <c r="B196" s="51"/>
      <c r="C196" s="35" t="s">
        <v>45</v>
      </c>
      <c r="D196" s="44"/>
      <c r="E196" s="53">
        <f t="shared" si="36"/>
        <v>0</v>
      </c>
      <c r="F196" s="53"/>
      <c r="G196" s="53">
        <v>0</v>
      </c>
      <c r="H196" s="53"/>
      <c r="I196" s="53">
        <v>0</v>
      </c>
      <c r="J196" s="53"/>
      <c r="K196" s="53">
        <f t="shared" si="37"/>
        <v>0</v>
      </c>
      <c r="L196" s="53"/>
      <c r="M196" s="53">
        <v>0</v>
      </c>
      <c r="N196" s="53"/>
      <c r="O196" s="53">
        <v>0</v>
      </c>
      <c r="P196" s="53"/>
      <c r="Q196" s="53">
        <v>0</v>
      </c>
      <c r="R196" s="53"/>
      <c r="S196" s="53">
        <v>0</v>
      </c>
      <c r="T196" s="53"/>
      <c r="U196" s="53">
        <v>0</v>
      </c>
      <c r="V196" s="53"/>
      <c r="W196" s="53">
        <f t="shared" si="38"/>
        <v>0</v>
      </c>
      <c r="X196" s="51"/>
      <c r="Y196" s="51"/>
      <c r="Z196" s="35" t="s">
        <v>226</v>
      </c>
      <c r="AA196" s="53"/>
      <c r="AB196" s="35" t="s">
        <v>45</v>
      </c>
      <c r="AC196" s="51"/>
      <c r="AD196" s="53">
        <v>0</v>
      </c>
      <c r="AE196" s="53"/>
      <c r="AF196" s="53">
        <v>0</v>
      </c>
      <c r="AG196" s="53"/>
      <c r="AH196" s="53">
        <v>0</v>
      </c>
      <c r="AI196" s="53"/>
      <c r="AJ196" s="45">
        <f t="shared" si="39"/>
        <v>0</v>
      </c>
      <c r="AK196" s="45"/>
      <c r="AL196" s="53">
        <v>0</v>
      </c>
      <c r="AM196" s="45"/>
      <c r="AN196" s="53">
        <v>0</v>
      </c>
      <c r="AO196" s="53"/>
      <c r="AP196" s="53">
        <v>0</v>
      </c>
      <c r="AQ196" s="53"/>
      <c r="AR196" s="53">
        <v>0</v>
      </c>
      <c r="AS196" s="53"/>
      <c r="AT196" s="45">
        <f t="shared" si="40"/>
        <v>0</v>
      </c>
      <c r="AU196" s="45"/>
      <c r="AV196" s="53">
        <v>0</v>
      </c>
      <c r="AW196" s="53"/>
      <c r="AX196" s="53">
        <v>0</v>
      </c>
      <c r="AY196" s="53"/>
      <c r="AZ196" s="53">
        <f t="shared" si="41"/>
        <v>0</v>
      </c>
      <c r="BA196" s="51"/>
      <c r="BB196" s="35" t="s">
        <v>226</v>
      </c>
      <c r="BC196" s="35"/>
      <c r="BD196" s="35" t="s">
        <v>45</v>
      </c>
      <c r="BE196" s="53"/>
      <c r="BF196" s="53">
        <v>0</v>
      </c>
      <c r="BG196" s="53"/>
      <c r="BH196" s="53">
        <v>0</v>
      </c>
      <c r="BI196" s="53"/>
      <c r="BJ196" s="53">
        <v>0</v>
      </c>
      <c r="BK196" s="53"/>
      <c r="BL196" s="53">
        <v>0</v>
      </c>
      <c r="BM196" s="53"/>
      <c r="BN196" s="53">
        <f t="shared" si="24"/>
        <v>0</v>
      </c>
      <c r="BO196" s="139"/>
      <c r="BS196" s="140"/>
      <c r="BT196" s="140"/>
      <c r="BU196" s="141"/>
      <c r="BV196" s="140"/>
      <c r="BW196" s="140"/>
      <c r="BX196" s="140"/>
      <c r="BY196" s="140"/>
      <c r="BZ196" s="140"/>
      <c r="CA196" s="140"/>
      <c r="CB196" s="140"/>
      <c r="CC196" s="140"/>
      <c r="CD196" s="140"/>
      <c r="CE196" s="140"/>
      <c r="CF196" s="140"/>
      <c r="CG196" s="140"/>
      <c r="CH196" s="140"/>
      <c r="CI196" s="140"/>
      <c r="CJ196" s="140"/>
      <c r="CK196" s="140"/>
      <c r="CL196" s="140"/>
      <c r="CM196" s="140"/>
      <c r="CN196" s="140"/>
      <c r="CO196" s="140"/>
      <c r="CP196" s="140"/>
      <c r="CQ196" s="140"/>
    </row>
    <row r="197" spans="1:227" s="35" customFormat="1" ht="12.75" customHeight="1">
      <c r="A197" s="35" t="s">
        <v>227</v>
      </c>
      <c r="C197" s="35" t="s">
        <v>17</v>
      </c>
      <c r="D197" s="44"/>
      <c r="E197" s="53">
        <f t="shared" si="36"/>
        <v>260673</v>
      </c>
      <c r="F197" s="53"/>
      <c r="G197" s="53">
        <v>536170</v>
      </c>
      <c r="H197" s="53"/>
      <c r="I197" s="53">
        <v>796843</v>
      </c>
      <c r="J197" s="53"/>
      <c r="K197" s="53">
        <f t="shared" si="37"/>
        <v>205305</v>
      </c>
      <c r="L197" s="53"/>
      <c r="M197" s="53">
        <v>23384</v>
      </c>
      <c r="N197" s="53"/>
      <c r="O197" s="53">
        <v>228689</v>
      </c>
      <c r="P197" s="53"/>
      <c r="Q197" s="53">
        <v>386170</v>
      </c>
      <c r="R197" s="53"/>
      <c r="S197" s="53">
        <v>0</v>
      </c>
      <c r="T197" s="53"/>
      <c r="U197" s="53">
        <v>181954</v>
      </c>
      <c r="V197" s="53"/>
      <c r="W197" s="53">
        <f t="shared" si="38"/>
        <v>568124</v>
      </c>
      <c r="X197" s="51"/>
      <c r="Y197" s="51"/>
      <c r="Z197" s="35" t="s">
        <v>227</v>
      </c>
      <c r="AA197" s="53"/>
      <c r="AB197" s="35" t="s">
        <v>17</v>
      </c>
      <c r="AD197" s="53">
        <v>643618</v>
      </c>
      <c r="AE197" s="53"/>
      <c r="AF197" s="53">
        <f>583108-18476</f>
        <v>564632</v>
      </c>
      <c r="AG197" s="53"/>
      <c r="AH197" s="53">
        <v>18476</v>
      </c>
      <c r="AI197" s="53"/>
      <c r="AJ197" s="45">
        <f t="shared" si="39"/>
        <v>60510</v>
      </c>
      <c r="AK197" s="45"/>
      <c r="AL197" s="53">
        <v>-8152</v>
      </c>
      <c r="AM197" s="45"/>
      <c r="AN197" s="53">
        <v>0</v>
      </c>
      <c r="AO197" s="53"/>
      <c r="AP197" s="53">
        <v>0</v>
      </c>
      <c r="AQ197" s="53"/>
      <c r="AR197" s="53">
        <v>0</v>
      </c>
      <c r="AS197" s="53"/>
      <c r="AT197" s="45">
        <f t="shared" si="40"/>
        <v>52358</v>
      </c>
      <c r="AU197" s="45"/>
      <c r="AV197" s="53">
        <v>0</v>
      </c>
      <c r="AW197" s="53"/>
      <c r="AX197" s="53">
        <v>0</v>
      </c>
      <c r="AY197" s="53"/>
      <c r="AZ197" s="53">
        <f t="shared" si="41"/>
        <v>55368</v>
      </c>
      <c r="BA197" s="51"/>
      <c r="BB197" s="35" t="s">
        <v>227</v>
      </c>
      <c r="BD197" s="35" t="s">
        <v>17</v>
      </c>
      <c r="BE197" s="53"/>
      <c r="BF197" s="53">
        <v>0</v>
      </c>
      <c r="BG197" s="53"/>
      <c r="BH197" s="53">
        <v>0</v>
      </c>
      <c r="BI197" s="53"/>
      <c r="BJ197" s="53">
        <v>0</v>
      </c>
      <c r="BK197" s="53"/>
      <c r="BL197" s="53">
        <v>23384</v>
      </c>
      <c r="BM197" s="53"/>
      <c r="BN197" s="53">
        <f t="shared" si="24"/>
        <v>23384</v>
      </c>
      <c r="BO197" s="54"/>
      <c r="BS197" s="55"/>
      <c r="BT197" s="55"/>
      <c r="BU197" s="84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</row>
    <row r="198" spans="1:227" s="35" customFormat="1" ht="12.75" customHeight="1">
      <c r="A198" s="35" t="s">
        <v>228</v>
      </c>
      <c r="B198" s="51"/>
      <c r="C198" s="35" t="s">
        <v>153</v>
      </c>
      <c r="D198" s="44"/>
      <c r="E198" s="53">
        <f t="shared" si="36"/>
        <v>902066</v>
      </c>
      <c r="F198" s="53"/>
      <c r="G198" s="53">
        <v>7695185</v>
      </c>
      <c r="H198" s="53"/>
      <c r="I198" s="53">
        <v>8597251</v>
      </c>
      <c r="J198" s="53"/>
      <c r="K198" s="53">
        <f t="shared" si="37"/>
        <v>329288</v>
      </c>
      <c r="L198" s="53"/>
      <c r="M198" s="53">
        <v>920748</v>
      </c>
      <c r="N198" s="53"/>
      <c r="O198" s="53">
        <v>1250036</v>
      </c>
      <c r="P198" s="53"/>
      <c r="Q198" s="53">
        <v>6527904</v>
      </c>
      <c r="R198" s="53"/>
      <c r="S198" s="53">
        <v>0</v>
      </c>
      <c r="T198" s="53"/>
      <c r="U198" s="53">
        <v>819311</v>
      </c>
      <c r="V198" s="53"/>
      <c r="W198" s="53">
        <f t="shared" si="38"/>
        <v>7347215</v>
      </c>
      <c r="X198" s="51"/>
      <c r="Y198" s="51"/>
      <c r="Z198" s="35" t="s">
        <v>228</v>
      </c>
      <c r="AA198" s="53"/>
      <c r="AB198" s="35" t="s">
        <v>153</v>
      </c>
      <c r="AC198" s="51"/>
      <c r="AD198" s="53">
        <v>1302685</v>
      </c>
      <c r="AE198" s="53"/>
      <c r="AF198" s="53">
        <f>1389035-674098</f>
        <v>714937</v>
      </c>
      <c r="AG198" s="53"/>
      <c r="AH198" s="53">
        <v>674098</v>
      </c>
      <c r="AI198" s="53"/>
      <c r="AJ198" s="45">
        <f t="shared" si="39"/>
        <v>-86350</v>
      </c>
      <c r="AK198" s="45"/>
      <c r="AL198" s="53">
        <v>-8426</v>
      </c>
      <c r="AM198" s="45"/>
      <c r="AN198" s="53">
        <v>0</v>
      </c>
      <c r="AO198" s="53"/>
      <c r="AP198" s="53">
        <v>0</v>
      </c>
      <c r="AQ198" s="53"/>
      <c r="AR198" s="53">
        <v>0</v>
      </c>
      <c r="AS198" s="53"/>
      <c r="AT198" s="45">
        <f t="shared" si="40"/>
        <v>-94776</v>
      </c>
      <c r="AU198" s="45"/>
      <c r="AV198" s="53">
        <v>0</v>
      </c>
      <c r="AW198" s="53"/>
      <c r="AX198" s="53">
        <v>0</v>
      </c>
      <c r="AY198" s="53"/>
      <c r="AZ198" s="53">
        <f t="shared" si="41"/>
        <v>572778</v>
      </c>
      <c r="BA198" s="51"/>
      <c r="BB198" s="35" t="s">
        <v>228</v>
      </c>
      <c r="BD198" s="35" t="s">
        <v>153</v>
      </c>
      <c r="BE198" s="53"/>
      <c r="BF198" s="53">
        <v>0</v>
      </c>
      <c r="BG198" s="53"/>
      <c r="BH198" s="53">
        <v>0</v>
      </c>
      <c r="BI198" s="53"/>
      <c r="BJ198" s="53">
        <f>842321+57143+182103+85714</f>
        <v>1167281</v>
      </c>
      <c r="BK198" s="53"/>
      <c r="BL198" s="53">
        <f>8388+21284</f>
        <v>29672</v>
      </c>
      <c r="BM198" s="53"/>
      <c r="BN198" s="53">
        <f t="shared" si="24"/>
        <v>1196953</v>
      </c>
      <c r="BO198" s="54"/>
      <c r="BP198" s="55"/>
      <c r="BS198" s="55"/>
      <c r="BT198" s="55"/>
      <c r="BU198" s="84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</row>
    <row r="199" spans="1:227" s="35" customFormat="1" ht="12.75" customHeight="1">
      <c r="A199" s="35" t="s">
        <v>229</v>
      </c>
      <c r="B199" s="51"/>
      <c r="C199" s="35" t="s">
        <v>228</v>
      </c>
      <c r="D199" s="44"/>
      <c r="E199" s="53">
        <f t="shared" si="36"/>
        <v>3517837</v>
      </c>
      <c r="F199" s="53"/>
      <c r="G199" s="53">
        <v>8915552</v>
      </c>
      <c r="H199" s="53"/>
      <c r="I199" s="53">
        <v>12433389</v>
      </c>
      <c r="J199" s="53"/>
      <c r="K199" s="53">
        <f t="shared" si="37"/>
        <v>1186501</v>
      </c>
      <c r="L199" s="53"/>
      <c r="M199" s="53">
        <v>312481</v>
      </c>
      <c r="N199" s="53"/>
      <c r="O199" s="53">
        <v>1498982</v>
      </c>
      <c r="P199" s="53"/>
      <c r="Q199" s="53">
        <v>7885377</v>
      </c>
      <c r="R199" s="53"/>
      <c r="S199" s="53">
        <v>0</v>
      </c>
      <c r="T199" s="53"/>
      <c r="U199" s="53">
        <v>3019030</v>
      </c>
      <c r="V199" s="53"/>
      <c r="W199" s="53">
        <f t="shared" si="38"/>
        <v>10904407</v>
      </c>
      <c r="Z199" s="35" t="s">
        <v>229</v>
      </c>
      <c r="AA199" s="53"/>
      <c r="AB199" s="35" t="s">
        <v>228</v>
      </c>
      <c r="AC199" s="51"/>
      <c r="AD199" s="53">
        <v>3273190</v>
      </c>
      <c r="AE199" s="53"/>
      <c r="AF199" s="53">
        <f>3200353-348745</f>
        <v>2851608</v>
      </c>
      <c r="AG199" s="53"/>
      <c r="AH199" s="53">
        <v>348745</v>
      </c>
      <c r="AI199" s="53"/>
      <c r="AJ199" s="45">
        <f t="shared" si="39"/>
        <v>72837</v>
      </c>
      <c r="AK199" s="45"/>
      <c r="AL199" s="53">
        <v>822787</v>
      </c>
      <c r="AM199" s="45"/>
      <c r="AN199" s="53">
        <v>0</v>
      </c>
      <c r="AO199" s="53"/>
      <c r="AP199" s="53">
        <v>0</v>
      </c>
      <c r="AQ199" s="53"/>
      <c r="AR199" s="53">
        <v>0</v>
      </c>
      <c r="AS199" s="53"/>
      <c r="AT199" s="45">
        <f t="shared" si="40"/>
        <v>895624</v>
      </c>
      <c r="AU199" s="45"/>
      <c r="AV199" s="53">
        <v>0</v>
      </c>
      <c r="AW199" s="53"/>
      <c r="AX199" s="53">
        <v>0</v>
      </c>
      <c r="AY199" s="53"/>
      <c r="AZ199" s="53">
        <f t="shared" si="41"/>
        <v>2331336</v>
      </c>
      <c r="BA199" s="51"/>
      <c r="BB199" s="35" t="s">
        <v>229</v>
      </c>
      <c r="BD199" s="35" t="s">
        <v>228</v>
      </c>
      <c r="BE199" s="53"/>
      <c r="BF199" s="53">
        <f>220906+139269</f>
        <v>360175</v>
      </c>
      <c r="BG199" s="53"/>
      <c r="BH199" s="53">
        <v>0</v>
      </c>
      <c r="BI199" s="53"/>
      <c r="BJ199" s="53">
        <v>0</v>
      </c>
      <c r="BK199" s="53"/>
      <c r="BL199" s="53">
        <f>173212+862</f>
        <v>174074</v>
      </c>
      <c r="BM199" s="53"/>
      <c r="BN199" s="53">
        <f t="shared" si="24"/>
        <v>534249</v>
      </c>
      <c r="BO199" s="54"/>
      <c r="BS199" s="55"/>
      <c r="BT199" s="55"/>
      <c r="BU199" s="84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</row>
    <row r="200" spans="1:227" s="126" customFormat="1" ht="12.75" hidden="1" customHeight="1">
      <c r="A200" s="35" t="s">
        <v>230</v>
      </c>
      <c r="B200" s="51"/>
      <c r="C200" s="35" t="s">
        <v>45</v>
      </c>
      <c r="D200" s="44"/>
      <c r="E200" s="53">
        <f t="shared" si="36"/>
        <v>0</v>
      </c>
      <c r="F200" s="53"/>
      <c r="G200" s="53">
        <v>0</v>
      </c>
      <c r="H200" s="53"/>
      <c r="I200" s="53">
        <v>0</v>
      </c>
      <c r="J200" s="53"/>
      <c r="K200" s="53">
        <f t="shared" si="37"/>
        <v>0</v>
      </c>
      <c r="L200" s="53"/>
      <c r="M200" s="53">
        <v>0</v>
      </c>
      <c r="N200" s="53"/>
      <c r="O200" s="53">
        <v>0</v>
      </c>
      <c r="P200" s="53"/>
      <c r="Q200" s="53">
        <v>0</v>
      </c>
      <c r="R200" s="53"/>
      <c r="S200" s="53">
        <v>0</v>
      </c>
      <c r="T200" s="53"/>
      <c r="U200" s="53">
        <v>0</v>
      </c>
      <c r="V200" s="53"/>
      <c r="W200" s="53">
        <f t="shared" si="38"/>
        <v>0</v>
      </c>
      <c r="X200" s="51"/>
      <c r="Y200" s="51"/>
      <c r="Z200" s="35" t="s">
        <v>230</v>
      </c>
      <c r="AA200" s="53"/>
      <c r="AB200" s="35" t="s">
        <v>45</v>
      </c>
      <c r="AC200" s="51"/>
      <c r="AD200" s="53">
        <v>0</v>
      </c>
      <c r="AE200" s="53"/>
      <c r="AF200" s="53">
        <v>0</v>
      </c>
      <c r="AG200" s="53"/>
      <c r="AH200" s="53">
        <v>0</v>
      </c>
      <c r="AI200" s="53"/>
      <c r="AJ200" s="45">
        <f t="shared" si="39"/>
        <v>0</v>
      </c>
      <c r="AK200" s="45"/>
      <c r="AL200" s="53">
        <v>0</v>
      </c>
      <c r="AM200" s="45"/>
      <c r="AN200" s="53">
        <v>0</v>
      </c>
      <c r="AO200" s="53"/>
      <c r="AP200" s="53">
        <v>0</v>
      </c>
      <c r="AQ200" s="53"/>
      <c r="AR200" s="53">
        <v>0</v>
      </c>
      <c r="AS200" s="53"/>
      <c r="AT200" s="45">
        <f t="shared" si="40"/>
        <v>0</v>
      </c>
      <c r="AU200" s="45"/>
      <c r="AV200" s="53">
        <v>0</v>
      </c>
      <c r="AW200" s="53"/>
      <c r="AX200" s="53">
        <v>0</v>
      </c>
      <c r="AY200" s="53"/>
      <c r="AZ200" s="53">
        <f t="shared" si="41"/>
        <v>0</v>
      </c>
      <c r="BA200" s="51"/>
      <c r="BB200" s="35" t="s">
        <v>230</v>
      </c>
      <c r="BC200" s="35"/>
      <c r="BD200" s="35" t="s">
        <v>45</v>
      </c>
      <c r="BE200" s="53"/>
      <c r="BF200" s="53">
        <v>0</v>
      </c>
      <c r="BG200" s="53"/>
      <c r="BH200" s="53">
        <v>0</v>
      </c>
      <c r="BI200" s="53"/>
      <c r="BJ200" s="53">
        <v>0</v>
      </c>
      <c r="BK200" s="53"/>
      <c r="BL200" s="53">
        <v>0</v>
      </c>
      <c r="BM200" s="53"/>
      <c r="BN200" s="53">
        <f t="shared" si="24"/>
        <v>0</v>
      </c>
      <c r="BO200" s="139"/>
      <c r="BS200" s="140"/>
      <c r="BT200" s="140"/>
      <c r="BU200" s="141"/>
      <c r="BV200" s="140"/>
      <c r="BW200" s="140"/>
      <c r="BX200" s="140"/>
      <c r="BY200" s="140"/>
      <c r="BZ200" s="140"/>
      <c r="CA200" s="140"/>
      <c r="CB200" s="140"/>
      <c r="CC200" s="140"/>
      <c r="CD200" s="140"/>
      <c r="CE200" s="140"/>
      <c r="CF200" s="140"/>
      <c r="CG200" s="140"/>
      <c r="CH200" s="140"/>
      <c r="CI200" s="140"/>
      <c r="CJ200" s="140"/>
      <c r="CK200" s="140"/>
      <c r="CL200" s="140"/>
      <c r="CM200" s="140"/>
      <c r="CN200" s="140"/>
      <c r="CO200" s="140"/>
      <c r="CP200" s="140"/>
      <c r="CQ200" s="140"/>
    </row>
    <row r="201" spans="1:227" s="64" customFormat="1" ht="12.75" customHeight="1">
      <c r="A201" s="35" t="s">
        <v>231</v>
      </c>
      <c r="B201" s="51"/>
      <c r="C201" s="35" t="s">
        <v>27</v>
      </c>
      <c r="D201" s="44"/>
      <c r="E201" s="53">
        <f t="shared" si="36"/>
        <v>5079556</v>
      </c>
      <c r="F201" s="53"/>
      <c r="G201" s="53">
        <v>61301862</v>
      </c>
      <c r="H201" s="53"/>
      <c r="I201" s="53">
        <v>66381418</v>
      </c>
      <c r="J201" s="53"/>
      <c r="K201" s="53">
        <f t="shared" si="37"/>
        <v>1947372</v>
      </c>
      <c r="L201" s="53"/>
      <c r="M201" s="53">
        <v>10361322</v>
      </c>
      <c r="N201" s="53"/>
      <c r="O201" s="53">
        <v>12308694</v>
      </c>
      <c r="P201" s="53"/>
      <c r="Q201" s="53">
        <v>49612915</v>
      </c>
      <c r="R201" s="53"/>
      <c r="S201" s="53">
        <v>0</v>
      </c>
      <c r="T201" s="53"/>
      <c r="U201" s="53">
        <v>4459809</v>
      </c>
      <c r="V201" s="53"/>
      <c r="W201" s="53">
        <f t="shared" si="38"/>
        <v>54072724</v>
      </c>
      <c r="X201" s="51"/>
      <c r="Y201" s="51"/>
      <c r="Z201" s="35" t="s">
        <v>231</v>
      </c>
      <c r="AA201" s="53"/>
      <c r="AB201" s="35" t="s">
        <v>27</v>
      </c>
      <c r="AC201" s="51"/>
      <c r="AD201" s="53">
        <v>5451848</v>
      </c>
      <c r="AE201" s="53"/>
      <c r="AF201" s="53">
        <f>6064221-1917390</f>
        <v>4146831</v>
      </c>
      <c r="AG201" s="53"/>
      <c r="AH201" s="53">
        <v>1917390</v>
      </c>
      <c r="AI201" s="53"/>
      <c r="AJ201" s="45">
        <f t="shared" si="39"/>
        <v>-612373</v>
      </c>
      <c r="AK201" s="45"/>
      <c r="AL201" s="53">
        <f>-7698-400779</f>
        <v>-408477</v>
      </c>
      <c r="AM201" s="45"/>
      <c r="AN201" s="53">
        <v>89247</v>
      </c>
      <c r="AO201" s="53"/>
      <c r="AP201" s="53">
        <v>0</v>
      </c>
      <c r="AQ201" s="53"/>
      <c r="AR201" s="53">
        <v>1056061</v>
      </c>
      <c r="AS201" s="53"/>
      <c r="AT201" s="45">
        <f t="shared" si="40"/>
        <v>124458</v>
      </c>
      <c r="AU201" s="45"/>
      <c r="AV201" s="53">
        <v>0</v>
      </c>
      <c r="AW201" s="53"/>
      <c r="AX201" s="53">
        <v>0</v>
      </c>
      <c r="AY201" s="53"/>
      <c r="AZ201" s="53">
        <f t="shared" si="41"/>
        <v>3132184</v>
      </c>
      <c r="BA201" s="51"/>
      <c r="BB201" s="35" t="s">
        <v>231</v>
      </c>
      <c r="BC201" s="35"/>
      <c r="BD201" s="35" t="s">
        <v>27</v>
      </c>
      <c r="BE201" s="53"/>
      <c r="BF201" s="53">
        <v>0</v>
      </c>
      <c r="BG201" s="53"/>
      <c r="BH201" s="53">
        <v>0</v>
      </c>
      <c r="BI201" s="53"/>
      <c r="BJ201" s="53">
        <f>10171586+1517361</f>
        <v>11688947</v>
      </c>
      <c r="BK201" s="53"/>
      <c r="BL201" s="53">
        <f>189736+121814</f>
        <v>311550</v>
      </c>
      <c r="BM201" s="53"/>
      <c r="BN201" s="53">
        <f t="shared" si="24"/>
        <v>12000497</v>
      </c>
      <c r="BO201" s="91"/>
      <c r="BS201" s="90"/>
      <c r="BT201" s="90"/>
      <c r="BU201" s="95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</row>
    <row r="202" spans="1:227" s="126" customFormat="1" ht="12.75" hidden="1" customHeight="1">
      <c r="A202" s="35" t="s">
        <v>232</v>
      </c>
      <c r="B202" s="51"/>
      <c r="C202" s="35" t="s">
        <v>27</v>
      </c>
      <c r="D202" s="44"/>
      <c r="E202" s="53">
        <f t="shared" si="36"/>
        <v>0</v>
      </c>
      <c r="F202" s="53"/>
      <c r="G202" s="53">
        <v>0</v>
      </c>
      <c r="H202" s="53"/>
      <c r="I202" s="53">
        <v>0</v>
      </c>
      <c r="J202" s="53"/>
      <c r="K202" s="53">
        <f t="shared" si="37"/>
        <v>0</v>
      </c>
      <c r="L202" s="53"/>
      <c r="M202" s="53">
        <v>0</v>
      </c>
      <c r="N202" s="53"/>
      <c r="O202" s="53">
        <v>0</v>
      </c>
      <c r="P202" s="53"/>
      <c r="Q202" s="53">
        <v>0</v>
      </c>
      <c r="R202" s="53"/>
      <c r="S202" s="53">
        <v>0</v>
      </c>
      <c r="T202" s="53"/>
      <c r="U202" s="53">
        <v>0</v>
      </c>
      <c r="V202" s="53"/>
      <c r="W202" s="53">
        <f t="shared" si="38"/>
        <v>0</v>
      </c>
      <c r="X202" s="51"/>
      <c r="Y202" s="51"/>
      <c r="Z202" s="35" t="s">
        <v>232</v>
      </c>
      <c r="AA202" s="53"/>
      <c r="AB202" s="35" t="s">
        <v>27</v>
      </c>
      <c r="AC202" s="51"/>
      <c r="AD202" s="53">
        <v>0</v>
      </c>
      <c r="AE202" s="53"/>
      <c r="AF202" s="53">
        <v>0</v>
      </c>
      <c r="AG202" s="53"/>
      <c r="AH202" s="53">
        <v>0</v>
      </c>
      <c r="AI202" s="53"/>
      <c r="AJ202" s="45">
        <f t="shared" si="39"/>
        <v>0</v>
      </c>
      <c r="AK202" s="45"/>
      <c r="AL202" s="53">
        <v>0</v>
      </c>
      <c r="AM202" s="45"/>
      <c r="AN202" s="53">
        <v>0</v>
      </c>
      <c r="AO202" s="53"/>
      <c r="AP202" s="53">
        <v>0</v>
      </c>
      <c r="AQ202" s="53"/>
      <c r="AR202" s="53">
        <v>0</v>
      </c>
      <c r="AS202" s="53"/>
      <c r="AT202" s="45">
        <f t="shared" si="40"/>
        <v>0</v>
      </c>
      <c r="AU202" s="45"/>
      <c r="AV202" s="53">
        <v>0</v>
      </c>
      <c r="AW202" s="53"/>
      <c r="AX202" s="53">
        <v>0</v>
      </c>
      <c r="AY202" s="53"/>
      <c r="AZ202" s="53">
        <f t="shared" si="41"/>
        <v>0</v>
      </c>
      <c r="BA202" s="51"/>
      <c r="BB202" s="35" t="s">
        <v>232</v>
      </c>
      <c r="BC202" s="35"/>
      <c r="BD202" s="35" t="s">
        <v>27</v>
      </c>
      <c r="BE202" s="53"/>
      <c r="BF202" s="53">
        <v>0</v>
      </c>
      <c r="BG202" s="53"/>
      <c r="BH202" s="53">
        <v>0</v>
      </c>
      <c r="BI202" s="53"/>
      <c r="BJ202" s="53">
        <v>0</v>
      </c>
      <c r="BK202" s="53"/>
      <c r="BL202" s="53">
        <v>0</v>
      </c>
      <c r="BM202" s="53"/>
      <c r="BN202" s="53">
        <f t="shared" si="24"/>
        <v>0</v>
      </c>
      <c r="BO202" s="139"/>
      <c r="BP202" s="142"/>
      <c r="BQ202" s="142"/>
      <c r="BR202" s="142"/>
      <c r="BS202" s="140"/>
      <c r="BT202" s="140"/>
      <c r="BU202" s="141"/>
      <c r="BV202" s="140"/>
      <c r="BW202" s="140"/>
      <c r="BX202" s="140"/>
      <c r="BY202" s="140"/>
      <c r="BZ202" s="140"/>
      <c r="CA202" s="140"/>
      <c r="CB202" s="140"/>
      <c r="CC202" s="140"/>
      <c r="CD202" s="140"/>
      <c r="CE202" s="140"/>
      <c r="CF202" s="140"/>
      <c r="CG202" s="140"/>
      <c r="CH202" s="140"/>
      <c r="CI202" s="140"/>
      <c r="CJ202" s="140"/>
      <c r="CK202" s="140"/>
      <c r="CL202" s="140"/>
      <c r="CM202" s="140"/>
      <c r="CN202" s="140"/>
      <c r="CO202" s="140"/>
      <c r="CP202" s="140"/>
      <c r="CQ202" s="140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2"/>
      <c r="DE202" s="142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42"/>
      <c r="DU202" s="142"/>
      <c r="DV202" s="142"/>
      <c r="DW202" s="142"/>
      <c r="DX202" s="142"/>
      <c r="DY202" s="142"/>
      <c r="DZ202" s="142"/>
      <c r="EA202" s="142"/>
      <c r="EB202" s="142"/>
      <c r="EC202" s="142"/>
      <c r="ED202" s="142"/>
      <c r="EE202" s="142"/>
      <c r="EF202" s="142"/>
      <c r="EG202" s="142"/>
      <c r="EH202" s="142"/>
      <c r="EI202" s="142"/>
      <c r="EJ202" s="142"/>
      <c r="EK202" s="142"/>
      <c r="EL202" s="142"/>
      <c r="EM202" s="142"/>
      <c r="EN202" s="142"/>
      <c r="EO202" s="142"/>
      <c r="EP202" s="142"/>
      <c r="EQ202" s="142"/>
      <c r="ER202" s="142"/>
      <c r="ES202" s="142"/>
      <c r="ET202" s="142"/>
      <c r="EU202" s="142"/>
      <c r="EV202" s="142"/>
      <c r="EW202" s="142"/>
      <c r="EX202" s="142"/>
      <c r="EY202" s="142"/>
      <c r="EZ202" s="142"/>
      <c r="FA202" s="142"/>
      <c r="FB202" s="142"/>
      <c r="FC202" s="142"/>
      <c r="FD202" s="142"/>
      <c r="FE202" s="142"/>
      <c r="FF202" s="142"/>
      <c r="FG202" s="142"/>
      <c r="FH202" s="142"/>
      <c r="FI202" s="142"/>
      <c r="FJ202" s="142"/>
      <c r="FK202" s="142"/>
      <c r="FL202" s="142"/>
      <c r="FM202" s="142"/>
      <c r="FN202" s="142"/>
      <c r="FO202" s="142"/>
      <c r="FP202" s="142"/>
      <c r="FQ202" s="142"/>
      <c r="FR202" s="142"/>
      <c r="FS202" s="142"/>
      <c r="FT202" s="142"/>
      <c r="FU202" s="142"/>
      <c r="FV202" s="142"/>
      <c r="FW202" s="142"/>
      <c r="FX202" s="142"/>
      <c r="FY202" s="142"/>
      <c r="FZ202" s="142"/>
      <c r="GA202" s="142"/>
      <c r="GB202" s="142"/>
      <c r="GC202" s="142"/>
      <c r="GD202" s="142"/>
      <c r="GE202" s="142"/>
      <c r="GF202" s="142"/>
      <c r="GG202" s="142"/>
      <c r="GH202" s="142"/>
      <c r="GI202" s="142"/>
      <c r="GJ202" s="142"/>
      <c r="GK202" s="142"/>
      <c r="GL202" s="142"/>
      <c r="GM202" s="142"/>
      <c r="GN202" s="142"/>
      <c r="GO202" s="142"/>
      <c r="GP202" s="142"/>
      <c r="GQ202" s="142"/>
      <c r="GR202" s="142"/>
      <c r="GS202" s="142"/>
      <c r="GT202" s="142"/>
      <c r="GU202" s="142"/>
      <c r="GV202" s="142"/>
      <c r="GW202" s="142"/>
      <c r="GX202" s="142"/>
      <c r="GY202" s="142"/>
      <c r="GZ202" s="142"/>
      <c r="HA202" s="142"/>
      <c r="HB202" s="142"/>
      <c r="HC202" s="142"/>
      <c r="HD202" s="142"/>
      <c r="HE202" s="142"/>
      <c r="HF202" s="142"/>
      <c r="HG202" s="142"/>
      <c r="HH202" s="142"/>
      <c r="HI202" s="142"/>
      <c r="HJ202" s="142"/>
      <c r="HK202" s="142"/>
      <c r="HL202" s="142"/>
      <c r="HM202" s="142"/>
      <c r="HN202" s="142"/>
      <c r="HO202" s="142"/>
      <c r="HP202" s="142"/>
      <c r="HQ202" s="142"/>
      <c r="HR202" s="142"/>
      <c r="HS202" s="142"/>
    </row>
    <row r="203" spans="1:227" s="35" customFormat="1" ht="12.75" customHeight="1">
      <c r="A203" s="35" t="s">
        <v>233</v>
      </c>
      <c r="B203" s="51"/>
      <c r="C203" s="35" t="s">
        <v>111</v>
      </c>
      <c r="D203" s="44"/>
      <c r="E203" s="53">
        <f t="shared" si="36"/>
        <v>3478740</v>
      </c>
      <c r="F203" s="53"/>
      <c r="G203" s="53">
        <v>29502304</v>
      </c>
      <c r="H203" s="53"/>
      <c r="I203" s="53">
        <v>32981044</v>
      </c>
      <c r="J203" s="53"/>
      <c r="K203" s="53">
        <f t="shared" si="37"/>
        <v>1190780</v>
      </c>
      <c r="L203" s="53"/>
      <c r="M203" s="53">
        <v>11295355</v>
      </c>
      <c r="N203" s="53"/>
      <c r="O203" s="53">
        <v>12486135</v>
      </c>
      <c r="P203" s="53"/>
      <c r="Q203" s="53">
        <v>17515698</v>
      </c>
      <c r="R203" s="53"/>
      <c r="S203" s="53">
        <v>0</v>
      </c>
      <c r="T203" s="53"/>
      <c r="U203" s="53">
        <v>2655681</v>
      </c>
      <c r="V203" s="53"/>
      <c r="W203" s="53">
        <f t="shared" si="38"/>
        <v>20171379</v>
      </c>
      <c r="X203" s="51"/>
      <c r="Y203" s="51"/>
      <c r="Z203" s="35" t="s">
        <v>233</v>
      </c>
      <c r="AA203" s="53"/>
      <c r="AB203" s="35" t="s">
        <v>111</v>
      </c>
      <c r="AC203" s="51"/>
      <c r="AD203" s="53">
        <v>2879239</v>
      </c>
      <c r="AE203" s="53"/>
      <c r="AF203" s="53">
        <f>3027453-637112</f>
        <v>2390341</v>
      </c>
      <c r="AG203" s="53"/>
      <c r="AH203" s="53">
        <v>637112</v>
      </c>
      <c r="AI203" s="53"/>
      <c r="AJ203" s="45">
        <f t="shared" si="39"/>
        <v>-148214</v>
      </c>
      <c r="AK203" s="45"/>
      <c r="AL203" s="53">
        <v>-530139</v>
      </c>
      <c r="AM203" s="45"/>
      <c r="AN203" s="53">
        <v>110000</v>
      </c>
      <c r="AO203" s="53"/>
      <c r="AP203" s="53">
        <v>466285</v>
      </c>
      <c r="AQ203" s="53"/>
      <c r="AR203" s="53">
        <v>82140</v>
      </c>
      <c r="AS203" s="53"/>
      <c r="AT203" s="45">
        <f t="shared" si="40"/>
        <v>-952498</v>
      </c>
      <c r="AU203" s="45"/>
      <c r="AV203" s="53">
        <v>0</v>
      </c>
      <c r="AW203" s="53"/>
      <c r="AX203" s="53">
        <v>0</v>
      </c>
      <c r="AY203" s="53"/>
      <c r="AZ203" s="53">
        <f t="shared" si="41"/>
        <v>2287960</v>
      </c>
      <c r="BA203" s="51"/>
      <c r="BB203" s="35" t="s">
        <v>233</v>
      </c>
      <c r="BD203" s="35" t="s">
        <v>111</v>
      </c>
      <c r="BE203" s="53"/>
      <c r="BF203" s="53">
        <f>9236196+548939</f>
        <v>9785135</v>
      </c>
      <c r="BG203" s="53"/>
      <c r="BH203" s="53">
        <f>2021939+218993</f>
        <v>2240932</v>
      </c>
      <c r="BI203" s="53"/>
      <c r="BJ203" s="53">
        <v>0</v>
      </c>
      <c r="BK203" s="53"/>
      <c r="BL203" s="53">
        <f>37220+4379</f>
        <v>41599</v>
      </c>
      <c r="BM203" s="53"/>
      <c r="BN203" s="53">
        <f t="shared" si="24"/>
        <v>12067666</v>
      </c>
      <c r="BO203" s="54"/>
      <c r="BS203" s="55"/>
      <c r="BT203" s="55"/>
      <c r="BU203" s="84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</row>
    <row r="204" spans="1:227" s="126" customFormat="1" ht="12.75" hidden="1" customHeight="1">
      <c r="A204" s="35" t="s">
        <v>234</v>
      </c>
      <c r="B204" s="51"/>
      <c r="C204" s="35" t="s">
        <v>45</v>
      </c>
      <c r="D204" s="44"/>
      <c r="E204" s="53">
        <f t="shared" si="36"/>
        <v>0</v>
      </c>
      <c r="F204" s="53"/>
      <c r="G204" s="53">
        <v>0</v>
      </c>
      <c r="H204" s="53"/>
      <c r="I204" s="53">
        <v>0</v>
      </c>
      <c r="J204" s="53"/>
      <c r="K204" s="53">
        <f t="shared" si="37"/>
        <v>0</v>
      </c>
      <c r="L204" s="53"/>
      <c r="M204" s="53">
        <v>0</v>
      </c>
      <c r="N204" s="53"/>
      <c r="O204" s="53">
        <v>0</v>
      </c>
      <c r="P204" s="53"/>
      <c r="Q204" s="53">
        <v>0</v>
      </c>
      <c r="R204" s="53"/>
      <c r="S204" s="53">
        <v>0</v>
      </c>
      <c r="T204" s="53"/>
      <c r="U204" s="53">
        <v>0</v>
      </c>
      <c r="V204" s="53"/>
      <c r="W204" s="53">
        <f t="shared" si="38"/>
        <v>0</v>
      </c>
      <c r="X204" s="51"/>
      <c r="Y204" s="51"/>
      <c r="Z204" s="35" t="s">
        <v>234</v>
      </c>
      <c r="AA204" s="53"/>
      <c r="AB204" s="35" t="s">
        <v>45</v>
      </c>
      <c r="AC204" s="51"/>
      <c r="AD204" s="53">
        <v>0</v>
      </c>
      <c r="AE204" s="53"/>
      <c r="AF204" s="53">
        <v>0</v>
      </c>
      <c r="AG204" s="53"/>
      <c r="AH204" s="53">
        <v>0</v>
      </c>
      <c r="AI204" s="53"/>
      <c r="AJ204" s="45">
        <f t="shared" si="39"/>
        <v>0</v>
      </c>
      <c r="AK204" s="45"/>
      <c r="AL204" s="53">
        <v>0</v>
      </c>
      <c r="AM204" s="45"/>
      <c r="AN204" s="53">
        <v>0</v>
      </c>
      <c r="AO204" s="53"/>
      <c r="AP204" s="53">
        <v>0</v>
      </c>
      <c r="AQ204" s="53"/>
      <c r="AR204" s="53">
        <v>0</v>
      </c>
      <c r="AS204" s="53"/>
      <c r="AT204" s="45">
        <f t="shared" si="40"/>
        <v>0</v>
      </c>
      <c r="AU204" s="45"/>
      <c r="AV204" s="53">
        <v>0</v>
      </c>
      <c r="AW204" s="53"/>
      <c r="AX204" s="53">
        <v>0</v>
      </c>
      <c r="AY204" s="53"/>
      <c r="AZ204" s="53">
        <f t="shared" si="41"/>
        <v>0</v>
      </c>
      <c r="BA204" s="51"/>
      <c r="BB204" s="35" t="s">
        <v>234</v>
      </c>
      <c r="BC204" s="35"/>
      <c r="BD204" s="35" t="s">
        <v>45</v>
      </c>
      <c r="BE204" s="53"/>
      <c r="BF204" s="53">
        <v>0</v>
      </c>
      <c r="BG204" s="53"/>
      <c r="BH204" s="53">
        <v>0</v>
      </c>
      <c r="BI204" s="53"/>
      <c r="BJ204" s="53">
        <v>0</v>
      </c>
      <c r="BK204" s="53"/>
      <c r="BL204" s="53">
        <v>0</v>
      </c>
      <c r="BM204" s="53"/>
      <c r="BN204" s="53">
        <f t="shared" si="24"/>
        <v>0</v>
      </c>
      <c r="BO204" s="139"/>
      <c r="BS204" s="140"/>
      <c r="BT204" s="140"/>
      <c r="BU204" s="141"/>
      <c r="BV204" s="140"/>
      <c r="BW204" s="140"/>
      <c r="BX204" s="140"/>
      <c r="BY204" s="140"/>
      <c r="BZ204" s="140"/>
      <c r="CA204" s="140"/>
      <c r="CB204" s="140"/>
      <c r="CC204" s="140"/>
      <c r="CD204" s="140"/>
      <c r="CE204" s="140"/>
      <c r="CF204" s="140"/>
      <c r="CG204" s="140"/>
      <c r="CH204" s="140"/>
      <c r="CI204" s="140"/>
      <c r="CJ204" s="140"/>
      <c r="CK204" s="140"/>
      <c r="CL204" s="140"/>
      <c r="CM204" s="140"/>
      <c r="CN204" s="140"/>
      <c r="CO204" s="140"/>
      <c r="CP204" s="140"/>
      <c r="CQ204" s="140"/>
    </row>
    <row r="205" spans="1:227" s="35" customFormat="1" ht="12.75" customHeight="1">
      <c r="A205" s="35" t="s">
        <v>235</v>
      </c>
      <c r="B205" s="51"/>
      <c r="C205" s="35" t="s">
        <v>183</v>
      </c>
      <c r="D205" s="44"/>
      <c r="E205" s="53">
        <f t="shared" si="36"/>
        <v>17404032</v>
      </c>
      <c r="F205" s="53"/>
      <c r="G205" s="53">
        <v>13977027</v>
      </c>
      <c r="H205" s="53"/>
      <c r="I205" s="53">
        <v>31381059</v>
      </c>
      <c r="J205" s="53"/>
      <c r="K205" s="53">
        <f t="shared" si="37"/>
        <v>1765495</v>
      </c>
      <c r="L205" s="53"/>
      <c r="M205" s="53">
        <v>9231799</v>
      </c>
      <c r="N205" s="53"/>
      <c r="O205" s="53">
        <v>10997294</v>
      </c>
      <c r="P205" s="53"/>
      <c r="Q205" s="53">
        <v>9096615</v>
      </c>
      <c r="R205" s="53"/>
      <c r="S205" s="53">
        <v>0</v>
      </c>
      <c r="T205" s="53"/>
      <c r="U205" s="53">
        <v>11287150</v>
      </c>
      <c r="V205" s="53"/>
      <c r="W205" s="53">
        <f t="shared" si="38"/>
        <v>20383765</v>
      </c>
      <c r="X205" s="51"/>
      <c r="Y205" s="51"/>
      <c r="Z205" s="35" t="s">
        <v>235</v>
      </c>
      <c r="AA205" s="53"/>
      <c r="AB205" s="35" t="s">
        <v>183</v>
      </c>
      <c r="AC205" s="51"/>
      <c r="AD205" s="53">
        <v>7031576</v>
      </c>
      <c r="AE205" s="53"/>
      <c r="AF205" s="53">
        <f>7472570-1032322</f>
        <v>6440248</v>
      </c>
      <c r="AG205" s="53"/>
      <c r="AH205" s="53">
        <v>1032322</v>
      </c>
      <c r="AI205" s="53"/>
      <c r="AJ205" s="45">
        <f t="shared" si="39"/>
        <v>-440994</v>
      </c>
      <c r="AK205" s="45"/>
      <c r="AL205" s="53">
        <v>762024</v>
      </c>
      <c r="AM205" s="45"/>
      <c r="AN205" s="53">
        <v>0</v>
      </c>
      <c r="AO205" s="53"/>
      <c r="AP205" s="53">
        <v>18718</v>
      </c>
      <c r="AQ205" s="53"/>
      <c r="AR205" s="53">
        <v>0</v>
      </c>
      <c r="AS205" s="53"/>
      <c r="AT205" s="45">
        <f t="shared" si="40"/>
        <v>302312</v>
      </c>
      <c r="AU205" s="45"/>
      <c r="AV205" s="53">
        <v>0</v>
      </c>
      <c r="AW205" s="53"/>
      <c r="AX205" s="53">
        <v>0</v>
      </c>
      <c r="AY205" s="53"/>
      <c r="AZ205" s="53">
        <f t="shared" si="41"/>
        <v>15638537</v>
      </c>
      <c r="BA205" s="51"/>
      <c r="BB205" s="35" t="s">
        <v>235</v>
      </c>
      <c r="BD205" s="35" t="s">
        <v>183</v>
      </c>
      <c r="BE205" s="53"/>
      <c r="BF205" s="53">
        <f>8775722+837568</f>
        <v>9613290</v>
      </c>
      <c r="BG205" s="53"/>
      <c r="BH205" s="53">
        <v>0</v>
      </c>
      <c r="BI205" s="53"/>
      <c r="BJ205" s="53">
        <v>0</v>
      </c>
      <c r="BK205" s="53"/>
      <c r="BL205" s="53">
        <f>456077+45000</f>
        <v>501077</v>
      </c>
      <c r="BM205" s="53"/>
      <c r="BN205" s="53">
        <f t="shared" si="24"/>
        <v>10114367</v>
      </c>
      <c r="BO205" s="54"/>
      <c r="BS205" s="55"/>
      <c r="BT205" s="55"/>
      <c r="BU205" s="84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</row>
    <row r="206" spans="1:227" s="126" customFormat="1" ht="12.75" hidden="1" customHeight="1">
      <c r="A206" s="35" t="s">
        <v>236</v>
      </c>
      <c r="B206" s="51"/>
      <c r="C206" s="35" t="s">
        <v>45</v>
      </c>
      <c r="D206" s="44"/>
      <c r="E206" s="53">
        <f t="shared" si="36"/>
        <v>0</v>
      </c>
      <c r="F206" s="53"/>
      <c r="G206" s="53">
        <v>0</v>
      </c>
      <c r="H206" s="53"/>
      <c r="I206" s="53">
        <v>0</v>
      </c>
      <c r="J206" s="53"/>
      <c r="K206" s="53">
        <f t="shared" si="37"/>
        <v>0</v>
      </c>
      <c r="L206" s="53"/>
      <c r="M206" s="53">
        <v>0</v>
      </c>
      <c r="N206" s="53"/>
      <c r="O206" s="53">
        <v>0</v>
      </c>
      <c r="P206" s="53"/>
      <c r="Q206" s="53">
        <v>0</v>
      </c>
      <c r="R206" s="53"/>
      <c r="S206" s="53">
        <v>0</v>
      </c>
      <c r="T206" s="53"/>
      <c r="U206" s="53">
        <v>0</v>
      </c>
      <c r="V206" s="53"/>
      <c r="W206" s="53">
        <f t="shared" si="38"/>
        <v>0</v>
      </c>
      <c r="X206" s="51"/>
      <c r="Y206" s="51"/>
      <c r="Z206" s="35" t="s">
        <v>236</v>
      </c>
      <c r="AA206" s="53"/>
      <c r="AB206" s="35" t="s">
        <v>45</v>
      </c>
      <c r="AC206" s="51"/>
      <c r="AD206" s="53">
        <v>0</v>
      </c>
      <c r="AE206" s="53"/>
      <c r="AF206" s="53">
        <v>0</v>
      </c>
      <c r="AG206" s="53"/>
      <c r="AH206" s="53">
        <v>0</v>
      </c>
      <c r="AI206" s="53"/>
      <c r="AJ206" s="45">
        <f t="shared" si="39"/>
        <v>0</v>
      </c>
      <c r="AK206" s="45"/>
      <c r="AL206" s="53">
        <v>0</v>
      </c>
      <c r="AM206" s="45"/>
      <c r="AN206" s="53">
        <v>0</v>
      </c>
      <c r="AO206" s="53"/>
      <c r="AP206" s="53">
        <v>0</v>
      </c>
      <c r="AQ206" s="53"/>
      <c r="AR206" s="53">
        <v>0</v>
      </c>
      <c r="AS206" s="53"/>
      <c r="AT206" s="45">
        <f t="shared" si="40"/>
        <v>0</v>
      </c>
      <c r="AU206" s="45"/>
      <c r="AV206" s="53">
        <v>0</v>
      </c>
      <c r="AW206" s="53"/>
      <c r="AX206" s="53">
        <v>0</v>
      </c>
      <c r="AY206" s="53"/>
      <c r="AZ206" s="53">
        <f t="shared" si="41"/>
        <v>0</v>
      </c>
      <c r="BA206" s="51"/>
      <c r="BB206" s="35" t="s">
        <v>236</v>
      </c>
      <c r="BC206" s="35"/>
      <c r="BD206" s="35" t="s">
        <v>45</v>
      </c>
      <c r="BE206" s="53"/>
      <c r="BF206" s="53">
        <v>0</v>
      </c>
      <c r="BG206" s="53"/>
      <c r="BH206" s="53">
        <v>0</v>
      </c>
      <c r="BI206" s="53"/>
      <c r="BJ206" s="53">
        <v>0</v>
      </c>
      <c r="BK206" s="53"/>
      <c r="BL206" s="53">
        <v>0</v>
      </c>
      <c r="BM206" s="53"/>
      <c r="BN206" s="53">
        <f t="shared" si="24"/>
        <v>0</v>
      </c>
      <c r="BO206" s="139"/>
      <c r="BS206" s="140"/>
      <c r="BT206" s="140"/>
      <c r="BU206" s="141"/>
      <c r="BV206" s="140"/>
      <c r="BW206" s="140"/>
      <c r="BX206" s="140"/>
      <c r="BY206" s="140"/>
      <c r="BZ206" s="140"/>
      <c r="CA206" s="140"/>
      <c r="CB206" s="140"/>
      <c r="CC206" s="140"/>
      <c r="CD206" s="140"/>
      <c r="CE206" s="140"/>
      <c r="CF206" s="140"/>
      <c r="CG206" s="140"/>
      <c r="CH206" s="140"/>
      <c r="CI206" s="140"/>
      <c r="CJ206" s="140"/>
      <c r="CK206" s="140"/>
      <c r="CL206" s="140"/>
      <c r="CM206" s="140"/>
      <c r="CN206" s="140"/>
      <c r="CO206" s="140"/>
      <c r="CP206" s="140"/>
      <c r="CQ206" s="140"/>
    </row>
    <row r="207" spans="1:227" s="35" customFormat="1" ht="12.75" customHeight="1">
      <c r="A207" s="35" t="s">
        <v>237</v>
      </c>
      <c r="B207" s="51"/>
      <c r="C207" s="35" t="s">
        <v>33</v>
      </c>
      <c r="D207" s="44"/>
      <c r="E207" s="53">
        <f t="shared" si="36"/>
        <v>228217</v>
      </c>
      <c r="F207" s="53"/>
      <c r="G207" s="53">
        <v>2146668</v>
      </c>
      <c r="H207" s="53"/>
      <c r="I207" s="53">
        <v>2374885</v>
      </c>
      <c r="J207" s="53"/>
      <c r="K207" s="53">
        <f t="shared" si="37"/>
        <v>390843</v>
      </c>
      <c r="L207" s="53"/>
      <c r="M207" s="53">
        <v>298578</v>
      </c>
      <c r="N207" s="53"/>
      <c r="O207" s="53">
        <v>689421</v>
      </c>
      <c r="P207" s="53"/>
      <c r="Q207" s="53">
        <v>1784168</v>
      </c>
      <c r="R207" s="53"/>
      <c r="S207" s="53">
        <v>0</v>
      </c>
      <c r="T207" s="53"/>
      <c r="U207" s="53">
        <v>-98704</v>
      </c>
      <c r="V207" s="53"/>
      <c r="W207" s="53">
        <f t="shared" si="38"/>
        <v>1685464</v>
      </c>
      <c r="X207" s="51"/>
      <c r="Y207" s="51"/>
      <c r="Z207" s="35" t="s">
        <v>237</v>
      </c>
      <c r="AA207" s="53"/>
      <c r="AB207" s="35" t="s">
        <v>33</v>
      </c>
      <c r="AC207" s="51"/>
      <c r="AD207" s="53">
        <v>891098</v>
      </c>
      <c r="AE207" s="53"/>
      <c r="AF207" s="53">
        <f>1160111-268298</f>
        <v>891813</v>
      </c>
      <c r="AG207" s="53"/>
      <c r="AH207" s="53">
        <v>268298</v>
      </c>
      <c r="AI207" s="53"/>
      <c r="AJ207" s="45">
        <f t="shared" si="39"/>
        <v>-269013</v>
      </c>
      <c r="AK207" s="45"/>
      <c r="AL207" s="53">
        <v>-11752</v>
      </c>
      <c r="AM207" s="45"/>
      <c r="AN207" s="53">
        <v>0</v>
      </c>
      <c r="AO207" s="53"/>
      <c r="AP207" s="53">
        <v>0</v>
      </c>
      <c r="AQ207" s="53"/>
      <c r="AR207" s="53">
        <v>0</v>
      </c>
      <c r="AS207" s="53"/>
      <c r="AT207" s="45">
        <f t="shared" si="40"/>
        <v>-280765</v>
      </c>
      <c r="AU207" s="45"/>
      <c r="AV207" s="53">
        <v>0</v>
      </c>
      <c r="AW207" s="53"/>
      <c r="AX207" s="53">
        <v>0</v>
      </c>
      <c r="AY207" s="53"/>
      <c r="AZ207" s="53">
        <f t="shared" si="41"/>
        <v>-162626</v>
      </c>
      <c r="BA207" s="51"/>
      <c r="BB207" s="35" t="s">
        <v>237</v>
      </c>
      <c r="BD207" s="35" t="s">
        <v>33</v>
      </c>
      <c r="BE207" s="53"/>
      <c r="BF207" s="53">
        <f>252473+5000</f>
        <v>257473</v>
      </c>
      <c r="BG207" s="53"/>
      <c r="BH207" s="53">
        <v>0</v>
      </c>
      <c r="BI207" s="53"/>
      <c r="BJ207" s="53">
        <f>42742+2331</f>
        <v>45073</v>
      </c>
      <c r="BK207" s="53"/>
      <c r="BL207" s="53">
        <f>3363+2514</f>
        <v>5877</v>
      </c>
      <c r="BM207" s="53"/>
      <c r="BN207" s="53">
        <f t="shared" si="24"/>
        <v>308423</v>
      </c>
      <c r="BO207" s="54"/>
      <c r="BS207" s="55"/>
      <c r="BT207" s="55"/>
      <c r="BU207" s="84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</row>
    <row r="208" spans="1:227" s="35" customFormat="1" ht="12.75" customHeight="1">
      <c r="A208" s="35" t="s">
        <v>238</v>
      </c>
      <c r="B208" s="51"/>
      <c r="C208" s="35" t="s">
        <v>239</v>
      </c>
      <c r="D208" s="44"/>
      <c r="E208" s="53">
        <f t="shared" si="36"/>
        <v>1322408</v>
      </c>
      <c r="F208" s="53"/>
      <c r="G208" s="53">
        <f>232462+4712557</f>
        <v>4945019</v>
      </c>
      <c r="H208" s="53"/>
      <c r="I208" s="53">
        <v>6267427</v>
      </c>
      <c r="J208" s="53"/>
      <c r="K208" s="53">
        <f t="shared" si="37"/>
        <v>39473</v>
      </c>
      <c r="L208" s="53"/>
      <c r="M208" s="53">
        <v>84527</v>
      </c>
      <c r="N208" s="53"/>
      <c r="O208" s="53">
        <v>124000</v>
      </c>
      <c r="P208" s="53"/>
      <c r="Q208" s="53">
        <v>4945019</v>
      </c>
      <c r="R208" s="53"/>
      <c r="S208" s="53">
        <v>0</v>
      </c>
      <c r="T208" s="53"/>
      <c r="U208" s="53">
        <v>1198408</v>
      </c>
      <c r="V208" s="53"/>
      <c r="W208" s="53">
        <f t="shared" si="38"/>
        <v>6143427</v>
      </c>
      <c r="X208" s="51"/>
      <c r="Y208" s="51"/>
      <c r="Z208" s="35" t="s">
        <v>238</v>
      </c>
      <c r="AA208" s="53"/>
      <c r="AB208" s="35" t="s">
        <v>239</v>
      </c>
      <c r="AC208" s="51"/>
      <c r="AD208" s="53">
        <v>1153678</v>
      </c>
      <c r="AE208" s="53"/>
      <c r="AF208" s="53">
        <f>1193695-245242</f>
        <v>948453</v>
      </c>
      <c r="AG208" s="53"/>
      <c r="AH208" s="53">
        <v>245242</v>
      </c>
      <c r="AI208" s="53"/>
      <c r="AJ208" s="45">
        <f t="shared" si="39"/>
        <v>-40017</v>
      </c>
      <c r="AK208" s="45"/>
      <c r="AL208" s="53">
        <v>3842</v>
      </c>
      <c r="AM208" s="45"/>
      <c r="AN208" s="53">
        <v>0</v>
      </c>
      <c r="AO208" s="53"/>
      <c r="AP208" s="53">
        <v>0</v>
      </c>
      <c r="AQ208" s="53"/>
      <c r="AR208" s="53">
        <v>0</v>
      </c>
      <c r="AS208" s="53"/>
      <c r="AT208" s="45">
        <f t="shared" si="40"/>
        <v>-36175</v>
      </c>
      <c r="AU208" s="45"/>
      <c r="AV208" s="53">
        <v>0</v>
      </c>
      <c r="AW208" s="53"/>
      <c r="AX208" s="53">
        <v>0</v>
      </c>
      <c r="AY208" s="53"/>
      <c r="AZ208" s="53">
        <f t="shared" si="41"/>
        <v>1282935</v>
      </c>
      <c r="BA208" s="51"/>
      <c r="BB208" s="35" t="s">
        <v>238</v>
      </c>
      <c r="BD208" s="35" t="s">
        <v>239</v>
      </c>
      <c r="BE208" s="53"/>
      <c r="BF208" s="53">
        <v>0</v>
      </c>
      <c r="BG208" s="53"/>
      <c r="BH208" s="53">
        <v>0</v>
      </c>
      <c r="BI208" s="53"/>
      <c r="BJ208" s="53">
        <v>0</v>
      </c>
      <c r="BK208" s="53"/>
      <c r="BL208" s="53">
        <f>84527+17667</f>
        <v>102194</v>
      </c>
      <c r="BM208" s="53"/>
      <c r="BN208" s="53">
        <f t="shared" si="24"/>
        <v>102194</v>
      </c>
      <c r="BO208" s="54"/>
      <c r="BS208" s="55"/>
      <c r="BT208" s="55"/>
      <c r="BU208" s="84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</row>
    <row r="209" spans="1:95" s="35" customFormat="1" ht="12.75" customHeight="1">
      <c r="A209" s="35" t="s">
        <v>486</v>
      </c>
      <c r="B209" s="51"/>
      <c r="C209" s="35" t="s">
        <v>249</v>
      </c>
      <c r="D209" s="44"/>
      <c r="E209" s="53">
        <f t="shared" si="36"/>
        <v>4873859</v>
      </c>
      <c r="F209" s="53"/>
      <c r="G209" s="53">
        <v>40803155</v>
      </c>
      <c r="H209" s="53"/>
      <c r="I209" s="53">
        <v>45677014</v>
      </c>
      <c r="J209" s="53"/>
      <c r="K209" s="53">
        <f t="shared" si="37"/>
        <v>2390815</v>
      </c>
      <c r="L209" s="53"/>
      <c r="M209" s="53">
        <v>32715569</v>
      </c>
      <c r="N209" s="53"/>
      <c r="O209" s="53">
        <v>35106384</v>
      </c>
      <c r="P209" s="53"/>
      <c r="Q209" s="53">
        <v>6472930</v>
      </c>
      <c r="R209" s="53"/>
      <c r="S209" s="53">
        <v>0</v>
      </c>
      <c r="T209" s="53"/>
      <c r="U209" s="53">
        <v>4097700</v>
      </c>
      <c r="V209" s="53"/>
      <c r="W209" s="53">
        <f t="shared" si="38"/>
        <v>10570630</v>
      </c>
      <c r="X209" s="51"/>
      <c r="Y209" s="51"/>
      <c r="Z209" s="35" t="s">
        <v>486</v>
      </c>
      <c r="AA209" s="53"/>
      <c r="AB209" s="35" t="s">
        <v>249</v>
      </c>
      <c r="AC209" s="51"/>
      <c r="AD209" s="53">
        <v>4769977</v>
      </c>
      <c r="AE209" s="53"/>
      <c r="AF209" s="53">
        <f>4072259-836277</f>
        <v>3235982</v>
      </c>
      <c r="AG209" s="53"/>
      <c r="AH209" s="53">
        <v>836277</v>
      </c>
      <c r="AI209" s="53"/>
      <c r="AJ209" s="45">
        <f t="shared" si="39"/>
        <v>697718</v>
      </c>
      <c r="AK209" s="45"/>
      <c r="AL209" s="53">
        <v>-1235375</v>
      </c>
      <c r="AM209" s="45"/>
      <c r="AN209" s="53">
        <v>0</v>
      </c>
      <c r="AO209" s="53"/>
      <c r="AP209" s="53">
        <v>544918</v>
      </c>
      <c r="AQ209" s="53"/>
      <c r="AR209" s="53">
        <v>46819</v>
      </c>
      <c r="AS209" s="53"/>
      <c r="AT209" s="45">
        <f t="shared" si="40"/>
        <v>-1035756</v>
      </c>
      <c r="AU209" s="45"/>
      <c r="AV209" s="53">
        <v>0</v>
      </c>
      <c r="AW209" s="53"/>
      <c r="AX209" s="53">
        <v>0</v>
      </c>
      <c r="AY209" s="53"/>
      <c r="AZ209" s="53">
        <f t="shared" si="41"/>
        <v>2483044</v>
      </c>
      <c r="BA209" s="51"/>
      <c r="BB209" s="35" t="s">
        <v>486</v>
      </c>
      <c r="BD209" s="35" t="s">
        <v>249</v>
      </c>
      <c r="BE209" s="53"/>
      <c r="BF209" s="53">
        <f>1408350+152845</f>
        <v>1561195</v>
      </c>
      <c r="BG209" s="53"/>
      <c r="BH209" s="53">
        <v>0</v>
      </c>
      <c r="BI209" s="53"/>
      <c r="BJ209" s="53">
        <f>30935959+239976+1566276+26819</f>
        <v>32769030</v>
      </c>
      <c r="BK209" s="53"/>
      <c r="BL209" s="53">
        <f>15572+131284</f>
        <v>146856</v>
      </c>
      <c r="BM209" s="53"/>
      <c r="BN209" s="53">
        <f>SUM(BF209:BL209)</f>
        <v>34477081</v>
      </c>
      <c r="BO209" s="54"/>
      <c r="BS209" s="55"/>
      <c r="BT209" s="55"/>
      <c r="BU209" s="84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</row>
    <row r="210" spans="1:95" s="35" customFormat="1" ht="12.75" customHeight="1">
      <c r="A210" s="35" t="s">
        <v>240</v>
      </c>
      <c r="B210" s="51"/>
      <c r="C210" s="35" t="s">
        <v>13</v>
      </c>
      <c r="D210" s="44"/>
      <c r="E210" s="53">
        <f t="shared" si="36"/>
        <v>4488902</v>
      </c>
      <c r="F210" s="53"/>
      <c r="G210" s="53">
        <v>19946606</v>
      </c>
      <c r="H210" s="53"/>
      <c r="I210" s="53">
        <v>24435508</v>
      </c>
      <c r="J210" s="53"/>
      <c r="K210" s="53">
        <f t="shared" si="37"/>
        <v>772770</v>
      </c>
      <c r="L210" s="53"/>
      <c r="M210" s="53">
        <v>1809230</v>
      </c>
      <c r="N210" s="53"/>
      <c r="O210" s="53">
        <v>2582000</v>
      </c>
      <c r="P210" s="53"/>
      <c r="Q210" s="53">
        <v>18202678</v>
      </c>
      <c r="R210" s="53"/>
      <c r="S210" s="53">
        <v>0</v>
      </c>
      <c r="T210" s="53"/>
      <c r="U210" s="53">
        <v>3650830</v>
      </c>
      <c r="V210" s="53"/>
      <c r="W210" s="53">
        <f t="shared" si="38"/>
        <v>21853508</v>
      </c>
      <c r="X210" s="51"/>
      <c r="Y210" s="51"/>
      <c r="Z210" s="35" t="s">
        <v>240</v>
      </c>
      <c r="AA210" s="53"/>
      <c r="AB210" s="35" t="s">
        <v>13</v>
      </c>
      <c r="AC210" s="51"/>
      <c r="AD210" s="53">
        <v>4907661</v>
      </c>
      <c r="AE210" s="53"/>
      <c r="AF210" s="53">
        <f>3503104-386429</f>
        <v>3116675</v>
      </c>
      <c r="AG210" s="53"/>
      <c r="AH210" s="53">
        <v>386429</v>
      </c>
      <c r="AI210" s="53"/>
      <c r="AJ210" s="45">
        <f t="shared" si="39"/>
        <v>1404557</v>
      </c>
      <c r="AK210" s="45"/>
      <c r="AL210" s="53">
        <v>-9915</v>
      </c>
      <c r="AM210" s="45"/>
      <c r="AN210" s="53">
        <v>0</v>
      </c>
      <c r="AO210" s="53"/>
      <c r="AP210" s="53">
        <v>0</v>
      </c>
      <c r="AQ210" s="53"/>
      <c r="AR210" s="53">
        <v>0</v>
      </c>
      <c r="AS210" s="53"/>
      <c r="AT210" s="45">
        <f t="shared" si="40"/>
        <v>1394642</v>
      </c>
      <c r="AU210" s="45"/>
      <c r="AV210" s="53">
        <v>0</v>
      </c>
      <c r="AW210" s="53"/>
      <c r="AX210" s="53">
        <v>0</v>
      </c>
      <c r="AY210" s="53"/>
      <c r="AZ210" s="53">
        <f t="shared" si="41"/>
        <v>3716132</v>
      </c>
      <c r="BA210" s="51"/>
      <c r="BB210" s="35" t="s">
        <v>240</v>
      </c>
      <c r="BD210" s="35" t="s">
        <v>13</v>
      </c>
      <c r="BE210" s="53"/>
      <c r="BF210" s="53">
        <f>529423+13673</f>
        <v>543096</v>
      </c>
      <c r="BG210" s="53"/>
      <c r="BH210" s="53">
        <v>0</v>
      </c>
      <c r="BI210" s="53"/>
      <c r="BJ210" s="53">
        <f>179560+150000+11584</f>
        <v>341144</v>
      </c>
      <c r="BK210" s="53"/>
      <c r="BL210" s="53">
        <f>200000+29911+800000+150247</f>
        <v>1180158</v>
      </c>
      <c r="BM210" s="53"/>
      <c r="BN210" s="53">
        <f t="shared" si="24"/>
        <v>2064398</v>
      </c>
      <c r="BO210" s="54"/>
      <c r="BS210" s="55"/>
      <c r="BT210" s="55"/>
      <c r="BU210" s="84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</row>
    <row r="211" spans="1:95" s="35" customFormat="1" ht="12.75" customHeight="1">
      <c r="A211" s="64" t="s">
        <v>241</v>
      </c>
      <c r="B211" s="64"/>
      <c r="C211" s="64" t="s">
        <v>22</v>
      </c>
      <c r="D211" s="46"/>
      <c r="E211" s="53">
        <f t="shared" si="36"/>
        <v>2807833</v>
      </c>
      <c r="F211" s="53"/>
      <c r="G211" s="53">
        <v>6200416</v>
      </c>
      <c r="H211" s="53"/>
      <c r="I211" s="53">
        <v>9008249</v>
      </c>
      <c r="J211" s="53"/>
      <c r="K211" s="53">
        <f t="shared" si="37"/>
        <v>326581</v>
      </c>
      <c r="L211" s="53"/>
      <c r="M211" s="53">
        <v>511708</v>
      </c>
      <c r="N211" s="53"/>
      <c r="O211" s="53">
        <v>838289</v>
      </c>
      <c r="P211" s="53"/>
      <c r="Q211" s="53">
        <v>5642714</v>
      </c>
      <c r="R211" s="53"/>
      <c r="S211" s="53">
        <v>0</v>
      </c>
      <c r="T211" s="53"/>
      <c r="U211" s="53">
        <v>2527246</v>
      </c>
      <c r="V211" s="53"/>
      <c r="W211" s="53">
        <f t="shared" si="38"/>
        <v>8169960</v>
      </c>
      <c r="X211" s="51"/>
      <c r="Y211" s="51"/>
      <c r="Z211" s="64" t="s">
        <v>241</v>
      </c>
      <c r="AA211" s="79"/>
      <c r="AB211" s="64" t="s">
        <v>22</v>
      </c>
      <c r="AC211" s="64"/>
      <c r="AD211" s="53">
        <v>2699107</v>
      </c>
      <c r="AE211" s="53"/>
      <c r="AF211" s="53">
        <f>2336965-344755</f>
        <v>1992210</v>
      </c>
      <c r="AG211" s="53"/>
      <c r="AH211" s="53">
        <v>344755</v>
      </c>
      <c r="AI211" s="53"/>
      <c r="AJ211" s="45">
        <f t="shared" si="39"/>
        <v>362142</v>
      </c>
      <c r="AK211" s="45"/>
      <c r="AL211" s="53">
        <v>-37783</v>
      </c>
      <c r="AM211" s="45"/>
      <c r="AN211" s="53">
        <v>35621</v>
      </c>
      <c r="AO211" s="53"/>
      <c r="AP211" s="53">
        <v>0</v>
      </c>
      <c r="AQ211" s="53"/>
      <c r="AR211" s="53">
        <v>0</v>
      </c>
      <c r="AS211" s="53"/>
      <c r="AT211" s="45">
        <f t="shared" si="40"/>
        <v>359980</v>
      </c>
      <c r="AU211" s="45"/>
      <c r="AV211" s="53">
        <v>0</v>
      </c>
      <c r="AW211" s="53"/>
      <c r="AX211" s="53">
        <v>0</v>
      </c>
      <c r="AY211" s="53"/>
      <c r="AZ211" s="53">
        <f t="shared" si="41"/>
        <v>2481252</v>
      </c>
      <c r="BA211" s="51"/>
      <c r="BB211" s="64" t="s">
        <v>241</v>
      </c>
      <c r="BC211" s="64"/>
      <c r="BD211" s="64" t="s">
        <v>22</v>
      </c>
      <c r="BE211" s="79"/>
      <c r="BF211" s="53">
        <v>0</v>
      </c>
      <c r="BG211" s="53"/>
      <c r="BH211" s="53">
        <v>0</v>
      </c>
      <c r="BI211" s="53"/>
      <c r="BJ211" s="53">
        <f>493039+10444</f>
        <v>503483</v>
      </c>
      <c r="BK211" s="53"/>
      <c r="BL211" s="53">
        <f>10715+7954+4759+166402</f>
        <v>189830</v>
      </c>
      <c r="BM211" s="53"/>
      <c r="BN211" s="53">
        <f t="shared" si="24"/>
        <v>693313</v>
      </c>
      <c r="BO211" s="54"/>
      <c r="BS211" s="55"/>
      <c r="BT211" s="55"/>
      <c r="BU211" s="84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</row>
    <row r="212" spans="1:95" s="126" customFormat="1" ht="12.75" hidden="1" customHeight="1">
      <c r="A212" s="35" t="s">
        <v>242</v>
      </c>
      <c r="B212" s="51"/>
      <c r="C212" s="35" t="s">
        <v>27</v>
      </c>
      <c r="D212" s="44"/>
      <c r="E212" s="53">
        <f t="shared" si="36"/>
        <v>0</v>
      </c>
      <c r="F212" s="53"/>
      <c r="G212" s="53">
        <v>0</v>
      </c>
      <c r="H212" s="53"/>
      <c r="I212" s="53">
        <v>0</v>
      </c>
      <c r="J212" s="53"/>
      <c r="K212" s="53">
        <f t="shared" si="37"/>
        <v>0</v>
      </c>
      <c r="L212" s="53"/>
      <c r="M212" s="53">
        <v>0</v>
      </c>
      <c r="N212" s="53"/>
      <c r="O212" s="53">
        <v>0</v>
      </c>
      <c r="P212" s="53"/>
      <c r="Q212" s="53">
        <v>0</v>
      </c>
      <c r="R212" s="53"/>
      <c r="S212" s="53">
        <v>0</v>
      </c>
      <c r="T212" s="53"/>
      <c r="U212" s="53">
        <v>0</v>
      </c>
      <c r="V212" s="53"/>
      <c r="W212" s="53">
        <f t="shared" si="38"/>
        <v>0</v>
      </c>
      <c r="X212" s="51"/>
      <c r="Y212" s="51"/>
      <c r="Z212" s="35" t="s">
        <v>242</v>
      </c>
      <c r="AA212" s="53"/>
      <c r="AB212" s="35" t="s">
        <v>27</v>
      </c>
      <c r="AC212" s="51"/>
      <c r="AD212" s="53">
        <v>0</v>
      </c>
      <c r="AE212" s="53"/>
      <c r="AF212" s="53">
        <v>0</v>
      </c>
      <c r="AG212" s="53"/>
      <c r="AH212" s="53">
        <v>0</v>
      </c>
      <c r="AI212" s="53"/>
      <c r="AJ212" s="45">
        <f t="shared" si="39"/>
        <v>0</v>
      </c>
      <c r="AK212" s="45"/>
      <c r="AL212" s="53">
        <v>0</v>
      </c>
      <c r="AM212" s="45"/>
      <c r="AN212" s="53">
        <v>0</v>
      </c>
      <c r="AO212" s="53"/>
      <c r="AP212" s="53">
        <v>0</v>
      </c>
      <c r="AQ212" s="53"/>
      <c r="AR212" s="53">
        <v>0</v>
      </c>
      <c r="AS212" s="53"/>
      <c r="AT212" s="45">
        <f t="shared" si="40"/>
        <v>0</v>
      </c>
      <c r="AU212" s="45"/>
      <c r="AV212" s="53">
        <v>0</v>
      </c>
      <c r="AW212" s="53"/>
      <c r="AX212" s="53">
        <v>0</v>
      </c>
      <c r="AY212" s="53"/>
      <c r="AZ212" s="53">
        <f t="shared" si="41"/>
        <v>0</v>
      </c>
      <c r="BA212" s="51"/>
      <c r="BB212" s="35" t="s">
        <v>242</v>
      </c>
      <c r="BC212" s="35"/>
      <c r="BD212" s="35" t="s">
        <v>27</v>
      </c>
      <c r="BE212" s="53"/>
      <c r="BF212" s="53">
        <v>0</v>
      </c>
      <c r="BG212" s="53"/>
      <c r="BH212" s="53">
        <v>0</v>
      </c>
      <c r="BI212" s="53"/>
      <c r="BJ212" s="53">
        <v>0</v>
      </c>
      <c r="BK212" s="53"/>
      <c r="BL212" s="53">
        <v>0</v>
      </c>
      <c r="BM212" s="53"/>
      <c r="BN212" s="53">
        <f t="shared" si="24"/>
        <v>0</v>
      </c>
      <c r="BO212" s="139"/>
      <c r="BS212" s="140"/>
      <c r="BT212" s="140"/>
      <c r="BU212" s="141"/>
      <c r="BV212" s="140"/>
      <c r="BW212" s="140"/>
      <c r="BX212" s="140"/>
      <c r="BY212" s="140"/>
      <c r="BZ212" s="140"/>
      <c r="CA212" s="140"/>
      <c r="CB212" s="140"/>
      <c r="CC212" s="140"/>
      <c r="CD212" s="140"/>
      <c r="CE212" s="140"/>
      <c r="CF212" s="140"/>
      <c r="CG212" s="140"/>
      <c r="CH212" s="140"/>
      <c r="CI212" s="140"/>
      <c r="CJ212" s="140"/>
      <c r="CK212" s="140"/>
      <c r="CL212" s="140"/>
      <c r="CM212" s="140"/>
      <c r="CN212" s="140"/>
      <c r="CO212" s="140"/>
      <c r="CP212" s="140"/>
      <c r="CQ212" s="140"/>
    </row>
    <row r="213" spans="1:95" s="35" customFormat="1" ht="12.75" customHeight="1">
      <c r="A213" s="35" t="s">
        <v>243</v>
      </c>
      <c r="C213" s="35" t="s">
        <v>163</v>
      </c>
      <c r="D213" s="44"/>
      <c r="E213" s="53">
        <f t="shared" si="36"/>
        <v>1298343</v>
      </c>
      <c r="F213" s="53"/>
      <c r="G213" s="53">
        <v>6470618</v>
      </c>
      <c r="H213" s="53"/>
      <c r="I213" s="53">
        <v>7768961</v>
      </c>
      <c r="J213" s="53"/>
      <c r="K213" s="53">
        <f t="shared" si="37"/>
        <v>363466</v>
      </c>
      <c r="L213" s="53"/>
      <c r="M213" s="53">
        <v>169358</v>
      </c>
      <c r="N213" s="53"/>
      <c r="O213" s="53">
        <v>532824</v>
      </c>
      <c r="P213" s="53"/>
      <c r="Q213" s="53">
        <v>6470618</v>
      </c>
      <c r="R213" s="53"/>
      <c r="S213" s="53">
        <v>0</v>
      </c>
      <c r="T213" s="53"/>
      <c r="U213" s="53">
        <v>765519</v>
      </c>
      <c r="V213" s="53"/>
      <c r="W213" s="53">
        <f t="shared" si="38"/>
        <v>7236137</v>
      </c>
      <c r="Z213" s="35" t="s">
        <v>243</v>
      </c>
      <c r="AA213" s="53"/>
      <c r="AB213" s="35" t="s">
        <v>163</v>
      </c>
      <c r="AD213" s="53">
        <v>3270411</v>
      </c>
      <c r="AE213" s="53"/>
      <c r="AF213" s="53">
        <f>3265483-251406</f>
        <v>3014077</v>
      </c>
      <c r="AG213" s="53"/>
      <c r="AH213" s="53">
        <v>251406</v>
      </c>
      <c r="AI213" s="53"/>
      <c r="AJ213" s="45">
        <f t="shared" si="39"/>
        <v>4928</v>
      </c>
      <c r="AK213" s="45"/>
      <c r="AL213" s="53">
        <v>-161713</v>
      </c>
      <c r="AM213" s="45"/>
      <c r="AN213" s="53">
        <v>0</v>
      </c>
      <c r="AO213" s="53"/>
      <c r="AP213" s="53">
        <v>89242</v>
      </c>
      <c r="AQ213" s="53"/>
      <c r="AR213" s="53">
        <v>0</v>
      </c>
      <c r="AS213" s="53"/>
      <c r="AT213" s="45">
        <f t="shared" si="40"/>
        <v>-246027</v>
      </c>
      <c r="AU213" s="45"/>
      <c r="AV213" s="53">
        <v>0</v>
      </c>
      <c r="AW213" s="53"/>
      <c r="AX213" s="53">
        <v>0</v>
      </c>
      <c r="AY213" s="53"/>
      <c r="AZ213" s="53">
        <f t="shared" si="41"/>
        <v>934877</v>
      </c>
      <c r="BA213" s="65"/>
      <c r="BB213" s="35" t="s">
        <v>243</v>
      </c>
      <c r="BD213" s="35" t="s">
        <v>163</v>
      </c>
      <c r="BE213" s="53"/>
      <c r="BF213" s="53">
        <v>0</v>
      </c>
      <c r="BG213" s="53"/>
      <c r="BH213" s="53">
        <v>0</v>
      </c>
      <c r="BI213" s="53"/>
      <c r="BJ213" s="53">
        <v>0</v>
      </c>
      <c r="BK213" s="53"/>
      <c r="BL213" s="53">
        <v>169358</v>
      </c>
      <c r="BM213" s="53"/>
      <c r="BN213" s="53">
        <f t="shared" ref="BN213" si="42">SUM(BF213:BL213)</f>
        <v>169358</v>
      </c>
      <c r="BO213" s="54"/>
      <c r="BS213" s="55"/>
      <c r="BT213" s="55"/>
      <c r="BU213" s="84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</row>
    <row r="214" spans="1:95" s="35" customFormat="1" ht="12.75" customHeight="1">
      <c r="A214" s="35" t="s">
        <v>244</v>
      </c>
      <c r="B214" s="51"/>
      <c r="C214" s="35" t="s">
        <v>13</v>
      </c>
      <c r="D214" s="44"/>
      <c r="E214" s="53">
        <f t="shared" si="36"/>
        <v>3470185</v>
      </c>
      <c r="F214" s="53"/>
      <c r="G214" s="53">
        <v>6393334</v>
      </c>
      <c r="H214" s="53"/>
      <c r="I214" s="53">
        <v>9863519</v>
      </c>
      <c r="J214" s="53"/>
      <c r="K214" s="53">
        <f t="shared" si="37"/>
        <v>537720</v>
      </c>
      <c r="L214" s="53"/>
      <c r="M214" s="53">
        <v>987849</v>
      </c>
      <c r="N214" s="53"/>
      <c r="O214" s="53">
        <v>1525569</v>
      </c>
      <c r="P214" s="53"/>
      <c r="Q214" s="53">
        <v>5295923</v>
      </c>
      <c r="R214" s="53"/>
      <c r="S214" s="53">
        <v>0</v>
      </c>
      <c r="T214" s="53"/>
      <c r="U214" s="53">
        <v>3042027</v>
      </c>
      <c r="V214" s="53"/>
      <c r="W214" s="53">
        <f t="shared" si="38"/>
        <v>8337950</v>
      </c>
      <c r="X214" s="51"/>
      <c r="Y214" s="51"/>
      <c r="Z214" s="35" t="s">
        <v>244</v>
      </c>
      <c r="AA214" s="53"/>
      <c r="AB214" s="35" t="s">
        <v>13</v>
      </c>
      <c r="AC214" s="51"/>
      <c r="AD214" s="53">
        <v>1574306</v>
      </c>
      <c r="AE214" s="53"/>
      <c r="AF214" s="53">
        <f>1644402-260685</f>
        <v>1383717</v>
      </c>
      <c r="AG214" s="53"/>
      <c r="AH214" s="53">
        <v>260685</v>
      </c>
      <c r="AI214" s="53"/>
      <c r="AJ214" s="45">
        <f t="shared" si="39"/>
        <v>-70096</v>
      </c>
      <c r="AK214" s="45"/>
      <c r="AL214" s="53">
        <v>-42794</v>
      </c>
      <c r="AM214" s="45"/>
      <c r="AN214" s="53">
        <v>0</v>
      </c>
      <c r="AO214" s="53"/>
      <c r="AP214" s="53">
        <v>0</v>
      </c>
      <c r="AQ214" s="53"/>
      <c r="AR214" s="53">
        <v>0</v>
      </c>
      <c r="AS214" s="53"/>
      <c r="AT214" s="45">
        <f t="shared" si="40"/>
        <v>-112890</v>
      </c>
      <c r="AU214" s="45"/>
      <c r="AV214" s="53">
        <v>0</v>
      </c>
      <c r="AW214" s="53"/>
      <c r="AX214" s="53">
        <v>0</v>
      </c>
      <c r="AY214" s="53"/>
      <c r="AZ214" s="53">
        <f t="shared" si="41"/>
        <v>2932465</v>
      </c>
      <c r="BA214" s="51"/>
      <c r="BB214" s="35" t="s">
        <v>244</v>
      </c>
      <c r="BD214" s="35" t="s">
        <v>13</v>
      </c>
      <c r="BE214" s="53"/>
      <c r="BF214" s="53">
        <v>0</v>
      </c>
      <c r="BG214" s="53"/>
      <c r="BH214" s="53">
        <v>0</v>
      </c>
      <c r="BI214" s="53"/>
      <c r="BJ214" s="53">
        <f>867970+44779</f>
        <v>912749</v>
      </c>
      <c r="BK214" s="53"/>
      <c r="BL214" s="53">
        <f>23217+96662+88000+1251</f>
        <v>209130</v>
      </c>
      <c r="BM214" s="53"/>
      <c r="BN214" s="53">
        <f t="shared" ref="BN214:BN254" si="43">SUM(BF214:BL214)</f>
        <v>1121879</v>
      </c>
      <c r="BO214" s="54"/>
      <c r="BS214" s="55"/>
      <c r="BT214" s="55"/>
      <c r="BU214" s="84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</row>
    <row r="215" spans="1:95" s="35" customFormat="1" ht="12.75" hidden="1" customHeight="1">
      <c r="A215" s="35" t="s">
        <v>245</v>
      </c>
      <c r="B215" s="51"/>
      <c r="C215" s="35" t="s">
        <v>110</v>
      </c>
      <c r="D215" s="44"/>
      <c r="E215" s="53">
        <f t="shared" si="36"/>
        <v>0</v>
      </c>
      <c r="F215" s="53"/>
      <c r="G215" s="53">
        <v>0</v>
      </c>
      <c r="H215" s="53"/>
      <c r="I215" s="53">
        <v>0</v>
      </c>
      <c r="J215" s="53"/>
      <c r="K215" s="53">
        <f t="shared" si="37"/>
        <v>0</v>
      </c>
      <c r="L215" s="53"/>
      <c r="M215" s="53">
        <v>0</v>
      </c>
      <c r="N215" s="53"/>
      <c r="O215" s="53">
        <v>0</v>
      </c>
      <c r="P215" s="53"/>
      <c r="Q215" s="53">
        <v>0</v>
      </c>
      <c r="R215" s="53"/>
      <c r="S215" s="53">
        <v>0</v>
      </c>
      <c r="T215" s="53"/>
      <c r="U215" s="53">
        <v>0</v>
      </c>
      <c r="V215" s="53"/>
      <c r="W215" s="53">
        <f t="shared" si="38"/>
        <v>0</v>
      </c>
      <c r="Z215" s="35" t="s">
        <v>245</v>
      </c>
      <c r="AA215" s="53"/>
      <c r="AB215" s="35" t="s">
        <v>110</v>
      </c>
      <c r="AC215" s="51"/>
      <c r="AD215" s="53">
        <v>0</v>
      </c>
      <c r="AE215" s="53"/>
      <c r="AF215" s="53">
        <v>0</v>
      </c>
      <c r="AG215" s="53"/>
      <c r="AH215" s="53">
        <v>0</v>
      </c>
      <c r="AI215" s="53"/>
      <c r="AJ215" s="45">
        <f t="shared" si="39"/>
        <v>0</v>
      </c>
      <c r="AK215" s="45"/>
      <c r="AL215" s="53">
        <v>0</v>
      </c>
      <c r="AM215" s="45"/>
      <c r="AN215" s="53">
        <v>0</v>
      </c>
      <c r="AO215" s="53"/>
      <c r="AP215" s="53">
        <v>0</v>
      </c>
      <c r="AQ215" s="53"/>
      <c r="AR215" s="53">
        <v>0</v>
      </c>
      <c r="AS215" s="53"/>
      <c r="AT215" s="45">
        <f t="shared" si="40"/>
        <v>0</v>
      </c>
      <c r="AU215" s="45"/>
      <c r="AV215" s="53">
        <v>0</v>
      </c>
      <c r="AW215" s="53"/>
      <c r="AX215" s="53">
        <v>0</v>
      </c>
      <c r="AY215" s="53"/>
      <c r="AZ215" s="53">
        <f t="shared" si="41"/>
        <v>0</v>
      </c>
      <c r="BA215" s="51"/>
      <c r="BB215" s="35" t="s">
        <v>245</v>
      </c>
      <c r="BD215" s="35" t="s">
        <v>110</v>
      </c>
      <c r="BE215" s="53"/>
      <c r="BF215" s="53">
        <v>0</v>
      </c>
      <c r="BG215" s="53"/>
      <c r="BH215" s="53">
        <v>0</v>
      </c>
      <c r="BI215" s="53"/>
      <c r="BJ215" s="53">
        <v>0</v>
      </c>
      <c r="BK215" s="53"/>
      <c r="BL215" s="53">
        <v>0</v>
      </c>
      <c r="BM215" s="53"/>
      <c r="BN215" s="53">
        <f t="shared" si="43"/>
        <v>0</v>
      </c>
      <c r="BO215" s="54"/>
      <c r="BP215" s="55"/>
      <c r="BS215" s="55"/>
      <c r="BT215" s="55"/>
      <c r="BU215" s="84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</row>
    <row r="216" spans="1:95" s="35" customFormat="1" ht="12.75" customHeight="1">
      <c r="A216" s="35" t="s">
        <v>246</v>
      </c>
      <c r="B216" s="51"/>
      <c r="C216" s="35" t="s">
        <v>209</v>
      </c>
      <c r="D216" s="44"/>
      <c r="E216" s="53">
        <f t="shared" si="36"/>
        <v>3203517</v>
      </c>
      <c r="F216" s="53"/>
      <c r="G216" s="53">
        <v>8462648</v>
      </c>
      <c r="H216" s="53"/>
      <c r="I216" s="53">
        <v>11666165</v>
      </c>
      <c r="J216" s="53"/>
      <c r="K216" s="53">
        <f t="shared" si="37"/>
        <v>170404</v>
      </c>
      <c r="L216" s="53"/>
      <c r="M216" s="53">
        <v>75101</v>
      </c>
      <c r="N216" s="53"/>
      <c r="O216" s="53">
        <v>245505</v>
      </c>
      <c r="P216" s="53"/>
      <c r="Q216" s="53">
        <v>8331633</v>
      </c>
      <c r="R216" s="53"/>
      <c r="S216" s="53">
        <v>0</v>
      </c>
      <c r="T216" s="53"/>
      <c r="U216" s="53">
        <v>3089027</v>
      </c>
      <c r="V216" s="53"/>
      <c r="W216" s="53">
        <f t="shared" si="38"/>
        <v>11420660</v>
      </c>
      <c r="X216" s="51"/>
      <c r="Y216" s="51"/>
      <c r="Z216" s="35" t="s">
        <v>246</v>
      </c>
      <c r="AA216" s="53"/>
      <c r="AB216" s="35" t="s">
        <v>209</v>
      </c>
      <c r="AC216" s="51"/>
      <c r="AD216" s="53">
        <v>2186479</v>
      </c>
      <c r="AE216" s="53"/>
      <c r="AF216" s="53">
        <f>2490019-311480</f>
        <v>2178539</v>
      </c>
      <c r="AG216" s="53"/>
      <c r="AH216" s="53">
        <v>311480</v>
      </c>
      <c r="AI216" s="53"/>
      <c r="AJ216" s="45">
        <f t="shared" si="39"/>
        <v>-303540</v>
      </c>
      <c r="AK216" s="45"/>
      <c r="AL216" s="53">
        <v>158497</v>
      </c>
      <c r="AM216" s="45"/>
      <c r="AN216" s="53">
        <v>0</v>
      </c>
      <c r="AO216" s="53"/>
      <c r="AP216" s="53">
        <v>7302</v>
      </c>
      <c r="AQ216" s="53"/>
      <c r="AR216" s="53">
        <v>614113</v>
      </c>
      <c r="AS216" s="53"/>
      <c r="AT216" s="45">
        <f t="shared" si="40"/>
        <v>461768</v>
      </c>
      <c r="AU216" s="45"/>
      <c r="AV216" s="53">
        <v>0</v>
      </c>
      <c r="AW216" s="53"/>
      <c r="AX216" s="53">
        <v>0</v>
      </c>
      <c r="AY216" s="53"/>
      <c r="AZ216" s="53">
        <f t="shared" si="41"/>
        <v>3033113</v>
      </c>
      <c r="BA216" s="51"/>
      <c r="BB216" s="35" t="s">
        <v>246</v>
      </c>
      <c r="BD216" s="35" t="s">
        <v>209</v>
      </c>
      <c r="BE216" s="53"/>
      <c r="BF216" s="53">
        <f>25000+25000</f>
        <v>50000</v>
      </c>
      <c r="BG216" s="53"/>
      <c r="BH216" s="53">
        <v>0</v>
      </c>
      <c r="BI216" s="53"/>
      <c r="BJ216" s="53">
        <v>0</v>
      </c>
      <c r="BK216" s="53"/>
      <c r="BL216" s="53">
        <f>50101+23622</f>
        <v>73723</v>
      </c>
      <c r="BM216" s="53"/>
      <c r="BN216" s="53">
        <f t="shared" si="43"/>
        <v>123723</v>
      </c>
      <c r="BO216" s="54"/>
      <c r="BS216" s="55"/>
      <c r="BT216" s="55"/>
      <c r="BU216" s="84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</row>
    <row r="217" spans="1:95" s="35" customFormat="1" ht="12.75" customHeight="1">
      <c r="A217" s="35" t="s">
        <v>247</v>
      </c>
      <c r="C217" s="35" t="s">
        <v>163</v>
      </c>
      <c r="D217" s="44"/>
      <c r="E217" s="53">
        <f t="shared" si="36"/>
        <v>63794000</v>
      </c>
      <c r="F217" s="53"/>
      <c r="G217" s="53">
        <v>200095000</v>
      </c>
      <c r="H217" s="53"/>
      <c r="I217" s="53">
        <v>263889000</v>
      </c>
      <c r="J217" s="53"/>
      <c r="K217" s="53">
        <f t="shared" si="37"/>
        <v>37641000</v>
      </c>
      <c r="L217" s="53"/>
      <c r="M217" s="53">
        <v>82714000</v>
      </c>
      <c r="N217" s="53"/>
      <c r="O217" s="53">
        <v>120355000</v>
      </c>
      <c r="P217" s="53"/>
      <c r="Q217" s="53">
        <v>107647000</v>
      </c>
      <c r="R217" s="53"/>
      <c r="S217" s="53">
        <f>781000+9848000</f>
        <v>10629000</v>
      </c>
      <c r="T217" s="53"/>
      <c r="U217" s="53">
        <v>25258000</v>
      </c>
      <c r="V217" s="53"/>
      <c r="W217" s="53">
        <f t="shared" si="38"/>
        <v>143534000</v>
      </c>
      <c r="X217" s="51"/>
      <c r="Y217" s="51"/>
      <c r="Z217" s="35" t="s">
        <v>247</v>
      </c>
      <c r="AA217" s="53"/>
      <c r="AB217" s="35" t="s">
        <v>163</v>
      </c>
      <c r="AD217" s="53">
        <v>35913000</v>
      </c>
      <c r="AE217" s="53"/>
      <c r="AF217" s="53">
        <f>32285000-5438000</f>
        <v>26847000</v>
      </c>
      <c r="AG217" s="53"/>
      <c r="AH217" s="53">
        <v>5438000</v>
      </c>
      <c r="AI217" s="53"/>
      <c r="AJ217" s="45">
        <f t="shared" si="39"/>
        <v>3628000</v>
      </c>
      <c r="AK217" s="45"/>
      <c r="AL217" s="53">
        <v>-3897000</v>
      </c>
      <c r="AM217" s="45"/>
      <c r="AN217" s="53">
        <v>0</v>
      </c>
      <c r="AO217" s="53"/>
      <c r="AP217" s="53">
        <v>90000</v>
      </c>
      <c r="AQ217" s="53"/>
      <c r="AR217" s="53">
        <v>0</v>
      </c>
      <c r="AS217" s="53"/>
      <c r="AT217" s="45">
        <f t="shared" si="40"/>
        <v>-359000</v>
      </c>
      <c r="AU217" s="45"/>
      <c r="AV217" s="53">
        <v>0</v>
      </c>
      <c r="AW217" s="53"/>
      <c r="AX217" s="53">
        <v>0</v>
      </c>
      <c r="AY217" s="53"/>
      <c r="AZ217" s="53">
        <f t="shared" si="41"/>
        <v>26153000</v>
      </c>
      <c r="BA217" s="51"/>
      <c r="BB217" s="35" t="s">
        <v>247</v>
      </c>
      <c r="BD217" s="35" t="s">
        <v>163</v>
      </c>
      <c r="BE217" s="53"/>
      <c r="BF217" s="53">
        <v>0</v>
      </c>
      <c r="BG217" s="53"/>
      <c r="BH217" s="53">
        <f>69960000+7681000</f>
        <v>77641000</v>
      </c>
      <c r="BI217" s="53"/>
      <c r="BJ217" s="53">
        <v>0</v>
      </c>
      <c r="BK217" s="53"/>
      <c r="BL217" s="53">
        <v>12754000</v>
      </c>
      <c r="BM217" s="53"/>
      <c r="BN217" s="53">
        <f t="shared" si="43"/>
        <v>90395000</v>
      </c>
      <c r="BO217" s="54"/>
      <c r="BS217" s="55"/>
      <c r="BT217" s="55"/>
      <c r="BU217" s="84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</row>
    <row r="218" spans="1:95" s="35" customFormat="1" ht="12.75" customHeight="1">
      <c r="A218" s="35" t="s">
        <v>248</v>
      </c>
      <c r="B218" s="51"/>
      <c r="C218" s="35" t="s">
        <v>249</v>
      </c>
      <c r="D218" s="44"/>
      <c r="E218" s="53">
        <f t="shared" si="36"/>
        <v>846133</v>
      </c>
      <c r="F218" s="53"/>
      <c r="G218" s="53">
        <v>13850030</v>
      </c>
      <c r="H218" s="53"/>
      <c r="I218" s="53">
        <v>14696163</v>
      </c>
      <c r="J218" s="53"/>
      <c r="K218" s="53">
        <f t="shared" si="37"/>
        <v>902212</v>
      </c>
      <c r="L218" s="53"/>
      <c r="M218" s="53">
        <v>11957526</v>
      </c>
      <c r="N218" s="53"/>
      <c r="O218" s="53">
        <v>12859738</v>
      </c>
      <c r="P218" s="53"/>
      <c r="Q218" s="53">
        <v>1323063</v>
      </c>
      <c r="R218" s="53"/>
      <c r="S218" s="53">
        <v>0</v>
      </c>
      <c r="T218" s="53"/>
      <c r="U218" s="53">
        <v>783362</v>
      </c>
      <c r="V218" s="53"/>
      <c r="W218" s="53">
        <f t="shared" si="38"/>
        <v>2106425</v>
      </c>
      <c r="Z218" s="35" t="s">
        <v>248</v>
      </c>
      <c r="AA218" s="53"/>
      <c r="AB218" s="35" t="s">
        <v>249</v>
      </c>
      <c r="AC218" s="51"/>
      <c r="AD218" s="53">
        <v>2242497</v>
      </c>
      <c r="AE218" s="53"/>
      <c r="AF218" s="53">
        <f>1498263-409889</f>
        <v>1088374</v>
      </c>
      <c r="AG218" s="53"/>
      <c r="AH218" s="53">
        <v>409889</v>
      </c>
      <c r="AI218" s="53"/>
      <c r="AJ218" s="45">
        <f t="shared" si="39"/>
        <v>744234</v>
      </c>
      <c r="AK218" s="45"/>
      <c r="AL218" s="53">
        <v>-407852</v>
      </c>
      <c r="AM218" s="45"/>
      <c r="AN218" s="53">
        <v>100000</v>
      </c>
      <c r="AO218" s="53"/>
      <c r="AP218" s="53">
        <v>0</v>
      </c>
      <c r="AQ218" s="53"/>
      <c r="AR218" s="53">
        <v>0</v>
      </c>
      <c r="AS218" s="53"/>
      <c r="AT218" s="45">
        <f t="shared" si="40"/>
        <v>436382</v>
      </c>
      <c r="AU218" s="45"/>
      <c r="AV218" s="53">
        <v>0</v>
      </c>
      <c r="AW218" s="53"/>
      <c r="AX218" s="53">
        <v>0</v>
      </c>
      <c r="AY218" s="53"/>
      <c r="AZ218" s="53">
        <f t="shared" si="41"/>
        <v>-56079</v>
      </c>
      <c r="BA218" s="51"/>
      <c r="BB218" s="35" t="s">
        <v>248</v>
      </c>
      <c r="BD218" s="35" t="s">
        <v>249</v>
      </c>
      <c r="BE218" s="53"/>
      <c r="BF218" s="53">
        <v>0</v>
      </c>
      <c r="BG218" s="53"/>
      <c r="BH218" s="53">
        <v>0</v>
      </c>
      <c r="BI218" s="53"/>
      <c r="BJ218" s="53">
        <f>11913369+613597</f>
        <v>12526966</v>
      </c>
      <c r="BK218" s="53"/>
      <c r="BL218" s="53">
        <f>44157+10076</f>
        <v>54233</v>
      </c>
      <c r="BM218" s="53"/>
      <c r="BN218" s="53">
        <f>SUM(BF218:BL218)</f>
        <v>12581199</v>
      </c>
      <c r="BO218" s="54"/>
      <c r="BP218" s="55"/>
      <c r="BS218" s="55"/>
      <c r="BT218" s="55"/>
      <c r="BU218" s="84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</row>
    <row r="219" spans="1:95" s="35" customFormat="1" ht="12.75" customHeight="1">
      <c r="A219" s="35" t="s">
        <v>250</v>
      </c>
      <c r="B219" s="51"/>
      <c r="C219" s="35" t="s">
        <v>103</v>
      </c>
      <c r="D219" s="44"/>
      <c r="E219" s="53">
        <f t="shared" si="36"/>
        <v>1246091</v>
      </c>
      <c r="F219" s="53"/>
      <c r="G219" s="53">
        <v>10252994</v>
      </c>
      <c r="H219" s="53"/>
      <c r="I219" s="53">
        <v>11499085</v>
      </c>
      <c r="J219" s="53"/>
      <c r="K219" s="53">
        <f t="shared" si="37"/>
        <v>2902126</v>
      </c>
      <c r="L219" s="53"/>
      <c r="M219" s="53">
        <v>7165096</v>
      </c>
      <c r="N219" s="53"/>
      <c r="O219" s="53">
        <v>10067222</v>
      </c>
      <c r="P219" s="53"/>
      <c r="Q219" s="53">
        <v>294093</v>
      </c>
      <c r="R219" s="53"/>
      <c r="S219" s="53">
        <v>781302</v>
      </c>
      <c r="T219" s="53"/>
      <c r="U219" s="53">
        <v>356468</v>
      </c>
      <c r="V219" s="53"/>
      <c r="W219" s="53">
        <f t="shared" si="38"/>
        <v>1431863</v>
      </c>
      <c r="X219" s="51"/>
      <c r="Y219" s="51"/>
      <c r="Z219" s="35" t="s">
        <v>250</v>
      </c>
      <c r="AA219" s="53"/>
      <c r="AB219" s="35" t="s">
        <v>103</v>
      </c>
      <c r="AC219" s="51"/>
      <c r="AD219" s="53">
        <v>1220306</v>
      </c>
      <c r="AE219" s="53"/>
      <c r="AF219" s="53">
        <f>1889114-219309</f>
        <v>1669805</v>
      </c>
      <c r="AG219" s="53"/>
      <c r="AH219" s="53">
        <v>219309</v>
      </c>
      <c r="AI219" s="53"/>
      <c r="AJ219" s="45">
        <f t="shared" si="39"/>
        <v>-668808</v>
      </c>
      <c r="AK219" s="45"/>
      <c r="AL219" s="53">
        <v>-426725</v>
      </c>
      <c r="AM219" s="45"/>
      <c r="AN219" s="53">
        <v>17564</v>
      </c>
      <c r="AO219" s="53"/>
      <c r="AP219" s="53">
        <v>10000</v>
      </c>
      <c r="AQ219" s="53"/>
      <c r="AR219" s="53">
        <v>0</v>
      </c>
      <c r="AS219" s="53"/>
      <c r="AT219" s="45">
        <f t="shared" si="40"/>
        <v>-1087969</v>
      </c>
      <c r="AU219" s="45"/>
      <c r="AV219" s="53">
        <v>0</v>
      </c>
      <c r="AW219" s="53"/>
      <c r="AX219" s="53">
        <v>0</v>
      </c>
      <c r="AY219" s="53"/>
      <c r="AZ219" s="53">
        <f t="shared" si="41"/>
        <v>-1656035</v>
      </c>
      <c r="BA219" s="51"/>
      <c r="BB219" s="35" t="s">
        <v>250</v>
      </c>
      <c r="BD219" s="35" t="s">
        <v>103</v>
      </c>
      <c r="BE219" s="53"/>
      <c r="BF219" s="53">
        <v>0</v>
      </c>
      <c r="BG219" s="53"/>
      <c r="BH219" s="53">
        <f>7141170+160000</f>
        <v>7301170</v>
      </c>
      <c r="BI219" s="53"/>
      <c r="BJ219" s="53">
        <v>0</v>
      </c>
      <c r="BK219" s="53"/>
      <c r="BL219" s="53">
        <f>23926+9462</f>
        <v>33388</v>
      </c>
      <c r="BM219" s="53"/>
      <c r="BN219" s="53">
        <f t="shared" si="43"/>
        <v>7334558</v>
      </c>
      <c r="BO219" s="54"/>
      <c r="BS219" s="55"/>
      <c r="BT219" s="55"/>
      <c r="BU219" s="84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</row>
    <row r="220" spans="1:95" s="35" customFormat="1" ht="12.75" customHeight="1">
      <c r="A220" s="35" t="s">
        <v>251</v>
      </c>
      <c r="B220" s="51"/>
      <c r="C220" s="35" t="s">
        <v>66</v>
      </c>
      <c r="D220" s="44"/>
      <c r="E220" s="53">
        <f t="shared" si="36"/>
        <v>939086</v>
      </c>
      <c r="F220" s="53"/>
      <c r="G220" s="53">
        <v>445625</v>
      </c>
      <c r="H220" s="53"/>
      <c r="I220" s="53">
        <v>1384711</v>
      </c>
      <c r="J220" s="53"/>
      <c r="K220" s="53">
        <f t="shared" si="37"/>
        <v>624025</v>
      </c>
      <c r="L220" s="53"/>
      <c r="M220" s="53">
        <v>9684</v>
      </c>
      <c r="N220" s="53"/>
      <c r="O220" s="53">
        <v>633709</v>
      </c>
      <c r="P220" s="53"/>
      <c r="Q220" s="53">
        <v>320625</v>
      </c>
      <c r="R220" s="53"/>
      <c r="S220" s="53">
        <v>0</v>
      </c>
      <c r="T220" s="53"/>
      <c r="U220" s="53">
        <v>430377</v>
      </c>
      <c r="V220" s="53"/>
      <c r="W220" s="53">
        <f t="shared" si="38"/>
        <v>751002</v>
      </c>
      <c r="Z220" s="35" t="s">
        <v>251</v>
      </c>
      <c r="AA220" s="53"/>
      <c r="AB220" s="35" t="s">
        <v>66</v>
      </c>
      <c r="AC220" s="51"/>
      <c r="AD220" s="53">
        <v>1593358</v>
      </c>
      <c r="AE220" s="53"/>
      <c r="AF220" s="53">
        <f>1394159-120687</f>
        <v>1273472</v>
      </c>
      <c r="AG220" s="53"/>
      <c r="AH220" s="53">
        <v>120687</v>
      </c>
      <c r="AI220" s="53"/>
      <c r="AJ220" s="45">
        <f t="shared" si="39"/>
        <v>199199</v>
      </c>
      <c r="AK220" s="45"/>
      <c r="AL220" s="53">
        <v>-23386</v>
      </c>
      <c r="AM220" s="45"/>
      <c r="AN220" s="53">
        <v>0</v>
      </c>
      <c r="AO220" s="53"/>
      <c r="AP220" s="53">
        <v>10000</v>
      </c>
      <c r="AQ220" s="53"/>
      <c r="AR220" s="53">
        <v>0</v>
      </c>
      <c r="AS220" s="53"/>
      <c r="AT220" s="45">
        <f t="shared" si="40"/>
        <v>165813</v>
      </c>
      <c r="AU220" s="45"/>
      <c r="AV220" s="53">
        <v>0</v>
      </c>
      <c r="AW220" s="53"/>
      <c r="AX220" s="53">
        <v>0</v>
      </c>
      <c r="AY220" s="53"/>
      <c r="AZ220" s="53">
        <f t="shared" si="41"/>
        <v>315061</v>
      </c>
      <c r="BA220" s="51"/>
      <c r="BB220" s="35" t="s">
        <v>251</v>
      </c>
      <c r="BD220" s="35" t="s">
        <v>66</v>
      </c>
      <c r="BE220" s="53"/>
      <c r="BF220" s="53">
        <v>0</v>
      </c>
      <c r="BG220" s="53"/>
      <c r="BH220" s="53">
        <v>0</v>
      </c>
      <c r="BI220" s="53"/>
      <c r="BJ220" s="53">
        <v>0</v>
      </c>
      <c r="BK220" s="53"/>
      <c r="BL220" s="53">
        <f>9684+16253</f>
        <v>25937</v>
      </c>
      <c r="BM220" s="53"/>
      <c r="BN220" s="53">
        <f t="shared" si="43"/>
        <v>25937</v>
      </c>
      <c r="BO220" s="54"/>
      <c r="BP220" s="55"/>
      <c r="BS220" s="55"/>
      <c r="BT220" s="55"/>
      <c r="BU220" s="84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</row>
    <row r="221" spans="1:95" s="35" customFormat="1" ht="12.75" customHeight="1">
      <c r="A221" s="35" t="s">
        <v>252</v>
      </c>
      <c r="B221" s="51"/>
      <c r="C221" s="35" t="s">
        <v>209</v>
      </c>
      <c r="D221" s="44"/>
      <c r="E221" s="53">
        <f t="shared" si="36"/>
        <v>5528223</v>
      </c>
      <c r="F221" s="53"/>
      <c r="G221" s="53">
        <v>21980998</v>
      </c>
      <c r="H221" s="53"/>
      <c r="I221" s="53">
        <v>27509221</v>
      </c>
      <c r="J221" s="53"/>
      <c r="K221" s="53">
        <f t="shared" si="37"/>
        <v>1284126</v>
      </c>
      <c r="L221" s="53"/>
      <c r="M221" s="53">
        <v>5851253</v>
      </c>
      <c r="N221" s="53"/>
      <c r="O221" s="53">
        <v>7135379</v>
      </c>
      <c r="P221" s="53"/>
      <c r="Q221" s="53">
        <v>15230998</v>
      </c>
      <c r="R221" s="53"/>
      <c r="S221" s="53">
        <v>0</v>
      </c>
      <c r="T221" s="53"/>
      <c r="U221" s="53">
        <v>5142844</v>
      </c>
      <c r="V221" s="53"/>
      <c r="W221" s="53">
        <f t="shared" si="38"/>
        <v>20373842</v>
      </c>
      <c r="X221" s="51"/>
      <c r="Y221" s="51"/>
      <c r="Z221" s="35" t="s">
        <v>252</v>
      </c>
      <c r="AA221" s="53"/>
      <c r="AB221" s="35" t="s">
        <v>209</v>
      </c>
      <c r="AC221" s="51"/>
      <c r="AD221" s="53">
        <v>4152267</v>
      </c>
      <c r="AE221" s="53"/>
      <c r="AF221" s="53">
        <f>4277589-945043</f>
        <v>3332546</v>
      </c>
      <c r="AG221" s="53"/>
      <c r="AH221" s="53">
        <v>945043</v>
      </c>
      <c r="AI221" s="53"/>
      <c r="AJ221" s="45">
        <f t="shared" si="39"/>
        <v>-125322</v>
      </c>
      <c r="AK221" s="45"/>
      <c r="AL221" s="53">
        <v>-255231</v>
      </c>
      <c r="AM221" s="45"/>
      <c r="AN221" s="53">
        <v>15075</v>
      </c>
      <c r="AO221" s="53"/>
      <c r="AP221" s="53">
        <v>0</v>
      </c>
      <c r="AQ221" s="53"/>
      <c r="AR221" s="53">
        <v>556028</v>
      </c>
      <c r="AS221" s="53"/>
      <c r="AT221" s="45">
        <f t="shared" si="40"/>
        <v>190550</v>
      </c>
      <c r="AU221" s="45"/>
      <c r="AV221" s="53">
        <v>0</v>
      </c>
      <c r="AW221" s="53"/>
      <c r="AX221" s="53">
        <v>0</v>
      </c>
      <c r="AY221" s="53"/>
      <c r="AZ221" s="53">
        <f t="shared" si="41"/>
        <v>4244097</v>
      </c>
      <c r="BA221" s="51"/>
      <c r="BB221" s="35" t="s">
        <v>252</v>
      </c>
      <c r="BD221" s="35" t="s">
        <v>209</v>
      </c>
      <c r="BE221" s="53"/>
      <c r="BF221" s="53">
        <f>5735000+115000</f>
        <v>5850000</v>
      </c>
      <c r="BG221" s="53"/>
      <c r="BH221" s="53">
        <v>0</v>
      </c>
      <c r="BI221" s="53"/>
      <c r="BJ221" s="53">
        <v>0</v>
      </c>
      <c r="BK221" s="53"/>
      <c r="BL221" s="53">
        <f>116253+56684</f>
        <v>172937</v>
      </c>
      <c r="BM221" s="53"/>
      <c r="BN221" s="53">
        <f t="shared" si="43"/>
        <v>6022937</v>
      </c>
      <c r="BO221" s="54"/>
      <c r="BS221" s="55"/>
      <c r="BT221" s="55"/>
      <c r="BU221" s="84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</row>
    <row r="222" spans="1:95" s="126" customFormat="1" ht="12.75" hidden="1" customHeight="1">
      <c r="A222" s="126" t="s">
        <v>253</v>
      </c>
      <c r="B222" s="124"/>
      <c r="C222" s="126" t="s">
        <v>13</v>
      </c>
      <c r="D222" s="121"/>
      <c r="E222" s="53">
        <f t="shared" si="36"/>
        <v>0</v>
      </c>
      <c r="F222" s="53"/>
      <c r="G222" s="53">
        <v>0</v>
      </c>
      <c r="H222" s="53"/>
      <c r="I222" s="53">
        <v>0</v>
      </c>
      <c r="J222" s="53"/>
      <c r="K222" s="53">
        <f t="shared" si="37"/>
        <v>0</v>
      </c>
      <c r="L222" s="53"/>
      <c r="M222" s="53">
        <v>0</v>
      </c>
      <c r="N222" s="53"/>
      <c r="O222" s="53">
        <v>0</v>
      </c>
      <c r="P222" s="53"/>
      <c r="Q222" s="53">
        <v>0</v>
      </c>
      <c r="R222" s="53"/>
      <c r="S222" s="53">
        <v>0</v>
      </c>
      <c r="T222" s="53"/>
      <c r="U222" s="53">
        <v>0</v>
      </c>
      <c r="V222" s="53"/>
      <c r="W222" s="53">
        <f t="shared" si="38"/>
        <v>0</v>
      </c>
      <c r="X222" s="124"/>
      <c r="Y222" s="124"/>
      <c r="Z222" s="126" t="s">
        <v>253</v>
      </c>
      <c r="AA222" s="137"/>
      <c r="AB222" s="126" t="s">
        <v>13</v>
      </c>
      <c r="AC222" s="124"/>
      <c r="AD222" s="53">
        <v>0</v>
      </c>
      <c r="AE222" s="53"/>
      <c r="AF222" s="53">
        <v>0</v>
      </c>
      <c r="AG222" s="53"/>
      <c r="AH222" s="53">
        <v>0</v>
      </c>
      <c r="AI222" s="53"/>
      <c r="AJ222" s="45">
        <f t="shared" si="39"/>
        <v>0</v>
      </c>
      <c r="AK222" s="45"/>
      <c r="AL222" s="53">
        <v>0</v>
      </c>
      <c r="AM222" s="45"/>
      <c r="AN222" s="53">
        <v>0</v>
      </c>
      <c r="AO222" s="53"/>
      <c r="AP222" s="53">
        <v>0</v>
      </c>
      <c r="AQ222" s="53"/>
      <c r="AR222" s="53">
        <v>0</v>
      </c>
      <c r="AS222" s="53"/>
      <c r="AT222" s="45">
        <f t="shared" si="40"/>
        <v>0</v>
      </c>
      <c r="AU222" s="45"/>
      <c r="AV222" s="53">
        <v>0</v>
      </c>
      <c r="AW222" s="53"/>
      <c r="AX222" s="53">
        <v>0</v>
      </c>
      <c r="AY222" s="53"/>
      <c r="AZ222" s="53">
        <f t="shared" si="41"/>
        <v>0</v>
      </c>
      <c r="BA222" s="124"/>
      <c r="BB222" s="126" t="s">
        <v>253</v>
      </c>
      <c r="BD222" s="126" t="s">
        <v>13</v>
      </c>
      <c r="BE222" s="137"/>
      <c r="BF222" s="53">
        <v>0</v>
      </c>
      <c r="BG222" s="53"/>
      <c r="BH222" s="53">
        <v>0</v>
      </c>
      <c r="BI222" s="53"/>
      <c r="BJ222" s="53">
        <v>0</v>
      </c>
      <c r="BK222" s="53"/>
      <c r="BL222" s="53">
        <v>0</v>
      </c>
      <c r="BM222" s="137"/>
      <c r="BN222" s="137">
        <f t="shared" si="43"/>
        <v>0</v>
      </c>
      <c r="BO222" s="139"/>
      <c r="BS222" s="140"/>
      <c r="BT222" s="140"/>
      <c r="BU222" s="141"/>
      <c r="BV222" s="140"/>
      <c r="BW222" s="140"/>
      <c r="BX222" s="140"/>
      <c r="BY222" s="140"/>
      <c r="BZ222" s="140"/>
      <c r="CA222" s="140"/>
      <c r="CB222" s="140"/>
      <c r="CC222" s="140"/>
      <c r="CD222" s="140"/>
      <c r="CE222" s="140"/>
      <c r="CF222" s="140"/>
      <c r="CG222" s="140"/>
      <c r="CH222" s="140"/>
      <c r="CI222" s="140"/>
      <c r="CJ222" s="140"/>
      <c r="CK222" s="140"/>
      <c r="CL222" s="140"/>
      <c r="CM222" s="140"/>
      <c r="CN222" s="140"/>
      <c r="CO222" s="140"/>
      <c r="CP222" s="140"/>
      <c r="CQ222" s="140"/>
    </row>
    <row r="223" spans="1:95" s="35" customFormat="1" ht="12.75" hidden="1" customHeight="1">
      <c r="A223" s="35" t="s">
        <v>254</v>
      </c>
      <c r="B223" s="51"/>
      <c r="C223" s="35" t="s">
        <v>89</v>
      </c>
      <c r="D223" s="44"/>
      <c r="E223" s="53">
        <f t="shared" si="36"/>
        <v>0</v>
      </c>
      <c r="F223" s="53"/>
      <c r="G223" s="53">
        <v>0</v>
      </c>
      <c r="H223" s="53"/>
      <c r="I223" s="53">
        <v>0</v>
      </c>
      <c r="J223" s="53"/>
      <c r="K223" s="53">
        <f t="shared" si="37"/>
        <v>0</v>
      </c>
      <c r="L223" s="53"/>
      <c r="M223" s="53">
        <v>0</v>
      </c>
      <c r="N223" s="53"/>
      <c r="O223" s="53">
        <v>0</v>
      </c>
      <c r="P223" s="53"/>
      <c r="Q223" s="53">
        <v>0</v>
      </c>
      <c r="R223" s="53"/>
      <c r="S223" s="53">
        <v>0</v>
      </c>
      <c r="T223" s="53"/>
      <c r="U223" s="53">
        <v>0</v>
      </c>
      <c r="V223" s="53"/>
      <c r="W223" s="53">
        <f t="shared" si="38"/>
        <v>0</v>
      </c>
      <c r="X223" s="51"/>
      <c r="Y223" s="51"/>
      <c r="Z223" s="35" t="s">
        <v>254</v>
      </c>
      <c r="AA223" s="53"/>
      <c r="AB223" s="35" t="s">
        <v>89</v>
      </c>
      <c r="AC223" s="51"/>
      <c r="AD223" s="53">
        <v>0</v>
      </c>
      <c r="AE223" s="53"/>
      <c r="AF223" s="53">
        <v>0</v>
      </c>
      <c r="AG223" s="53"/>
      <c r="AH223" s="53">
        <v>0</v>
      </c>
      <c r="AI223" s="53"/>
      <c r="AJ223" s="45">
        <f t="shared" si="39"/>
        <v>0</v>
      </c>
      <c r="AK223" s="45"/>
      <c r="AL223" s="53">
        <v>0</v>
      </c>
      <c r="AM223" s="45"/>
      <c r="AN223" s="53">
        <v>0</v>
      </c>
      <c r="AO223" s="53"/>
      <c r="AP223" s="53">
        <v>0</v>
      </c>
      <c r="AQ223" s="53"/>
      <c r="AR223" s="53">
        <v>0</v>
      </c>
      <c r="AS223" s="53"/>
      <c r="AT223" s="45">
        <f t="shared" si="40"/>
        <v>0</v>
      </c>
      <c r="AU223" s="45"/>
      <c r="AV223" s="53">
        <v>0</v>
      </c>
      <c r="AW223" s="53"/>
      <c r="AX223" s="53">
        <v>0</v>
      </c>
      <c r="AY223" s="53"/>
      <c r="AZ223" s="53">
        <f t="shared" si="41"/>
        <v>0</v>
      </c>
      <c r="BA223" s="51"/>
      <c r="BB223" s="35" t="s">
        <v>254</v>
      </c>
      <c r="BD223" s="35" t="s">
        <v>89</v>
      </c>
      <c r="BE223" s="53"/>
      <c r="BF223" s="53">
        <v>0</v>
      </c>
      <c r="BG223" s="53"/>
      <c r="BH223" s="53">
        <v>0</v>
      </c>
      <c r="BI223" s="53"/>
      <c r="BJ223" s="53">
        <v>0</v>
      </c>
      <c r="BK223" s="53"/>
      <c r="BL223" s="53">
        <v>0</v>
      </c>
      <c r="BM223" s="53"/>
      <c r="BN223" s="53">
        <f t="shared" si="43"/>
        <v>0</v>
      </c>
      <c r="BO223" s="54"/>
      <c r="BS223" s="55"/>
      <c r="BT223" s="55"/>
      <c r="BU223" s="84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</row>
    <row r="224" spans="1:95" s="35" customFormat="1" ht="12.75" customHeight="1">
      <c r="A224" s="35" t="s">
        <v>159</v>
      </c>
      <c r="C224" s="35" t="s">
        <v>66</v>
      </c>
      <c r="D224" s="44"/>
      <c r="E224" s="53">
        <f t="shared" si="36"/>
        <v>430635</v>
      </c>
      <c r="F224" s="53"/>
      <c r="G224" s="53">
        <v>4409433</v>
      </c>
      <c r="H224" s="53"/>
      <c r="I224" s="53">
        <v>4840068</v>
      </c>
      <c r="J224" s="53"/>
      <c r="K224" s="53">
        <f t="shared" si="37"/>
        <v>152271</v>
      </c>
      <c r="L224" s="53"/>
      <c r="M224" s="53">
        <v>1348158</v>
      </c>
      <c r="N224" s="53"/>
      <c r="O224" s="53">
        <v>1500429</v>
      </c>
      <c r="P224" s="53"/>
      <c r="Q224" s="53">
        <v>3025872</v>
      </c>
      <c r="R224" s="53"/>
      <c r="S224" s="53">
        <v>0</v>
      </c>
      <c r="T224" s="53"/>
      <c r="U224" s="53">
        <v>313767</v>
      </c>
      <c r="V224" s="53"/>
      <c r="W224" s="53">
        <f t="shared" si="38"/>
        <v>3339639</v>
      </c>
      <c r="X224" s="51"/>
      <c r="Y224" s="51"/>
      <c r="Z224" s="35" t="s">
        <v>159</v>
      </c>
      <c r="AA224" s="53"/>
      <c r="AB224" s="35" t="s">
        <v>66</v>
      </c>
      <c r="AD224" s="53">
        <v>461914</v>
      </c>
      <c r="AE224" s="53"/>
      <c r="AF224" s="53">
        <f>572074-138926</f>
        <v>433148</v>
      </c>
      <c r="AG224" s="53"/>
      <c r="AH224" s="53">
        <v>138926</v>
      </c>
      <c r="AI224" s="53"/>
      <c r="AJ224" s="45">
        <f t="shared" si="39"/>
        <v>-110160</v>
      </c>
      <c r="AK224" s="45"/>
      <c r="AL224" s="53">
        <v>-1021</v>
      </c>
      <c r="AM224" s="45"/>
      <c r="AN224" s="53">
        <v>3800</v>
      </c>
      <c r="AO224" s="53"/>
      <c r="AP224" s="53">
        <v>0</v>
      </c>
      <c r="AQ224" s="53"/>
      <c r="AR224" s="53">
        <v>0</v>
      </c>
      <c r="AS224" s="53"/>
      <c r="AT224" s="45">
        <f t="shared" si="40"/>
        <v>-107381</v>
      </c>
      <c r="AU224" s="45"/>
      <c r="AV224" s="53">
        <v>0</v>
      </c>
      <c r="AW224" s="53"/>
      <c r="AX224" s="53">
        <v>0</v>
      </c>
      <c r="AY224" s="53"/>
      <c r="AZ224" s="53">
        <f t="shared" si="41"/>
        <v>278364</v>
      </c>
      <c r="BA224" s="51"/>
      <c r="BB224" s="35" t="s">
        <v>159</v>
      </c>
      <c r="BD224" s="35" t="s">
        <v>66</v>
      </c>
      <c r="BE224" s="53"/>
      <c r="BF224" s="53">
        <f>85750+35000</f>
        <v>120750</v>
      </c>
      <c r="BG224" s="53"/>
      <c r="BH224" s="53">
        <v>0</v>
      </c>
      <c r="BI224" s="53"/>
      <c r="BJ224" s="53">
        <v>1246311</v>
      </c>
      <c r="BK224" s="53"/>
      <c r="BL224" s="53">
        <f>16097+7697</f>
        <v>23794</v>
      </c>
      <c r="BM224" s="53"/>
      <c r="BN224" s="53">
        <f>SUM(BF224:BL224)</f>
        <v>1390855</v>
      </c>
      <c r="BO224" s="54"/>
      <c r="BS224" s="55"/>
      <c r="BT224" s="55"/>
      <c r="BU224" s="84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</row>
    <row r="225" spans="1:95" s="126" customFormat="1" ht="12.75" hidden="1" customHeight="1">
      <c r="A225" s="126" t="s">
        <v>255</v>
      </c>
      <c r="B225" s="124"/>
      <c r="C225" s="126" t="s">
        <v>27</v>
      </c>
      <c r="D225" s="121"/>
      <c r="E225" s="53">
        <f t="shared" si="36"/>
        <v>0</v>
      </c>
      <c r="F225" s="53"/>
      <c r="G225" s="53">
        <v>0</v>
      </c>
      <c r="H225" s="53"/>
      <c r="I225" s="53">
        <v>0</v>
      </c>
      <c r="J225" s="53"/>
      <c r="K225" s="53">
        <f t="shared" si="37"/>
        <v>0</v>
      </c>
      <c r="L225" s="53"/>
      <c r="M225" s="53">
        <v>0</v>
      </c>
      <c r="N225" s="53"/>
      <c r="O225" s="53">
        <v>0</v>
      </c>
      <c r="P225" s="53"/>
      <c r="Q225" s="53">
        <v>0</v>
      </c>
      <c r="R225" s="53"/>
      <c r="S225" s="53">
        <v>0</v>
      </c>
      <c r="T225" s="53"/>
      <c r="U225" s="53">
        <v>0</v>
      </c>
      <c r="V225" s="53"/>
      <c r="W225" s="53">
        <f t="shared" si="38"/>
        <v>0</v>
      </c>
      <c r="X225" s="124"/>
      <c r="Y225" s="124"/>
      <c r="Z225" s="126" t="s">
        <v>255</v>
      </c>
      <c r="AA225" s="137"/>
      <c r="AB225" s="126" t="s">
        <v>27</v>
      </c>
      <c r="AC225" s="124"/>
      <c r="AD225" s="53">
        <v>0</v>
      </c>
      <c r="AE225" s="53"/>
      <c r="AF225" s="53">
        <v>0</v>
      </c>
      <c r="AG225" s="53"/>
      <c r="AH225" s="53">
        <v>0</v>
      </c>
      <c r="AI225" s="53"/>
      <c r="AJ225" s="45">
        <f t="shared" si="39"/>
        <v>0</v>
      </c>
      <c r="AK225" s="45"/>
      <c r="AL225" s="53">
        <v>0</v>
      </c>
      <c r="AM225" s="45"/>
      <c r="AN225" s="53">
        <v>0</v>
      </c>
      <c r="AO225" s="53"/>
      <c r="AP225" s="53">
        <v>0</v>
      </c>
      <c r="AQ225" s="53"/>
      <c r="AR225" s="53">
        <v>0</v>
      </c>
      <c r="AS225" s="53"/>
      <c r="AT225" s="45">
        <f t="shared" si="40"/>
        <v>0</v>
      </c>
      <c r="AU225" s="45"/>
      <c r="AV225" s="53">
        <v>0</v>
      </c>
      <c r="AW225" s="53"/>
      <c r="AX225" s="53">
        <v>0</v>
      </c>
      <c r="AY225" s="53"/>
      <c r="AZ225" s="53">
        <f t="shared" si="41"/>
        <v>0</v>
      </c>
      <c r="BA225" s="124"/>
      <c r="BB225" s="126" t="s">
        <v>255</v>
      </c>
      <c r="BD225" s="126" t="s">
        <v>27</v>
      </c>
      <c r="BE225" s="137"/>
      <c r="BF225" s="53">
        <v>0</v>
      </c>
      <c r="BG225" s="53"/>
      <c r="BH225" s="53">
        <v>0</v>
      </c>
      <c r="BI225" s="53"/>
      <c r="BJ225" s="53">
        <v>0</v>
      </c>
      <c r="BK225" s="53"/>
      <c r="BL225" s="53">
        <v>0</v>
      </c>
      <c r="BM225" s="137"/>
      <c r="BN225" s="137">
        <f t="shared" si="43"/>
        <v>0</v>
      </c>
      <c r="BO225" s="139"/>
      <c r="BS225" s="140"/>
      <c r="BT225" s="140"/>
      <c r="BU225" s="141"/>
      <c r="BV225" s="140"/>
      <c r="BW225" s="140"/>
      <c r="BX225" s="140"/>
      <c r="BY225" s="140"/>
      <c r="BZ225" s="140"/>
      <c r="CA225" s="140"/>
      <c r="CB225" s="140"/>
      <c r="CC225" s="140"/>
      <c r="CD225" s="140"/>
      <c r="CE225" s="140"/>
      <c r="CF225" s="140"/>
      <c r="CG225" s="140"/>
      <c r="CH225" s="140"/>
      <c r="CI225" s="140"/>
      <c r="CJ225" s="140"/>
      <c r="CK225" s="140"/>
      <c r="CL225" s="140"/>
      <c r="CM225" s="140"/>
      <c r="CN225" s="140"/>
      <c r="CO225" s="140"/>
      <c r="CP225" s="140"/>
      <c r="CQ225" s="140"/>
    </row>
    <row r="226" spans="1:95" s="35" customFormat="1" ht="12.75" customHeight="1">
      <c r="A226" s="35" t="s">
        <v>256</v>
      </c>
      <c r="C226" s="35" t="s">
        <v>43</v>
      </c>
      <c r="D226" s="44"/>
      <c r="E226" s="53">
        <f t="shared" si="36"/>
        <v>252031</v>
      </c>
      <c r="F226" s="53"/>
      <c r="G226" s="53">
        <v>6978577</v>
      </c>
      <c r="H226" s="53"/>
      <c r="I226" s="53">
        <v>7230608</v>
      </c>
      <c r="J226" s="53"/>
      <c r="K226" s="53">
        <f t="shared" si="37"/>
        <v>112186</v>
      </c>
      <c r="L226" s="53"/>
      <c r="M226" s="53">
        <v>518841</v>
      </c>
      <c r="N226" s="53"/>
      <c r="O226" s="53">
        <v>631027</v>
      </c>
      <c r="P226" s="53"/>
      <c r="Q226" s="53">
        <v>6360443</v>
      </c>
      <c r="R226" s="53"/>
      <c r="S226" s="53">
        <v>0</v>
      </c>
      <c r="T226" s="53"/>
      <c r="U226" s="53">
        <v>239138</v>
      </c>
      <c r="V226" s="53"/>
      <c r="W226" s="53">
        <f t="shared" si="38"/>
        <v>6599581</v>
      </c>
      <c r="X226" s="51"/>
      <c r="Y226" s="51"/>
      <c r="Z226" s="35" t="s">
        <v>256</v>
      </c>
      <c r="AA226" s="53"/>
      <c r="AB226" s="35" t="s">
        <v>43</v>
      </c>
      <c r="AD226" s="53">
        <v>378310</v>
      </c>
      <c r="AE226" s="53"/>
      <c r="AF226" s="53">
        <f>379486-237451</f>
        <v>142035</v>
      </c>
      <c r="AG226" s="53"/>
      <c r="AH226" s="53">
        <v>237451</v>
      </c>
      <c r="AI226" s="53"/>
      <c r="AJ226" s="45">
        <f t="shared" si="39"/>
        <v>-1176</v>
      </c>
      <c r="AK226" s="45"/>
      <c r="AL226" s="53">
        <v>-21882</v>
      </c>
      <c r="AM226" s="45"/>
      <c r="AN226" s="53">
        <v>0</v>
      </c>
      <c r="AO226" s="53"/>
      <c r="AP226" s="53">
        <v>0</v>
      </c>
      <c r="AQ226" s="53"/>
      <c r="AR226" s="53">
        <v>847114</v>
      </c>
      <c r="AS226" s="53"/>
      <c r="AT226" s="45">
        <f t="shared" si="40"/>
        <v>824056</v>
      </c>
      <c r="AU226" s="45"/>
      <c r="AV226" s="53">
        <v>0</v>
      </c>
      <c r="AW226" s="53"/>
      <c r="AX226" s="53">
        <v>0</v>
      </c>
      <c r="AY226" s="53"/>
      <c r="AZ226" s="53">
        <f t="shared" si="41"/>
        <v>139845</v>
      </c>
      <c r="BA226" s="51"/>
      <c r="BB226" s="35" t="s">
        <v>256</v>
      </c>
      <c r="BD226" s="35" t="s">
        <v>43</v>
      </c>
      <c r="BE226" s="53"/>
      <c r="BF226" s="53">
        <v>0</v>
      </c>
      <c r="BG226" s="53"/>
      <c r="BH226" s="53">
        <v>0</v>
      </c>
      <c r="BI226" s="53"/>
      <c r="BJ226" s="53">
        <f>517360+100774</f>
        <v>618134</v>
      </c>
      <c r="BK226" s="53"/>
      <c r="BL226" s="53">
        <f>1481+1212</f>
        <v>2693</v>
      </c>
      <c r="BM226" s="53"/>
      <c r="BN226" s="53">
        <f>SUM(BF226:BL226)</f>
        <v>620827</v>
      </c>
      <c r="BO226" s="54"/>
      <c r="BS226" s="55"/>
      <c r="BT226" s="55"/>
      <c r="BU226" s="84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</row>
    <row r="227" spans="1:95" s="35" customFormat="1">
      <c r="A227" s="35" t="s">
        <v>257</v>
      </c>
      <c r="B227" s="51"/>
      <c r="C227" s="35" t="s">
        <v>258</v>
      </c>
      <c r="D227" s="44"/>
      <c r="E227" s="53">
        <f t="shared" si="36"/>
        <v>330605</v>
      </c>
      <c r="F227" s="53"/>
      <c r="G227" s="53">
        <f>612422+10839690</f>
        <v>11452112</v>
      </c>
      <c r="H227" s="53"/>
      <c r="I227" s="53">
        <v>11782717</v>
      </c>
      <c r="J227" s="53"/>
      <c r="K227" s="53">
        <f t="shared" si="37"/>
        <v>166173</v>
      </c>
      <c r="L227" s="53"/>
      <c r="M227" s="53">
        <f>1259048+600000+11915</f>
        <v>1870963</v>
      </c>
      <c r="N227" s="53"/>
      <c r="O227" s="53">
        <v>2037136</v>
      </c>
      <c r="P227" s="53"/>
      <c r="Q227" s="53">
        <v>9518064</v>
      </c>
      <c r="R227" s="53"/>
      <c r="S227" s="53">
        <v>0</v>
      </c>
      <c r="T227" s="53"/>
      <c r="U227" s="53">
        <v>227517</v>
      </c>
      <c r="V227" s="53"/>
      <c r="W227" s="53">
        <f t="shared" si="38"/>
        <v>9745581</v>
      </c>
      <c r="Z227" s="35" t="s">
        <v>257</v>
      </c>
      <c r="AA227" s="53"/>
      <c r="AB227" s="35" t="s">
        <v>258</v>
      </c>
      <c r="AC227" s="51"/>
      <c r="AD227" s="53">
        <v>1684918</v>
      </c>
      <c r="AE227" s="53"/>
      <c r="AF227" s="53">
        <f>1282971-163213</f>
        <v>1119758</v>
      </c>
      <c r="AG227" s="53"/>
      <c r="AH227" s="53">
        <v>163213</v>
      </c>
      <c r="AI227" s="53"/>
      <c r="AJ227" s="45">
        <f t="shared" si="39"/>
        <v>401947</v>
      </c>
      <c r="AK227" s="45"/>
      <c r="AL227" s="53">
        <v>0</v>
      </c>
      <c r="AM227" s="45"/>
      <c r="AN227" s="53">
        <v>0</v>
      </c>
      <c r="AO227" s="53"/>
      <c r="AP227" s="53">
        <v>361621</v>
      </c>
      <c r="AQ227" s="53"/>
      <c r="AR227" s="53">
        <v>400000</v>
      </c>
      <c r="AS227" s="53"/>
      <c r="AT227" s="45">
        <f t="shared" si="40"/>
        <v>440326</v>
      </c>
      <c r="AU227" s="45"/>
      <c r="AV227" s="53">
        <v>0</v>
      </c>
      <c r="AW227" s="53"/>
      <c r="AX227" s="53">
        <v>0</v>
      </c>
      <c r="AY227" s="53"/>
      <c r="AZ227" s="53">
        <f t="shared" si="41"/>
        <v>164432</v>
      </c>
      <c r="BA227" s="51"/>
      <c r="BB227" s="35" t="s">
        <v>257</v>
      </c>
      <c r="BD227" s="35" t="s">
        <v>258</v>
      </c>
      <c r="BE227" s="53"/>
      <c r="BF227" s="53">
        <v>0</v>
      </c>
      <c r="BG227" s="53"/>
      <c r="BH227" s="53">
        <v>0</v>
      </c>
      <c r="BI227" s="53"/>
      <c r="BJ227" s="53">
        <f>1259048+75000</f>
        <v>1334048</v>
      </c>
      <c r="BK227" s="53"/>
      <c r="BL227" s="53">
        <f>600000+11915+23378</f>
        <v>635293</v>
      </c>
      <c r="BM227" s="53"/>
      <c r="BN227" s="53">
        <f>SUM(BF227:BL227)</f>
        <v>1969341</v>
      </c>
      <c r="BO227" s="54"/>
      <c r="BS227" s="55"/>
      <c r="BT227" s="55"/>
      <c r="BU227" s="84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</row>
    <row r="228" spans="1:95" s="35" customFormat="1">
      <c r="A228" s="35" t="s">
        <v>259</v>
      </c>
      <c r="C228" s="35" t="s">
        <v>260</v>
      </c>
      <c r="D228" s="44"/>
      <c r="E228" s="53">
        <f t="shared" si="36"/>
        <v>986142</v>
      </c>
      <c r="F228" s="53"/>
      <c r="G228" s="53">
        <v>10071879</v>
      </c>
      <c r="H228" s="53"/>
      <c r="I228" s="53">
        <v>11058021</v>
      </c>
      <c r="J228" s="53"/>
      <c r="K228" s="53">
        <f t="shared" si="37"/>
        <v>864459</v>
      </c>
      <c r="L228" s="53"/>
      <c r="M228" s="53">
        <v>7221870</v>
      </c>
      <c r="N228" s="53"/>
      <c r="O228" s="53">
        <v>8086329</v>
      </c>
      <c r="P228" s="53"/>
      <c r="Q228" s="53">
        <v>2222765</v>
      </c>
      <c r="R228" s="53"/>
      <c r="S228" s="53">
        <v>0</v>
      </c>
      <c r="T228" s="53"/>
      <c r="U228" s="53">
        <v>48927</v>
      </c>
      <c r="V228" s="53"/>
      <c r="W228" s="53">
        <f t="shared" si="38"/>
        <v>2271692</v>
      </c>
      <c r="X228" s="51"/>
      <c r="Y228" s="51"/>
      <c r="Z228" s="35" t="s">
        <v>259</v>
      </c>
      <c r="AA228" s="53"/>
      <c r="AB228" s="35" t="s">
        <v>260</v>
      </c>
      <c r="AD228" s="53">
        <v>1642538</v>
      </c>
      <c r="AE228" s="53"/>
      <c r="AF228" s="53">
        <f>1313816-160848</f>
        <v>1152968</v>
      </c>
      <c r="AG228" s="53"/>
      <c r="AH228" s="53">
        <v>160848</v>
      </c>
      <c r="AI228" s="53"/>
      <c r="AJ228" s="45">
        <f t="shared" si="39"/>
        <v>328722</v>
      </c>
      <c r="AK228" s="45"/>
      <c r="AL228" s="53">
        <v>-150158</v>
      </c>
      <c r="AM228" s="45"/>
      <c r="AN228" s="53">
        <v>0</v>
      </c>
      <c r="AO228" s="53"/>
      <c r="AP228" s="53">
        <v>0</v>
      </c>
      <c r="AQ228" s="53"/>
      <c r="AR228" s="53">
        <v>138976</v>
      </c>
      <c r="AS228" s="53"/>
      <c r="AT228" s="45">
        <f t="shared" si="40"/>
        <v>317540</v>
      </c>
      <c r="AU228" s="45"/>
      <c r="AV228" s="53">
        <v>0</v>
      </c>
      <c r="AW228" s="53"/>
      <c r="AX228" s="53">
        <v>0</v>
      </c>
      <c r="AY228" s="53"/>
      <c r="AZ228" s="53">
        <f t="shared" si="41"/>
        <v>121683</v>
      </c>
      <c r="BA228" s="51"/>
      <c r="BB228" s="35" t="s">
        <v>259</v>
      </c>
      <c r="BD228" s="35" t="s">
        <v>260</v>
      </c>
      <c r="BE228" s="53"/>
      <c r="BF228" s="53">
        <f>525000+129000</f>
        <v>654000</v>
      </c>
      <c r="BG228" s="53"/>
      <c r="BH228" s="53">
        <v>0</v>
      </c>
      <c r="BI228" s="53"/>
      <c r="BJ228" s="53">
        <f>6665303+279811</f>
        <v>6945114</v>
      </c>
      <c r="BK228" s="53"/>
      <c r="BL228" s="53">
        <f>31567+23355</f>
        <v>54922</v>
      </c>
      <c r="BM228" s="53"/>
      <c r="BN228" s="53">
        <f t="shared" si="43"/>
        <v>7654036</v>
      </c>
      <c r="BO228" s="54"/>
      <c r="BS228" s="55"/>
      <c r="BT228" s="55"/>
      <c r="BU228" s="84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</row>
    <row r="229" spans="1:95" s="35" customFormat="1">
      <c r="A229" s="35" t="s">
        <v>261</v>
      </c>
      <c r="B229" s="51"/>
      <c r="C229" s="35" t="s">
        <v>66</v>
      </c>
      <c r="D229" s="44"/>
      <c r="E229" s="53">
        <f t="shared" si="36"/>
        <v>1284875</v>
      </c>
      <c r="F229" s="53"/>
      <c r="G229" s="53">
        <v>7607169</v>
      </c>
      <c r="H229" s="53"/>
      <c r="I229" s="53">
        <v>8892044</v>
      </c>
      <c r="J229" s="53"/>
      <c r="K229" s="53">
        <f t="shared" si="37"/>
        <v>177245</v>
      </c>
      <c r="L229" s="53"/>
      <c r="M229" s="53">
        <v>21112</v>
      </c>
      <c r="N229" s="53"/>
      <c r="O229" s="53">
        <v>198357</v>
      </c>
      <c r="P229" s="53"/>
      <c r="Q229" s="53">
        <v>7521800</v>
      </c>
      <c r="R229" s="53"/>
      <c r="S229" s="53">
        <v>0</v>
      </c>
      <c r="T229" s="53"/>
      <c r="U229" s="53">
        <v>11171887</v>
      </c>
      <c r="V229" s="53"/>
      <c r="W229" s="53">
        <f t="shared" si="38"/>
        <v>18693687</v>
      </c>
      <c r="X229" s="51"/>
      <c r="Y229" s="51"/>
      <c r="Z229" s="35" t="s">
        <v>261</v>
      </c>
      <c r="AA229" s="53"/>
      <c r="AB229" s="35" t="s">
        <v>66</v>
      </c>
      <c r="AC229" s="51"/>
      <c r="AD229" s="53">
        <v>2142044</v>
      </c>
      <c r="AE229" s="53"/>
      <c r="AF229" s="53">
        <f>2530367-215411</f>
        <v>2314956</v>
      </c>
      <c r="AG229" s="53"/>
      <c r="AH229" s="53">
        <v>215411</v>
      </c>
      <c r="AI229" s="53"/>
      <c r="AJ229" s="45">
        <f t="shared" si="39"/>
        <v>-388323</v>
      </c>
      <c r="AK229" s="45"/>
      <c r="AL229" s="53">
        <v>173925</v>
      </c>
      <c r="AM229" s="45"/>
      <c r="AN229" s="53">
        <v>0</v>
      </c>
      <c r="AO229" s="53"/>
      <c r="AP229" s="53">
        <v>0</v>
      </c>
      <c r="AQ229" s="53"/>
      <c r="AR229" s="53">
        <v>197048</v>
      </c>
      <c r="AS229" s="53"/>
      <c r="AT229" s="45">
        <f t="shared" si="40"/>
        <v>-17350</v>
      </c>
      <c r="AU229" s="45"/>
      <c r="AV229" s="53">
        <v>0</v>
      </c>
      <c r="AW229" s="53"/>
      <c r="AX229" s="53">
        <v>0</v>
      </c>
      <c r="AY229" s="53"/>
      <c r="AZ229" s="53">
        <f t="shared" si="41"/>
        <v>1107630</v>
      </c>
      <c r="BA229" s="51"/>
      <c r="BB229" s="35" t="s">
        <v>261</v>
      </c>
      <c r="BD229" s="35" t="s">
        <v>66</v>
      </c>
      <c r="BE229" s="53"/>
      <c r="BF229" s="53">
        <v>0</v>
      </c>
      <c r="BG229" s="53"/>
      <c r="BH229" s="53">
        <v>0</v>
      </c>
      <c r="BI229" s="53"/>
      <c r="BJ229" s="53">
        <v>0</v>
      </c>
      <c r="BK229" s="53"/>
      <c r="BL229" s="53">
        <f>21112+34540</f>
        <v>55652</v>
      </c>
      <c r="BM229" s="53"/>
      <c r="BN229" s="53">
        <f t="shared" si="43"/>
        <v>55652</v>
      </c>
      <c r="BO229" s="54"/>
      <c r="BS229" s="55"/>
      <c r="BT229" s="55"/>
      <c r="BU229" s="84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</row>
    <row r="230" spans="1:95" s="35" customFormat="1">
      <c r="A230" s="35" t="s">
        <v>262</v>
      </c>
      <c r="C230" s="35" t="s">
        <v>132</v>
      </c>
      <c r="D230" s="44"/>
      <c r="E230" s="53">
        <f t="shared" ref="E230:E231" si="44">I230-G230</f>
        <v>513171</v>
      </c>
      <c r="F230" s="53"/>
      <c r="G230" s="53">
        <v>4287832</v>
      </c>
      <c r="H230" s="53"/>
      <c r="I230" s="53">
        <v>4801003</v>
      </c>
      <c r="J230" s="53"/>
      <c r="K230" s="53">
        <f t="shared" ref="K230:K231" si="45">O230-M230</f>
        <v>1282695</v>
      </c>
      <c r="L230" s="53"/>
      <c r="M230" s="53">
        <v>4771143</v>
      </c>
      <c r="N230" s="53"/>
      <c r="O230" s="53">
        <v>6053838</v>
      </c>
      <c r="P230" s="53"/>
      <c r="Q230" s="53">
        <v>-524564</v>
      </c>
      <c r="R230" s="53"/>
      <c r="S230" s="53">
        <v>0</v>
      </c>
      <c r="T230" s="53"/>
      <c r="U230" s="53">
        <v>-728271</v>
      </c>
      <c r="V230" s="53"/>
      <c r="W230" s="53">
        <f t="shared" ref="W230:W231" si="46">SUM(Q230:U230)</f>
        <v>-1252835</v>
      </c>
      <c r="X230" s="51"/>
      <c r="Y230" s="65"/>
      <c r="Z230" s="35" t="s">
        <v>262</v>
      </c>
      <c r="AA230" s="53"/>
      <c r="AB230" s="35" t="s">
        <v>132</v>
      </c>
      <c r="AD230" s="53">
        <v>1760310</v>
      </c>
      <c r="AE230" s="53"/>
      <c r="AF230" s="53">
        <v>1327353</v>
      </c>
      <c r="AG230" s="53"/>
      <c r="AH230" s="53">
        <v>0</v>
      </c>
      <c r="AI230" s="53"/>
      <c r="AJ230" s="45">
        <f t="shared" ref="AJ230:AJ231" si="47">+AD230-AF230-AH230</f>
        <v>432957</v>
      </c>
      <c r="AK230" s="45"/>
      <c r="AL230" s="53">
        <v>-166486</v>
      </c>
      <c r="AM230" s="45"/>
      <c r="AN230" s="53">
        <v>18550</v>
      </c>
      <c r="AO230" s="53"/>
      <c r="AP230" s="53">
        <v>0</v>
      </c>
      <c r="AQ230" s="53"/>
      <c r="AR230" s="53">
        <v>0</v>
      </c>
      <c r="AS230" s="53"/>
      <c r="AT230" s="45">
        <f t="shared" ref="AT230:AT231" si="48">+AJ230+AL230+AN230-AP230+AR230</f>
        <v>285021</v>
      </c>
      <c r="AU230" s="45"/>
      <c r="AV230" s="53">
        <v>0</v>
      </c>
      <c r="AW230" s="53"/>
      <c r="AX230" s="53">
        <v>0</v>
      </c>
      <c r="AY230" s="53"/>
      <c r="AZ230" s="53">
        <f t="shared" ref="AZ230:AZ231" si="49">E230-K230</f>
        <v>-769524</v>
      </c>
      <c r="BA230" s="65"/>
      <c r="BB230" s="35" t="s">
        <v>262</v>
      </c>
      <c r="BD230" s="35" t="s">
        <v>132</v>
      </c>
      <c r="BE230" s="53"/>
      <c r="BF230" s="53">
        <f>3411500+163500</f>
        <v>3575000</v>
      </c>
      <c r="BG230" s="53"/>
      <c r="BH230" s="53">
        <v>0</v>
      </c>
      <c r="BI230" s="53"/>
      <c r="BJ230" s="53">
        <f>957043+298962+85604+71622</f>
        <v>1413231</v>
      </c>
      <c r="BK230" s="53"/>
      <c r="BL230" s="53">
        <f>103638+37733</f>
        <v>141371</v>
      </c>
      <c r="BM230" s="53"/>
      <c r="BN230" s="53">
        <f t="shared" ref="BN230:BN231" si="50">SUM(BF230:BL230)</f>
        <v>5129602</v>
      </c>
      <c r="BO230" s="54"/>
      <c r="BS230" s="55"/>
      <c r="BT230" s="55"/>
      <c r="BU230" s="84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</row>
    <row r="231" spans="1:95" s="35" customFormat="1">
      <c r="A231" s="35" t="s">
        <v>263</v>
      </c>
      <c r="B231" s="51"/>
      <c r="C231" s="35" t="s">
        <v>53</v>
      </c>
      <c r="D231" s="44"/>
      <c r="E231" s="53">
        <f t="shared" si="44"/>
        <v>2809730</v>
      </c>
      <c r="F231" s="53"/>
      <c r="G231" s="53">
        <v>15345840</v>
      </c>
      <c r="H231" s="53"/>
      <c r="I231" s="53">
        <v>18155570</v>
      </c>
      <c r="J231" s="53"/>
      <c r="K231" s="53">
        <f t="shared" si="45"/>
        <v>2029826</v>
      </c>
      <c r="L231" s="53"/>
      <c r="M231" s="53">
        <v>1537769</v>
      </c>
      <c r="N231" s="53"/>
      <c r="O231" s="53">
        <v>3567595</v>
      </c>
      <c r="P231" s="53"/>
      <c r="Q231" s="53">
        <v>13761387</v>
      </c>
      <c r="R231" s="53"/>
      <c r="S231" s="53">
        <v>0</v>
      </c>
      <c r="T231" s="53"/>
      <c r="U231" s="53">
        <v>826588</v>
      </c>
      <c r="V231" s="53"/>
      <c r="W231" s="53">
        <f t="shared" si="46"/>
        <v>14587975</v>
      </c>
      <c r="X231" s="51"/>
      <c r="Y231" s="51"/>
      <c r="Z231" s="35" t="s">
        <v>263</v>
      </c>
      <c r="AA231" s="53"/>
      <c r="AB231" s="35" t="s">
        <v>53</v>
      </c>
      <c r="AC231" s="51"/>
      <c r="AD231" s="53">
        <v>3395906</v>
      </c>
      <c r="AE231" s="53"/>
      <c r="AF231" s="53">
        <f>3002819-347570</f>
        <v>2655249</v>
      </c>
      <c r="AG231" s="53"/>
      <c r="AH231" s="53">
        <v>347570</v>
      </c>
      <c r="AI231" s="53"/>
      <c r="AJ231" s="45">
        <f t="shared" si="47"/>
        <v>393087</v>
      </c>
      <c r="AK231" s="45"/>
      <c r="AL231" s="53">
        <v>-71452</v>
      </c>
      <c r="AM231" s="45"/>
      <c r="AN231" s="53">
        <v>0</v>
      </c>
      <c r="AO231" s="53"/>
      <c r="AP231" s="53">
        <v>0</v>
      </c>
      <c r="AQ231" s="53"/>
      <c r="AR231" s="53">
        <v>297069</v>
      </c>
      <c r="AS231" s="53"/>
      <c r="AT231" s="45">
        <f t="shared" si="48"/>
        <v>618704</v>
      </c>
      <c r="AU231" s="45"/>
      <c r="AV231" s="53">
        <v>0</v>
      </c>
      <c r="AW231" s="53"/>
      <c r="AX231" s="53">
        <v>0</v>
      </c>
      <c r="AY231" s="53"/>
      <c r="AZ231" s="53">
        <f t="shared" si="49"/>
        <v>779904</v>
      </c>
      <c r="BA231" s="51"/>
      <c r="BB231" s="35" t="s">
        <v>263</v>
      </c>
      <c r="BD231" s="35" t="s">
        <v>53</v>
      </c>
      <c r="BE231" s="53"/>
      <c r="BF231" s="53">
        <f>1435000+85000</f>
        <v>1520000</v>
      </c>
      <c r="BG231" s="53"/>
      <c r="BH231" s="53">
        <v>0</v>
      </c>
      <c r="BI231" s="53"/>
      <c r="BJ231" s="53">
        <v>0</v>
      </c>
      <c r="BK231" s="53"/>
      <c r="BL231" s="53">
        <f>12769+18901</f>
        <v>31670</v>
      </c>
      <c r="BM231" s="53"/>
      <c r="BN231" s="53">
        <f t="shared" si="50"/>
        <v>1551670</v>
      </c>
      <c r="BO231" s="54"/>
      <c r="BS231" s="55"/>
      <c r="BT231" s="55"/>
      <c r="BU231" s="84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</row>
    <row r="232" spans="1:95" s="35" customFormat="1">
      <c r="A232" s="35" t="s">
        <v>264</v>
      </c>
      <c r="C232" s="35" t="s">
        <v>239</v>
      </c>
      <c r="D232" s="44"/>
      <c r="E232" s="53">
        <f t="shared" si="36"/>
        <v>2220862</v>
      </c>
      <c r="F232" s="53"/>
      <c r="G232" s="53">
        <v>10871752</v>
      </c>
      <c r="H232" s="53"/>
      <c r="I232" s="53">
        <v>13092614</v>
      </c>
      <c r="J232" s="53"/>
      <c r="K232" s="53">
        <f t="shared" si="37"/>
        <v>384205</v>
      </c>
      <c r="L232" s="53"/>
      <c r="M232" s="53">
        <v>4908335</v>
      </c>
      <c r="N232" s="53"/>
      <c r="O232" s="53">
        <v>5292540</v>
      </c>
      <c r="P232" s="53"/>
      <c r="Q232" s="53">
        <v>5714165</v>
      </c>
      <c r="R232" s="53"/>
      <c r="S232" s="53">
        <v>0</v>
      </c>
      <c r="T232" s="53"/>
      <c r="U232" s="53">
        <v>2085909</v>
      </c>
      <c r="V232" s="53"/>
      <c r="W232" s="53">
        <f t="shared" si="38"/>
        <v>7800074</v>
      </c>
      <c r="X232" s="51"/>
      <c r="Y232" s="51"/>
      <c r="Z232" s="35" t="s">
        <v>264</v>
      </c>
      <c r="AA232" s="53"/>
      <c r="AB232" s="35" t="s">
        <v>239</v>
      </c>
      <c r="AD232" s="53">
        <v>1653594</v>
      </c>
      <c r="AE232" s="53"/>
      <c r="AF232" s="53">
        <f>802468-187341</f>
        <v>615127</v>
      </c>
      <c r="AG232" s="53"/>
      <c r="AH232" s="53">
        <v>187341</v>
      </c>
      <c r="AI232" s="53"/>
      <c r="AJ232" s="45">
        <f t="shared" si="39"/>
        <v>851126</v>
      </c>
      <c r="AK232" s="45"/>
      <c r="AL232" s="53">
        <v>-24847</v>
      </c>
      <c r="AM232" s="45"/>
      <c r="AN232" s="53">
        <v>0</v>
      </c>
      <c r="AO232" s="53"/>
      <c r="AP232" s="53">
        <v>33190</v>
      </c>
      <c r="AQ232" s="53"/>
      <c r="AR232" s="53">
        <v>0</v>
      </c>
      <c r="AS232" s="53"/>
      <c r="AT232" s="45">
        <f t="shared" si="40"/>
        <v>793089</v>
      </c>
      <c r="AU232" s="45"/>
      <c r="AV232" s="53">
        <v>0</v>
      </c>
      <c r="AW232" s="53"/>
      <c r="AX232" s="53">
        <v>0</v>
      </c>
      <c r="AY232" s="53"/>
      <c r="AZ232" s="53">
        <f t="shared" si="41"/>
        <v>1836657</v>
      </c>
      <c r="BA232" s="51"/>
      <c r="BB232" s="35" t="s">
        <v>264</v>
      </c>
      <c r="BD232" s="35" t="s">
        <v>239</v>
      </c>
      <c r="BE232" s="53"/>
      <c r="BF232" s="53">
        <v>0</v>
      </c>
      <c r="BG232" s="53"/>
      <c r="BH232" s="53">
        <v>0</v>
      </c>
      <c r="BI232" s="53"/>
      <c r="BJ232" s="53">
        <f>4851455+3148+2984</f>
        <v>4857587</v>
      </c>
      <c r="BK232" s="53"/>
      <c r="BL232" s="53">
        <f>53732+15660</f>
        <v>69392</v>
      </c>
      <c r="BM232" s="53"/>
      <c r="BN232" s="53">
        <f t="shared" si="43"/>
        <v>4926979</v>
      </c>
      <c r="BO232" s="54"/>
      <c r="BS232" s="55"/>
      <c r="BT232" s="55"/>
      <c r="BU232" s="84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</row>
    <row r="233" spans="1:95" s="35" customFormat="1" ht="12.75" customHeight="1">
      <c r="A233" s="35" t="s">
        <v>111</v>
      </c>
      <c r="B233" s="51"/>
      <c r="C233" s="44" t="s">
        <v>80</v>
      </c>
      <c r="D233" s="44"/>
      <c r="E233" s="53">
        <f t="shared" si="36"/>
        <v>4744626</v>
      </c>
      <c r="F233" s="53"/>
      <c r="G233" s="53">
        <v>37432845</v>
      </c>
      <c r="H233" s="53"/>
      <c r="I233" s="53">
        <v>42177471</v>
      </c>
      <c r="J233" s="53"/>
      <c r="K233" s="53">
        <f t="shared" si="37"/>
        <v>1816875</v>
      </c>
      <c r="L233" s="53"/>
      <c r="M233" s="53">
        <v>20756330</v>
      </c>
      <c r="N233" s="53"/>
      <c r="O233" s="53">
        <v>22573205</v>
      </c>
      <c r="P233" s="53"/>
      <c r="Q233" s="53">
        <v>14954257</v>
      </c>
      <c r="R233" s="53"/>
      <c r="S233" s="53">
        <v>0</v>
      </c>
      <c r="T233" s="53"/>
      <c r="U233" s="53">
        <v>4650009</v>
      </c>
      <c r="V233" s="53"/>
      <c r="W233" s="53">
        <f t="shared" si="38"/>
        <v>19604266</v>
      </c>
      <c r="X233" s="51"/>
      <c r="Y233" s="51"/>
      <c r="Z233" s="35" t="s">
        <v>111</v>
      </c>
      <c r="AA233" s="53"/>
      <c r="AB233" s="44" t="s">
        <v>80</v>
      </c>
      <c r="AC233" s="51"/>
      <c r="AD233" s="53">
        <v>9902093</v>
      </c>
      <c r="AE233" s="53"/>
      <c r="AF233" s="53">
        <f>10942969-2202086</f>
        <v>8740883</v>
      </c>
      <c r="AG233" s="53"/>
      <c r="AH233" s="53">
        <v>2202086</v>
      </c>
      <c r="AI233" s="53"/>
      <c r="AJ233" s="45">
        <f t="shared" si="39"/>
        <v>-1040876</v>
      </c>
      <c r="AK233" s="45"/>
      <c r="AL233" s="53">
        <v>-1045895</v>
      </c>
      <c r="AM233" s="45"/>
      <c r="AN233" s="53">
        <v>0</v>
      </c>
      <c r="AO233" s="53"/>
      <c r="AP233" s="53">
        <v>0</v>
      </c>
      <c r="AQ233" s="53"/>
      <c r="AR233" s="53">
        <v>0</v>
      </c>
      <c r="AS233" s="53"/>
      <c r="AT233" s="45">
        <f t="shared" si="40"/>
        <v>-2086771</v>
      </c>
      <c r="AU233" s="45"/>
      <c r="AV233" s="53">
        <v>0</v>
      </c>
      <c r="AW233" s="53"/>
      <c r="AX233" s="53">
        <v>0</v>
      </c>
      <c r="AY233" s="53"/>
      <c r="AZ233" s="53">
        <f t="shared" si="41"/>
        <v>2927751</v>
      </c>
      <c r="BA233" s="51"/>
      <c r="BB233" s="35" t="s">
        <v>111</v>
      </c>
      <c r="BD233" s="44" t="s">
        <v>80</v>
      </c>
      <c r="BE233" s="53"/>
      <c r="BF233" s="53">
        <v>0</v>
      </c>
      <c r="BG233" s="53"/>
      <c r="BH233" s="53">
        <f>7717219+455000</f>
        <v>8172219</v>
      </c>
      <c r="BI233" s="53"/>
      <c r="BJ233" s="53">
        <f>12550507+659109</f>
        <v>13209616</v>
      </c>
      <c r="BK233" s="53"/>
      <c r="BL233" s="53">
        <f>488604+294460</f>
        <v>783064</v>
      </c>
      <c r="BM233" s="53"/>
      <c r="BN233" s="53">
        <f t="shared" si="43"/>
        <v>22164899</v>
      </c>
      <c r="BO233" s="54"/>
      <c r="BS233" s="55"/>
      <c r="BT233" s="55"/>
      <c r="BU233" s="84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</row>
    <row r="234" spans="1:95" s="126" customFormat="1" ht="12.75" hidden="1" customHeight="1">
      <c r="A234" s="126" t="s">
        <v>265</v>
      </c>
      <c r="B234" s="124"/>
      <c r="C234" s="121" t="s">
        <v>27</v>
      </c>
      <c r="D234" s="121"/>
      <c r="E234" s="53">
        <f t="shared" si="36"/>
        <v>0</v>
      </c>
      <c r="F234" s="53"/>
      <c r="G234" s="53">
        <v>0</v>
      </c>
      <c r="H234" s="53"/>
      <c r="I234" s="53">
        <v>0</v>
      </c>
      <c r="J234" s="53"/>
      <c r="K234" s="53">
        <f t="shared" si="37"/>
        <v>0</v>
      </c>
      <c r="L234" s="53"/>
      <c r="M234" s="53">
        <v>0</v>
      </c>
      <c r="N234" s="53"/>
      <c r="O234" s="53">
        <v>0</v>
      </c>
      <c r="P234" s="53"/>
      <c r="Q234" s="53">
        <v>0</v>
      </c>
      <c r="R234" s="53"/>
      <c r="S234" s="53">
        <v>0</v>
      </c>
      <c r="T234" s="53"/>
      <c r="U234" s="53">
        <v>0</v>
      </c>
      <c r="V234" s="53"/>
      <c r="W234" s="53">
        <f t="shared" si="38"/>
        <v>0</v>
      </c>
      <c r="X234" s="124"/>
      <c r="Y234" s="124"/>
      <c r="Z234" s="126" t="s">
        <v>265</v>
      </c>
      <c r="AA234" s="137"/>
      <c r="AB234" s="121" t="s">
        <v>27</v>
      </c>
      <c r="AC234" s="124"/>
      <c r="AD234" s="53">
        <v>0</v>
      </c>
      <c r="AE234" s="53"/>
      <c r="AF234" s="53">
        <v>0</v>
      </c>
      <c r="AG234" s="53"/>
      <c r="AH234" s="53">
        <v>0</v>
      </c>
      <c r="AI234" s="53"/>
      <c r="AJ234" s="45">
        <f t="shared" si="39"/>
        <v>0</v>
      </c>
      <c r="AK234" s="45"/>
      <c r="AL234" s="53">
        <v>0</v>
      </c>
      <c r="AM234" s="45"/>
      <c r="AN234" s="53">
        <v>0</v>
      </c>
      <c r="AO234" s="53"/>
      <c r="AP234" s="53">
        <v>0</v>
      </c>
      <c r="AQ234" s="53"/>
      <c r="AR234" s="53">
        <v>0</v>
      </c>
      <c r="AS234" s="53"/>
      <c r="AT234" s="45">
        <f t="shared" si="40"/>
        <v>0</v>
      </c>
      <c r="AU234" s="45"/>
      <c r="AV234" s="53">
        <v>0</v>
      </c>
      <c r="AW234" s="53"/>
      <c r="AX234" s="53">
        <v>0</v>
      </c>
      <c r="AY234" s="53"/>
      <c r="AZ234" s="53">
        <f t="shared" si="41"/>
        <v>0</v>
      </c>
      <c r="BA234" s="124"/>
      <c r="BB234" s="126" t="s">
        <v>265</v>
      </c>
      <c r="BD234" s="121" t="s">
        <v>27</v>
      </c>
      <c r="BE234" s="137"/>
      <c r="BF234" s="53">
        <v>0</v>
      </c>
      <c r="BG234" s="53"/>
      <c r="BH234" s="53">
        <v>0</v>
      </c>
      <c r="BI234" s="53"/>
      <c r="BJ234" s="53">
        <v>0</v>
      </c>
      <c r="BK234" s="53"/>
      <c r="BL234" s="53">
        <v>0</v>
      </c>
      <c r="BM234" s="137"/>
      <c r="BN234" s="137">
        <f t="shared" si="43"/>
        <v>0</v>
      </c>
      <c r="BO234" s="139"/>
      <c r="BS234" s="140"/>
      <c r="BT234" s="140"/>
      <c r="BU234" s="141"/>
      <c r="BV234" s="140"/>
      <c r="BW234" s="140"/>
      <c r="BX234" s="140"/>
      <c r="BY234" s="140"/>
      <c r="BZ234" s="140"/>
      <c r="CA234" s="140"/>
      <c r="CB234" s="140"/>
      <c r="CC234" s="140"/>
      <c r="CD234" s="140"/>
      <c r="CE234" s="140"/>
      <c r="CF234" s="140"/>
      <c r="CG234" s="140"/>
      <c r="CH234" s="140"/>
      <c r="CI234" s="140"/>
      <c r="CJ234" s="140"/>
      <c r="CK234" s="140"/>
      <c r="CL234" s="140"/>
      <c r="CM234" s="140"/>
      <c r="CN234" s="140"/>
      <c r="CO234" s="140"/>
      <c r="CP234" s="140"/>
      <c r="CQ234" s="140"/>
    </row>
    <row r="235" spans="1:95" s="35" customFormat="1" ht="12.75" customHeight="1">
      <c r="A235" s="35" t="s">
        <v>40</v>
      </c>
      <c r="B235" s="51"/>
      <c r="C235" s="47" t="s">
        <v>451</v>
      </c>
      <c r="D235" s="44"/>
      <c r="E235" s="53">
        <f t="shared" si="36"/>
        <v>994730</v>
      </c>
      <c r="F235" s="53"/>
      <c r="G235" s="53">
        <v>15673615</v>
      </c>
      <c r="H235" s="53"/>
      <c r="I235" s="53">
        <v>16668345</v>
      </c>
      <c r="J235" s="53"/>
      <c r="K235" s="53">
        <f t="shared" si="37"/>
        <v>928225</v>
      </c>
      <c r="L235" s="53"/>
      <c r="M235" s="53">
        <v>8516370</v>
      </c>
      <c r="N235" s="53"/>
      <c r="O235" s="53">
        <v>9444595</v>
      </c>
      <c r="P235" s="53"/>
      <c r="Q235" s="53">
        <v>6200269</v>
      </c>
      <c r="R235" s="53"/>
      <c r="S235" s="53">
        <v>0</v>
      </c>
      <c r="T235" s="53"/>
      <c r="U235" s="53">
        <v>1023481</v>
      </c>
      <c r="V235" s="53"/>
      <c r="W235" s="53">
        <f t="shared" si="38"/>
        <v>7223750</v>
      </c>
      <c r="Z235" s="35" t="s">
        <v>40</v>
      </c>
      <c r="AA235" s="53"/>
      <c r="AB235" s="47" t="s">
        <v>451</v>
      </c>
      <c r="AC235" s="51"/>
      <c r="AD235" s="53">
        <v>3000609</v>
      </c>
      <c r="AE235" s="53"/>
      <c r="AF235" s="53">
        <f>2092551-255384</f>
        <v>1837167</v>
      </c>
      <c r="AG235" s="53"/>
      <c r="AH235" s="53">
        <v>255384</v>
      </c>
      <c r="AI235" s="53"/>
      <c r="AJ235" s="45">
        <f t="shared" si="39"/>
        <v>908058</v>
      </c>
      <c r="AK235" s="45"/>
      <c r="AL235" s="53">
        <v>-681826</v>
      </c>
      <c r="AM235" s="45"/>
      <c r="AN235" s="53">
        <v>0</v>
      </c>
      <c r="AO235" s="53"/>
      <c r="AP235" s="53">
        <v>0</v>
      </c>
      <c r="AQ235" s="53"/>
      <c r="AR235" s="53">
        <v>0</v>
      </c>
      <c r="AS235" s="53"/>
      <c r="AT235" s="45">
        <f t="shared" si="40"/>
        <v>226232</v>
      </c>
      <c r="AU235" s="45"/>
      <c r="AV235" s="53">
        <v>0</v>
      </c>
      <c r="AW235" s="53"/>
      <c r="AX235" s="53">
        <v>0</v>
      </c>
      <c r="AY235" s="53"/>
      <c r="AZ235" s="53">
        <f t="shared" si="41"/>
        <v>66505</v>
      </c>
      <c r="BA235" s="51"/>
      <c r="BB235" s="35" t="s">
        <v>40</v>
      </c>
      <c r="BD235" s="47" t="s">
        <v>451</v>
      </c>
      <c r="BE235" s="53"/>
      <c r="BF235" s="53">
        <v>0</v>
      </c>
      <c r="BG235" s="53"/>
      <c r="BH235" s="53">
        <f>6090000+565000</f>
        <v>6655000</v>
      </c>
      <c r="BI235" s="53"/>
      <c r="BJ235" s="53">
        <f>2327890+171345</f>
        <v>2499235</v>
      </c>
      <c r="BK235" s="53"/>
      <c r="BL235" s="53">
        <f>98480+33430</f>
        <v>131910</v>
      </c>
      <c r="BM235" s="53"/>
      <c r="BN235" s="53">
        <f t="shared" si="43"/>
        <v>9286145</v>
      </c>
      <c r="BO235" s="54"/>
      <c r="BS235" s="55"/>
      <c r="BT235" s="55"/>
      <c r="BU235" s="84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</row>
    <row r="236" spans="1:95" s="35" customFormat="1" ht="12.75" customHeight="1">
      <c r="A236" s="35" t="s">
        <v>266</v>
      </c>
      <c r="B236" s="51"/>
      <c r="C236" s="35" t="s">
        <v>267</v>
      </c>
      <c r="D236" s="44"/>
      <c r="E236" s="53">
        <f t="shared" si="36"/>
        <v>846030</v>
      </c>
      <c r="F236" s="53"/>
      <c r="G236" s="53">
        <v>7409177</v>
      </c>
      <c r="H236" s="53"/>
      <c r="I236" s="53">
        <v>8255207</v>
      </c>
      <c r="J236" s="53"/>
      <c r="K236" s="53">
        <f t="shared" si="37"/>
        <v>2045928</v>
      </c>
      <c r="L236" s="53"/>
      <c r="M236" s="53">
        <v>237090</v>
      </c>
      <c r="N236" s="53"/>
      <c r="O236" s="53">
        <v>2283018</v>
      </c>
      <c r="P236" s="53"/>
      <c r="Q236" s="53">
        <v>5219907</v>
      </c>
      <c r="R236" s="53"/>
      <c r="S236" s="53">
        <v>0</v>
      </c>
      <c r="T236" s="53"/>
      <c r="U236" s="53">
        <v>752282</v>
      </c>
      <c r="V236" s="53"/>
      <c r="W236" s="53">
        <f t="shared" si="38"/>
        <v>5972189</v>
      </c>
      <c r="X236" s="51"/>
      <c r="Y236" s="51"/>
      <c r="Z236" s="35" t="s">
        <v>266</v>
      </c>
      <c r="AA236" s="53"/>
      <c r="AB236" s="35" t="s">
        <v>267</v>
      </c>
      <c r="AC236" s="51"/>
      <c r="AD236" s="53">
        <v>1260290</v>
      </c>
      <c r="AE236" s="53"/>
      <c r="AF236" s="53">
        <f>1159741-205224</f>
        <v>954517</v>
      </c>
      <c r="AG236" s="53"/>
      <c r="AH236" s="53">
        <v>205224</v>
      </c>
      <c r="AI236" s="53"/>
      <c r="AJ236" s="45">
        <f t="shared" si="39"/>
        <v>100549</v>
      </c>
      <c r="AK236" s="45"/>
      <c r="AL236" s="53">
        <v>-99346</v>
      </c>
      <c r="AM236" s="45"/>
      <c r="AN236" s="53">
        <v>0</v>
      </c>
      <c r="AO236" s="53"/>
      <c r="AP236" s="53">
        <v>0</v>
      </c>
      <c r="AQ236" s="53"/>
      <c r="AR236" s="53">
        <v>0</v>
      </c>
      <c r="AS236" s="53"/>
      <c r="AT236" s="45">
        <f t="shared" si="40"/>
        <v>1203</v>
      </c>
      <c r="AU236" s="45"/>
      <c r="AV236" s="53">
        <v>0</v>
      </c>
      <c r="AW236" s="53"/>
      <c r="AX236" s="53">
        <v>0</v>
      </c>
      <c r="AY236" s="53"/>
      <c r="AZ236" s="53">
        <f t="shared" si="41"/>
        <v>-1199898</v>
      </c>
      <c r="BA236" s="51"/>
      <c r="BB236" s="35" t="s">
        <v>266</v>
      </c>
      <c r="BD236" s="35" t="s">
        <v>267</v>
      </c>
      <c r="BE236" s="53"/>
      <c r="BF236" s="53">
        <v>0</v>
      </c>
      <c r="BG236" s="53"/>
      <c r="BH236" s="53">
        <v>0</v>
      </c>
      <c r="BI236" s="53"/>
      <c r="BJ236" s="53">
        <f>225659+13611</f>
        <v>239270</v>
      </c>
      <c r="BK236" s="53"/>
      <c r="BL236" s="53">
        <f>11431+17062</f>
        <v>28493</v>
      </c>
      <c r="BM236" s="53"/>
      <c r="BN236" s="53">
        <f t="shared" si="43"/>
        <v>267763</v>
      </c>
      <c r="BO236" s="54"/>
      <c r="BS236" s="55"/>
      <c r="BT236" s="55"/>
      <c r="BU236" s="84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</row>
    <row r="237" spans="1:95" s="35" customFormat="1" ht="12.75" customHeight="1">
      <c r="A237" s="35" t="s">
        <v>268</v>
      </c>
      <c r="B237" s="51"/>
      <c r="C237" s="35" t="s">
        <v>269</v>
      </c>
      <c r="D237" s="44"/>
      <c r="E237" s="53">
        <f t="shared" si="36"/>
        <v>225700</v>
      </c>
      <c r="F237" s="53"/>
      <c r="G237" s="53">
        <v>4399377</v>
      </c>
      <c r="H237" s="53"/>
      <c r="I237" s="53">
        <v>4625077</v>
      </c>
      <c r="J237" s="53"/>
      <c r="K237" s="53">
        <f t="shared" si="37"/>
        <v>64095</v>
      </c>
      <c r="L237" s="53"/>
      <c r="M237" s="53">
        <v>381017</v>
      </c>
      <c r="N237" s="53"/>
      <c r="O237" s="53">
        <v>445112</v>
      </c>
      <c r="P237" s="53"/>
      <c r="Q237" s="53">
        <v>3995513</v>
      </c>
      <c r="R237" s="53"/>
      <c r="S237" s="53">
        <v>0</v>
      </c>
      <c r="T237" s="53"/>
      <c r="U237" s="53">
        <v>184452</v>
      </c>
      <c r="V237" s="53"/>
      <c r="W237" s="53">
        <f t="shared" si="38"/>
        <v>4179965</v>
      </c>
      <c r="X237" s="51"/>
      <c r="Y237" s="51"/>
      <c r="Z237" s="35" t="s">
        <v>268</v>
      </c>
      <c r="AA237" s="53"/>
      <c r="AB237" s="35" t="s">
        <v>269</v>
      </c>
      <c r="AC237" s="51"/>
      <c r="AD237" s="53">
        <v>665265</v>
      </c>
      <c r="AE237" s="53"/>
      <c r="AF237" s="53">
        <f>878814-150105</f>
        <v>728709</v>
      </c>
      <c r="AG237" s="53"/>
      <c r="AH237" s="53">
        <v>150105</v>
      </c>
      <c r="AI237" s="53"/>
      <c r="AJ237" s="45">
        <f t="shared" si="39"/>
        <v>-213549</v>
      </c>
      <c r="AK237" s="45"/>
      <c r="AL237" s="53">
        <v>11697</v>
      </c>
      <c r="AM237" s="45"/>
      <c r="AN237" s="53">
        <v>0</v>
      </c>
      <c r="AO237" s="53"/>
      <c r="AP237" s="53">
        <v>0</v>
      </c>
      <c r="AQ237" s="53"/>
      <c r="AR237" s="53">
        <v>0</v>
      </c>
      <c r="AS237" s="53"/>
      <c r="AT237" s="45">
        <f t="shared" si="40"/>
        <v>-201852</v>
      </c>
      <c r="AU237" s="45"/>
      <c r="AV237" s="53">
        <v>0</v>
      </c>
      <c r="AW237" s="53"/>
      <c r="AX237" s="53">
        <v>0</v>
      </c>
      <c r="AY237" s="53"/>
      <c r="AZ237" s="53">
        <f t="shared" si="41"/>
        <v>161605</v>
      </c>
      <c r="BA237" s="51"/>
      <c r="BB237" s="35" t="s">
        <v>268</v>
      </c>
      <c r="BD237" s="35" t="s">
        <v>269</v>
      </c>
      <c r="BE237" s="53"/>
      <c r="BF237" s="53">
        <v>0</v>
      </c>
      <c r="BG237" s="53"/>
      <c r="BH237" s="53">
        <v>0</v>
      </c>
      <c r="BI237" s="53"/>
      <c r="BJ237" s="53">
        <f>65726+305337+5477+27324</f>
        <v>403864</v>
      </c>
      <c r="BK237" s="53"/>
      <c r="BL237" s="53">
        <v>9954</v>
      </c>
      <c r="BM237" s="53"/>
      <c r="BN237" s="53">
        <f t="shared" si="43"/>
        <v>413818</v>
      </c>
      <c r="BO237" s="54"/>
      <c r="BS237" s="55"/>
      <c r="BT237" s="55"/>
      <c r="BU237" s="84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</row>
    <row r="238" spans="1:95" s="35" customFormat="1" ht="12.75" customHeight="1">
      <c r="A238" s="35" t="s">
        <v>270</v>
      </c>
      <c r="B238" s="51"/>
      <c r="C238" s="35" t="s">
        <v>136</v>
      </c>
      <c r="D238" s="44"/>
      <c r="E238" s="53">
        <f t="shared" si="36"/>
        <v>548039</v>
      </c>
      <c r="F238" s="53"/>
      <c r="G238" s="53">
        <f>124372+2548905</f>
        <v>2673277</v>
      </c>
      <c r="H238" s="53"/>
      <c r="I238" s="53">
        <v>3221316</v>
      </c>
      <c r="J238" s="53"/>
      <c r="K238" s="53">
        <f t="shared" si="37"/>
        <v>1260258</v>
      </c>
      <c r="L238" s="53"/>
      <c r="M238" s="53">
        <v>669201</v>
      </c>
      <c r="N238" s="53"/>
      <c r="O238" s="53">
        <v>1929459</v>
      </c>
      <c r="P238" s="53"/>
      <c r="Q238" s="53">
        <v>1796760</v>
      </c>
      <c r="R238" s="53"/>
      <c r="S238" s="53">
        <v>0</v>
      </c>
      <c r="T238" s="53"/>
      <c r="U238" s="53">
        <v>-504903</v>
      </c>
      <c r="V238" s="53"/>
      <c r="W238" s="53">
        <f t="shared" si="38"/>
        <v>1291857</v>
      </c>
      <c r="X238" s="51"/>
      <c r="Y238" s="51"/>
      <c r="Z238" s="35" t="s">
        <v>270</v>
      </c>
      <c r="AA238" s="53"/>
      <c r="AB238" s="35" t="s">
        <v>136</v>
      </c>
      <c r="AC238" s="51"/>
      <c r="AD238" s="53">
        <v>1636942</v>
      </c>
      <c r="AE238" s="53"/>
      <c r="AF238" s="53">
        <f>1583453-84026</f>
        <v>1499427</v>
      </c>
      <c r="AG238" s="53"/>
      <c r="AH238" s="53">
        <v>84026</v>
      </c>
      <c r="AI238" s="53"/>
      <c r="AJ238" s="45">
        <f t="shared" si="39"/>
        <v>53489</v>
      </c>
      <c r="AK238" s="45"/>
      <c r="AL238" s="53">
        <v>101848</v>
      </c>
      <c r="AM238" s="45"/>
      <c r="AN238" s="53">
        <v>0</v>
      </c>
      <c r="AO238" s="53"/>
      <c r="AP238" s="53">
        <v>0</v>
      </c>
      <c r="AQ238" s="53"/>
      <c r="AR238" s="53">
        <v>0</v>
      </c>
      <c r="AS238" s="53"/>
      <c r="AT238" s="45">
        <f t="shared" si="40"/>
        <v>155337</v>
      </c>
      <c r="AU238" s="45"/>
      <c r="AV238" s="53">
        <v>0</v>
      </c>
      <c r="AW238" s="53"/>
      <c r="AX238" s="53">
        <v>0</v>
      </c>
      <c r="AY238" s="53"/>
      <c r="AZ238" s="53">
        <f t="shared" si="41"/>
        <v>-712219</v>
      </c>
      <c r="BA238" s="51"/>
      <c r="BB238" s="35" t="s">
        <v>270</v>
      </c>
      <c r="BD238" s="35" t="s">
        <v>136</v>
      </c>
      <c r="BE238" s="53"/>
      <c r="BF238" s="53">
        <v>0</v>
      </c>
      <c r="BG238" s="53"/>
      <c r="BH238" s="53">
        <v>0</v>
      </c>
      <c r="BI238" s="53"/>
      <c r="BJ238" s="53">
        <f>241749+339785+54738+80826</f>
        <v>717098</v>
      </c>
      <c r="BK238" s="53"/>
      <c r="BL238" s="53">
        <f>21282+66385+13765+51509</f>
        <v>152941</v>
      </c>
      <c r="BM238" s="53"/>
      <c r="BN238" s="53">
        <f>SUM(BF238:BL238)</f>
        <v>870039</v>
      </c>
      <c r="BO238" s="54"/>
      <c r="BS238" s="55"/>
      <c r="BT238" s="55"/>
      <c r="BU238" s="84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</row>
    <row r="239" spans="1:95" s="35" customFormat="1" ht="12.75" customHeight="1">
      <c r="A239" s="35" t="s">
        <v>271</v>
      </c>
      <c r="B239" s="51"/>
      <c r="C239" s="35" t="s">
        <v>66</v>
      </c>
      <c r="D239" s="44"/>
      <c r="E239" s="53">
        <f t="shared" si="36"/>
        <v>685053</v>
      </c>
      <c r="F239" s="53"/>
      <c r="G239" s="53">
        <f>29500+4699441</f>
        <v>4728941</v>
      </c>
      <c r="H239" s="53"/>
      <c r="I239" s="53">
        <v>5413994</v>
      </c>
      <c r="J239" s="53"/>
      <c r="K239" s="53">
        <f t="shared" si="37"/>
        <v>300678</v>
      </c>
      <c r="L239" s="53"/>
      <c r="M239" s="53">
        <f>32089+3397971</f>
        <v>3430060</v>
      </c>
      <c r="N239" s="53"/>
      <c r="O239" s="53">
        <v>3730738</v>
      </c>
      <c r="P239" s="53"/>
      <c r="Q239" s="53">
        <v>1132226</v>
      </c>
      <c r="R239" s="53"/>
      <c r="S239" s="53">
        <v>0</v>
      </c>
      <c r="T239" s="53"/>
      <c r="U239" s="53">
        <v>551030</v>
      </c>
      <c r="V239" s="53"/>
      <c r="W239" s="53">
        <f t="shared" si="38"/>
        <v>1683256</v>
      </c>
      <c r="X239" s="51"/>
      <c r="Y239" s="51"/>
      <c r="Z239" s="35" t="s">
        <v>271</v>
      </c>
      <c r="AA239" s="53"/>
      <c r="AB239" s="35" t="s">
        <v>66</v>
      </c>
      <c r="AC239" s="51"/>
      <c r="AD239" s="53">
        <v>1401327</v>
      </c>
      <c r="AE239" s="53"/>
      <c r="AF239" s="53">
        <f>1398566-358997</f>
        <v>1039569</v>
      </c>
      <c r="AG239" s="53"/>
      <c r="AH239" s="53">
        <v>358997</v>
      </c>
      <c r="AI239" s="53"/>
      <c r="AJ239" s="45">
        <f t="shared" si="39"/>
        <v>2761</v>
      </c>
      <c r="AK239" s="45"/>
      <c r="AL239" s="53">
        <v>-127691</v>
      </c>
      <c r="AM239" s="45"/>
      <c r="AN239" s="53">
        <v>0</v>
      </c>
      <c r="AO239" s="53"/>
      <c r="AP239" s="53">
        <v>0</v>
      </c>
      <c r="AQ239" s="53"/>
      <c r="AR239" s="53">
        <v>0</v>
      </c>
      <c r="AS239" s="53"/>
      <c r="AT239" s="45">
        <f t="shared" si="40"/>
        <v>-124930</v>
      </c>
      <c r="AU239" s="45"/>
      <c r="AV239" s="53">
        <v>0</v>
      </c>
      <c r="AW239" s="53"/>
      <c r="AX239" s="53">
        <v>0</v>
      </c>
      <c r="AY239" s="53"/>
      <c r="AZ239" s="53">
        <f t="shared" si="41"/>
        <v>384375</v>
      </c>
      <c r="BA239" s="51"/>
      <c r="BB239" s="35" t="s">
        <v>271</v>
      </c>
      <c r="BD239" s="35" t="s">
        <v>66</v>
      </c>
      <c r="BE239" s="53"/>
      <c r="BF239" s="53">
        <v>0</v>
      </c>
      <c r="BG239" s="53"/>
      <c r="BH239" s="53">
        <v>0</v>
      </c>
      <c r="BI239" s="53"/>
      <c r="BJ239" s="53">
        <f>3397971+198744</f>
        <v>3596715</v>
      </c>
      <c r="BK239" s="53"/>
      <c r="BL239" s="53">
        <f>32089+2910</f>
        <v>34999</v>
      </c>
      <c r="BM239" s="53"/>
      <c r="BN239" s="53">
        <f t="shared" si="43"/>
        <v>3631714</v>
      </c>
      <c r="BO239" s="54"/>
      <c r="BS239" s="55"/>
      <c r="BT239" s="55"/>
      <c r="BU239" s="84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</row>
    <row r="240" spans="1:95" s="35" customFormat="1" ht="12.75" customHeight="1">
      <c r="A240" s="35" t="s">
        <v>272</v>
      </c>
      <c r="B240" s="51"/>
      <c r="C240" s="35" t="s">
        <v>43</v>
      </c>
      <c r="D240" s="44"/>
      <c r="E240" s="53">
        <f t="shared" si="36"/>
        <v>7819448</v>
      </c>
      <c r="F240" s="53"/>
      <c r="G240" s="53">
        <v>28402733</v>
      </c>
      <c r="H240" s="53"/>
      <c r="I240" s="53">
        <v>36222181</v>
      </c>
      <c r="J240" s="53"/>
      <c r="K240" s="53">
        <f t="shared" si="37"/>
        <v>901658</v>
      </c>
      <c r="L240" s="53"/>
      <c r="M240" s="53">
        <v>5078308</v>
      </c>
      <c r="N240" s="53"/>
      <c r="O240" s="53">
        <v>5979966</v>
      </c>
      <c r="P240" s="53"/>
      <c r="Q240" s="53">
        <v>21642786</v>
      </c>
      <c r="R240" s="53"/>
      <c r="S240" s="53">
        <v>0</v>
      </c>
      <c r="T240" s="53"/>
      <c r="U240" s="53">
        <v>8599429</v>
      </c>
      <c r="V240" s="53"/>
      <c r="W240" s="53">
        <f t="shared" si="38"/>
        <v>30242215</v>
      </c>
      <c r="X240" s="51"/>
      <c r="Y240" s="51"/>
      <c r="Z240" s="35" t="s">
        <v>272</v>
      </c>
      <c r="AA240" s="53"/>
      <c r="AB240" s="35" t="s">
        <v>43</v>
      </c>
      <c r="AC240" s="51"/>
      <c r="AD240" s="53">
        <v>2749517</v>
      </c>
      <c r="AE240" s="53"/>
      <c r="AF240" s="53">
        <f>3487836-873740</f>
        <v>2614096</v>
      </c>
      <c r="AG240" s="53"/>
      <c r="AH240" s="53">
        <v>873740</v>
      </c>
      <c r="AI240" s="53"/>
      <c r="AJ240" s="45">
        <f t="shared" si="39"/>
        <v>-738319</v>
      </c>
      <c r="AK240" s="45"/>
      <c r="AL240" s="53">
        <v>-51399</v>
      </c>
      <c r="AM240" s="45"/>
      <c r="AN240" s="53">
        <v>35977</v>
      </c>
      <c r="AO240" s="53"/>
      <c r="AP240" s="53">
        <v>0</v>
      </c>
      <c r="AQ240" s="53"/>
      <c r="AR240" s="53">
        <v>0</v>
      </c>
      <c r="AS240" s="53"/>
      <c r="AT240" s="45">
        <f t="shared" si="40"/>
        <v>-753741</v>
      </c>
      <c r="AU240" s="45"/>
      <c r="AV240" s="53">
        <v>0</v>
      </c>
      <c r="AW240" s="53"/>
      <c r="AX240" s="53">
        <v>0</v>
      </c>
      <c r="AY240" s="53"/>
      <c r="AZ240" s="53">
        <f t="shared" si="41"/>
        <v>6917790</v>
      </c>
      <c r="BA240" s="51"/>
      <c r="BB240" s="35" t="s">
        <v>272</v>
      </c>
      <c r="BD240" s="35" t="s">
        <v>43</v>
      </c>
      <c r="BE240" s="53"/>
      <c r="BF240" s="53">
        <f>3318497+515590</f>
        <v>3834087</v>
      </c>
      <c r="BG240" s="53"/>
      <c r="BH240" s="53">
        <v>0</v>
      </c>
      <c r="BI240" s="53"/>
      <c r="BJ240" s="53">
        <f>1640847+42344</f>
        <v>1683191</v>
      </c>
      <c r="BK240" s="53"/>
      <c r="BL240" s="53">
        <f>118964+124542</f>
        <v>243506</v>
      </c>
      <c r="BM240" s="53"/>
      <c r="BN240" s="53">
        <f t="shared" si="43"/>
        <v>5760784</v>
      </c>
      <c r="BO240" s="54"/>
      <c r="BS240" s="55"/>
      <c r="BT240" s="55"/>
      <c r="BU240" s="84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</row>
    <row r="241" spans="1:95" s="126" customFormat="1" ht="12.75" hidden="1" customHeight="1">
      <c r="A241" s="126" t="s">
        <v>273</v>
      </c>
      <c r="B241" s="124"/>
      <c r="C241" s="126" t="s">
        <v>27</v>
      </c>
      <c r="D241" s="121"/>
      <c r="E241" s="53">
        <f t="shared" si="36"/>
        <v>0</v>
      </c>
      <c r="F241" s="53"/>
      <c r="G241" s="53">
        <v>0</v>
      </c>
      <c r="H241" s="53"/>
      <c r="I241" s="53">
        <v>0</v>
      </c>
      <c r="J241" s="53"/>
      <c r="K241" s="53">
        <f t="shared" si="37"/>
        <v>0</v>
      </c>
      <c r="L241" s="53"/>
      <c r="M241" s="53">
        <v>0</v>
      </c>
      <c r="N241" s="53"/>
      <c r="O241" s="53">
        <v>0</v>
      </c>
      <c r="P241" s="53"/>
      <c r="Q241" s="53">
        <v>0</v>
      </c>
      <c r="R241" s="53"/>
      <c r="S241" s="53">
        <v>0</v>
      </c>
      <c r="T241" s="53"/>
      <c r="U241" s="53">
        <v>0</v>
      </c>
      <c r="V241" s="53"/>
      <c r="W241" s="53">
        <f t="shared" si="38"/>
        <v>0</v>
      </c>
      <c r="X241" s="124"/>
      <c r="Y241" s="124"/>
      <c r="Z241" s="126" t="s">
        <v>273</v>
      </c>
      <c r="AA241" s="137"/>
      <c r="AB241" s="126" t="s">
        <v>27</v>
      </c>
      <c r="AC241" s="124"/>
      <c r="AD241" s="53">
        <v>0</v>
      </c>
      <c r="AE241" s="53"/>
      <c r="AF241" s="53">
        <v>0</v>
      </c>
      <c r="AG241" s="53"/>
      <c r="AH241" s="53">
        <v>0</v>
      </c>
      <c r="AI241" s="53"/>
      <c r="AJ241" s="45">
        <f t="shared" si="39"/>
        <v>0</v>
      </c>
      <c r="AK241" s="45"/>
      <c r="AL241" s="53">
        <v>0</v>
      </c>
      <c r="AM241" s="45"/>
      <c r="AN241" s="53">
        <v>0</v>
      </c>
      <c r="AO241" s="53"/>
      <c r="AP241" s="53">
        <v>0</v>
      </c>
      <c r="AQ241" s="53"/>
      <c r="AR241" s="53">
        <v>0</v>
      </c>
      <c r="AS241" s="53"/>
      <c r="AT241" s="45">
        <f t="shared" si="40"/>
        <v>0</v>
      </c>
      <c r="AU241" s="45"/>
      <c r="AV241" s="53">
        <v>0</v>
      </c>
      <c r="AW241" s="53"/>
      <c r="AX241" s="53">
        <v>0</v>
      </c>
      <c r="AY241" s="53"/>
      <c r="AZ241" s="53">
        <f t="shared" si="41"/>
        <v>0</v>
      </c>
      <c r="BA241" s="124"/>
      <c r="BB241" s="126" t="s">
        <v>273</v>
      </c>
      <c r="BD241" s="126" t="s">
        <v>27</v>
      </c>
      <c r="BE241" s="137"/>
      <c r="BF241" s="53">
        <v>0</v>
      </c>
      <c r="BG241" s="53"/>
      <c r="BH241" s="53">
        <v>0</v>
      </c>
      <c r="BI241" s="53"/>
      <c r="BJ241" s="53">
        <v>0</v>
      </c>
      <c r="BK241" s="53"/>
      <c r="BL241" s="53">
        <v>0</v>
      </c>
      <c r="BM241" s="137"/>
      <c r="BN241" s="137">
        <f t="shared" si="43"/>
        <v>0</v>
      </c>
      <c r="BO241" s="139"/>
      <c r="BS241" s="140"/>
      <c r="BT241" s="140"/>
      <c r="BU241" s="141"/>
      <c r="BV241" s="140"/>
      <c r="BW241" s="140"/>
      <c r="BX241" s="140"/>
      <c r="BY241" s="140"/>
      <c r="BZ241" s="140"/>
      <c r="CA241" s="140"/>
      <c r="CB241" s="140"/>
      <c r="CC241" s="140"/>
      <c r="CD241" s="140"/>
      <c r="CE241" s="140"/>
      <c r="CF241" s="140"/>
      <c r="CG241" s="140"/>
      <c r="CH241" s="140"/>
      <c r="CI241" s="140"/>
      <c r="CJ241" s="140"/>
      <c r="CK241" s="140"/>
      <c r="CL241" s="140"/>
      <c r="CM241" s="140"/>
      <c r="CN241" s="140"/>
      <c r="CO241" s="140"/>
      <c r="CP241" s="140"/>
      <c r="CQ241" s="140"/>
    </row>
    <row r="242" spans="1:95" s="126" customFormat="1" ht="12.75" hidden="1" customHeight="1">
      <c r="A242" s="126" t="s">
        <v>274</v>
      </c>
      <c r="B242" s="124"/>
      <c r="C242" s="126" t="s">
        <v>43</v>
      </c>
      <c r="D242" s="121"/>
      <c r="E242" s="53">
        <f t="shared" si="36"/>
        <v>0</v>
      </c>
      <c r="F242" s="53"/>
      <c r="G242" s="53">
        <v>0</v>
      </c>
      <c r="H242" s="53"/>
      <c r="I242" s="53">
        <v>0</v>
      </c>
      <c r="J242" s="53"/>
      <c r="K242" s="53">
        <f t="shared" si="37"/>
        <v>0</v>
      </c>
      <c r="L242" s="53"/>
      <c r="M242" s="53">
        <v>0</v>
      </c>
      <c r="N242" s="53"/>
      <c r="O242" s="53">
        <v>0</v>
      </c>
      <c r="P242" s="53"/>
      <c r="Q242" s="53">
        <v>0</v>
      </c>
      <c r="R242" s="53"/>
      <c r="S242" s="53">
        <v>0</v>
      </c>
      <c r="T242" s="53"/>
      <c r="U242" s="53">
        <v>0</v>
      </c>
      <c r="V242" s="53"/>
      <c r="W242" s="53">
        <f t="shared" si="38"/>
        <v>0</v>
      </c>
      <c r="X242" s="124"/>
      <c r="Y242" s="124"/>
      <c r="Z242" s="126" t="s">
        <v>274</v>
      </c>
      <c r="AA242" s="137"/>
      <c r="AB242" s="126" t="s">
        <v>43</v>
      </c>
      <c r="AC242" s="124"/>
      <c r="AD242" s="53">
        <v>0</v>
      </c>
      <c r="AE242" s="53"/>
      <c r="AF242" s="53">
        <v>0</v>
      </c>
      <c r="AG242" s="53"/>
      <c r="AH242" s="53">
        <v>0</v>
      </c>
      <c r="AI242" s="53"/>
      <c r="AJ242" s="45">
        <f t="shared" si="39"/>
        <v>0</v>
      </c>
      <c r="AK242" s="45"/>
      <c r="AL242" s="53">
        <v>0</v>
      </c>
      <c r="AM242" s="45"/>
      <c r="AN242" s="53">
        <v>0</v>
      </c>
      <c r="AO242" s="53"/>
      <c r="AP242" s="53">
        <v>0</v>
      </c>
      <c r="AQ242" s="53"/>
      <c r="AR242" s="53">
        <v>0</v>
      </c>
      <c r="AS242" s="53"/>
      <c r="AT242" s="45">
        <f t="shared" si="40"/>
        <v>0</v>
      </c>
      <c r="AU242" s="45"/>
      <c r="AV242" s="53">
        <v>0</v>
      </c>
      <c r="AW242" s="53"/>
      <c r="AX242" s="53">
        <v>0</v>
      </c>
      <c r="AY242" s="53"/>
      <c r="AZ242" s="53">
        <f t="shared" si="41"/>
        <v>0</v>
      </c>
      <c r="BA242" s="124"/>
      <c r="BB242" s="126" t="s">
        <v>274</v>
      </c>
      <c r="BD242" s="126" t="s">
        <v>43</v>
      </c>
      <c r="BE242" s="137"/>
      <c r="BF242" s="53">
        <v>0</v>
      </c>
      <c r="BG242" s="53"/>
      <c r="BH242" s="53">
        <v>0</v>
      </c>
      <c r="BI242" s="53"/>
      <c r="BJ242" s="53">
        <v>0</v>
      </c>
      <c r="BK242" s="53"/>
      <c r="BL242" s="53">
        <v>0</v>
      </c>
      <c r="BM242" s="137"/>
      <c r="BN242" s="137">
        <f t="shared" si="43"/>
        <v>0</v>
      </c>
      <c r="BO242" s="139"/>
      <c r="BS242" s="140"/>
      <c r="BT242" s="140"/>
      <c r="BU242" s="141"/>
      <c r="BV242" s="140"/>
      <c r="BW242" s="140"/>
      <c r="BX242" s="140"/>
      <c r="BY242" s="140"/>
      <c r="BZ242" s="140"/>
      <c r="CA242" s="140"/>
      <c r="CB242" s="140"/>
      <c r="CC242" s="140"/>
      <c r="CD242" s="140"/>
      <c r="CE242" s="140"/>
      <c r="CF242" s="140"/>
      <c r="CG242" s="140"/>
      <c r="CH242" s="140"/>
      <c r="CI242" s="140"/>
      <c r="CJ242" s="140"/>
      <c r="CK242" s="140"/>
      <c r="CL242" s="140"/>
      <c r="CM242" s="140"/>
      <c r="CN242" s="140"/>
      <c r="CO242" s="140"/>
      <c r="CP242" s="140"/>
      <c r="CQ242" s="140"/>
    </row>
    <row r="243" spans="1:95" s="126" customFormat="1" ht="12.75" hidden="1" customHeight="1">
      <c r="A243" s="126" t="s">
        <v>275</v>
      </c>
      <c r="B243" s="124"/>
      <c r="C243" s="126" t="s">
        <v>92</v>
      </c>
      <c r="D243" s="121"/>
      <c r="E243" s="53">
        <f t="shared" si="36"/>
        <v>0</v>
      </c>
      <c r="F243" s="53"/>
      <c r="G243" s="53">
        <v>0</v>
      </c>
      <c r="H243" s="53"/>
      <c r="I243" s="53">
        <v>0</v>
      </c>
      <c r="J243" s="53"/>
      <c r="K243" s="53">
        <f t="shared" si="37"/>
        <v>0</v>
      </c>
      <c r="L243" s="53"/>
      <c r="M243" s="53">
        <v>0</v>
      </c>
      <c r="N243" s="53"/>
      <c r="O243" s="53">
        <v>0</v>
      </c>
      <c r="P243" s="53"/>
      <c r="Q243" s="53">
        <v>0</v>
      </c>
      <c r="R243" s="53"/>
      <c r="S243" s="53">
        <v>0</v>
      </c>
      <c r="T243" s="53"/>
      <c r="U243" s="53">
        <v>0</v>
      </c>
      <c r="V243" s="53"/>
      <c r="W243" s="53">
        <f t="shared" si="38"/>
        <v>0</v>
      </c>
      <c r="X243" s="124"/>
      <c r="Y243" s="124"/>
      <c r="Z243" s="126" t="s">
        <v>275</v>
      </c>
      <c r="AA243" s="137"/>
      <c r="AB243" s="126" t="s">
        <v>92</v>
      </c>
      <c r="AC243" s="124"/>
      <c r="AD243" s="53">
        <v>0</v>
      </c>
      <c r="AE243" s="53"/>
      <c r="AF243" s="53">
        <v>0</v>
      </c>
      <c r="AG243" s="53"/>
      <c r="AH243" s="53">
        <v>0</v>
      </c>
      <c r="AI243" s="53"/>
      <c r="AJ243" s="45">
        <f t="shared" si="39"/>
        <v>0</v>
      </c>
      <c r="AK243" s="45"/>
      <c r="AL243" s="53">
        <v>0</v>
      </c>
      <c r="AM243" s="45"/>
      <c r="AN243" s="53">
        <v>0</v>
      </c>
      <c r="AO243" s="53"/>
      <c r="AP243" s="53">
        <v>0</v>
      </c>
      <c r="AQ243" s="53"/>
      <c r="AR243" s="53">
        <v>0</v>
      </c>
      <c r="AS243" s="53"/>
      <c r="AT243" s="45">
        <f t="shared" si="40"/>
        <v>0</v>
      </c>
      <c r="AU243" s="45"/>
      <c r="AV243" s="53">
        <v>0</v>
      </c>
      <c r="AW243" s="53"/>
      <c r="AX243" s="53">
        <v>0</v>
      </c>
      <c r="AY243" s="53"/>
      <c r="AZ243" s="53">
        <f t="shared" si="41"/>
        <v>0</v>
      </c>
      <c r="BA243" s="124"/>
      <c r="BB243" s="126" t="s">
        <v>275</v>
      </c>
      <c r="BD243" s="126" t="s">
        <v>92</v>
      </c>
      <c r="BE243" s="137"/>
      <c r="BF243" s="53">
        <v>0</v>
      </c>
      <c r="BG243" s="53"/>
      <c r="BH243" s="53">
        <v>0</v>
      </c>
      <c r="BI243" s="53"/>
      <c r="BJ243" s="53">
        <v>0</v>
      </c>
      <c r="BK243" s="53"/>
      <c r="BL243" s="53">
        <v>0</v>
      </c>
      <c r="BM243" s="137"/>
      <c r="BN243" s="137">
        <f t="shared" si="43"/>
        <v>0</v>
      </c>
      <c r="BO243" s="139"/>
      <c r="BS243" s="140"/>
      <c r="BT243" s="140"/>
      <c r="BU243" s="141"/>
      <c r="BV243" s="140"/>
      <c r="BW243" s="140"/>
      <c r="BX243" s="140"/>
      <c r="BY243" s="140"/>
      <c r="BZ243" s="140"/>
      <c r="CA243" s="140"/>
      <c r="CB243" s="140"/>
      <c r="CC243" s="140"/>
      <c r="CD243" s="140"/>
      <c r="CE243" s="140"/>
      <c r="CF243" s="140"/>
      <c r="CG243" s="140"/>
      <c r="CH243" s="140"/>
      <c r="CI243" s="140"/>
      <c r="CJ243" s="140"/>
      <c r="CK243" s="140"/>
      <c r="CL243" s="140"/>
      <c r="CM243" s="140"/>
      <c r="CN243" s="140"/>
      <c r="CO243" s="140"/>
      <c r="CP243" s="140"/>
      <c r="CQ243" s="140"/>
    </row>
    <row r="244" spans="1:95" s="35" customFormat="1" ht="12.75" customHeight="1">
      <c r="A244" s="35" t="s">
        <v>276</v>
      </c>
      <c r="B244" s="51"/>
      <c r="C244" s="35" t="s">
        <v>38</v>
      </c>
      <c r="D244" s="44"/>
      <c r="E244" s="53">
        <f t="shared" si="36"/>
        <v>2143311</v>
      </c>
      <c r="F244" s="53"/>
      <c r="G244" s="53">
        <v>5524124</v>
      </c>
      <c r="H244" s="53"/>
      <c r="I244" s="53">
        <v>7667435</v>
      </c>
      <c r="J244" s="53"/>
      <c r="K244" s="53">
        <f t="shared" si="37"/>
        <v>10219875</v>
      </c>
      <c r="L244" s="53"/>
      <c r="M244" s="53">
        <v>979839</v>
      </c>
      <c r="N244" s="53"/>
      <c r="O244" s="53">
        <v>11199714</v>
      </c>
      <c r="P244" s="53"/>
      <c r="Q244" s="53">
        <v>4560390</v>
      </c>
      <c r="R244" s="53"/>
      <c r="S244" s="53">
        <v>0</v>
      </c>
      <c r="T244" s="53"/>
      <c r="U244" s="53">
        <v>1907331</v>
      </c>
      <c r="V244" s="53"/>
      <c r="W244" s="53">
        <f t="shared" si="38"/>
        <v>6467721</v>
      </c>
      <c r="X244" s="51"/>
      <c r="Y244" s="51"/>
      <c r="Z244" s="35" t="s">
        <v>276</v>
      </c>
      <c r="AA244" s="53"/>
      <c r="AB244" s="35" t="s">
        <v>38</v>
      </c>
      <c r="AC244" s="51"/>
      <c r="AD244" s="53">
        <v>1841670</v>
      </c>
      <c r="AE244" s="53"/>
      <c r="AF244" s="53">
        <f>1874549-390286</f>
        <v>1484263</v>
      </c>
      <c r="AG244" s="53"/>
      <c r="AH244" s="53">
        <v>390286</v>
      </c>
      <c r="AI244" s="53"/>
      <c r="AJ244" s="45">
        <f t="shared" si="39"/>
        <v>-32879</v>
      </c>
      <c r="AK244" s="45"/>
      <c r="AL244" s="53">
        <v>3414</v>
      </c>
      <c r="AM244" s="45"/>
      <c r="AN244" s="53">
        <v>0</v>
      </c>
      <c r="AO244" s="53"/>
      <c r="AP244" s="53">
        <v>0</v>
      </c>
      <c r="AQ244" s="53"/>
      <c r="AR244" s="53">
        <v>0</v>
      </c>
      <c r="AS244" s="53"/>
      <c r="AT244" s="45">
        <f t="shared" si="40"/>
        <v>-29465</v>
      </c>
      <c r="AU244" s="45"/>
      <c r="AV244" s="53">
        <v>0</v>
      </c>
      <c r="AW244" s="53"/>
      <c r="AX244" s="53">
        <v>0</v>
      </c>
      <c r="AY244" s="53"/>
      <c r="AZ244" s="53">
        <f t="shared" si="41"/>
        <v>-8076564</v>
      </c>
      <c r="BA244" s="51"/>
      <c r="BB244" s="35" t="s">
        <v>276</v>
      </c>
      <c r="BD244" s="35" t="s">
        <v>38</v>
      </c>
      <c r="BE244" s="53"/>
      <c r="BF244" s="53">
        <v>0</v>
      </c>
      <c r="BG244" s="53"/>
      <c r="BH244" s="53">
        <v>0</v>
      </c>
      <c r="BI244" s="53"/>
      <c r="BJ244" s="53">
        <f>851900+35086+74328+2420</f>
        <v>963734</v>
      </c>
      <c r="BK244" s="53"/>
      <c r="BL244" s="53">
        <f>92853+83326</f>
        <v>176179</v>
      </c>
      <c r="BM244" s="53"/>
      <c r="BN244" s="53">
        <f t="shared" si="43"/>
        <v>1139913</v>
      </c>
      <c r="BO244" s="54"/>
      <c r="BS244" s="55"/>
      <c r="BT244" s="55"/>
      <c r="BU244" s="84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</row>
    <row r="245" spans="1:95" s="126" customFormat="1" ht="12.75" hidden="1" customHeight="1">
      <c r="A245" s="126" t="s">
        <v>277</v>
      </c>
      <c r="B245" s="124"/>
      <c r="C245" s="126" t="s">
        <v>92</v>
      </c>
      <c r="D245" s="121"/>
      <c r="E245" s="53">
        <f t="shared" si="36"/>
        <v>0</v>
      </c>
      <c r="F245" s="53"/>
      <c r="G245" s="53">
        <v>0</v>
      </c>
      <c r="H245" s="53"/>
      <c r="I245" s="53">
        <v>0</v>
      </c>
      <c r="J245" s="53"/>
      <c r="K245" s="53">
        <f t="shared" si="37"/>
        <v>0</v>
      </c>
      <c r="L245" s="53"/>
      <c r="M245" s="53">
        <v>0</v>
      </c>
      <c r="N245" s="53"/>
      <c r="O245" s="53">
        <v>0</v>
      </c>
      <c r="P245" s="53"/>
      <c r="Q245" s="53">
        <v>0</v>
      </c>
      <c r="R245" s="53"/>
      <c r="S245" s="53">
        <v>0</v>
      </c>
      <c r="T245" s="53"/>
      <c r="U245" s="53">
        <v>0</v>
      </c>
      <c r="V245" s="53"/>
      <c r="W245" s="53">
        <f t="shared" si="38"/>
        <v>0</v>
      </c>
      <c r="X245" s="124"/>
      <c r="Y245" s="124"/>
      <c r="Z245" s="126" t="s">
        <v>277</v>
      </c>
      <c r="AA245" s="137"/>
      <c r="AB245" s="126" t="s">
        <v>92</v>
      </c>
      <c r="AC245" s="124"/>
      <c r="AD245" s="53">
        <v>0</v>
      </c>
      <c r="AE245" s="53"/>
      <c r="AF245" s="53">
        <v>0</v>
      </c>
      <c r="AG245" s="53"/>
      <c r="AH245" s="53">
        <v>0</v>
      </c>
      <c r="AI245" s="53"/>
      <c r="AJ245" s="45">
        <f t="shared" si="39"/>
        <v>0</v>
      </c>
      <c r="AK245" s="45"/>
      <c r="AL245" s="53">
        <v>0</v>
      </c>
      <c r="AM245" s="45"/>
      <c r="AN245" s="53">
        <v>0</v>
      </c>
      <c r="AO245" s="53"/>
      <c r="AP245" s="53">
        <v>0</v>
      </c>
      <c r="AQ245" s="53"/>
      <c r="AR245" s="53">
        <v>0</v>
      </c>
      <c r="AS245" s="53"/>
      <c r="AT245" s="45">
        <f t="shared" si="40"/>
        <v>0</v>
      </c>
      <c r="AU245" s="45"/>
      <c r="AV245" s="53">
        <v>0</v>
      </c>
      <c r="AW245" s="53"/>
      <c r="AX245" s="53">
        <v>0</v>
      </c>
      <c r="AY245" s="53"/>
      <c r="AZ245" s="53">
        <f t="shared" si="41"/>
        <v>0</v>
      </c>
      <c r="BA245" s="124"/>
      <c r="BB245" s="126" t="s">
        <v>277</v>
      </c>
      <c r="BD245" s="126" t="s">
        <v>92</v>
      </c>
      <c r="BE245" s="137"/>
      <c r="BF245" s="53">
        <v>0</v>
      </c>
      <c r="BG245" s="53"/>
      <c r="BH245" s="53">
        <v>0</v>
      </c>
      <c r="BI245" s="53"/>
      <c r="BJ245" s="53">
        <v>0</v>
      </c>
      <c r="BK245" s="53"/>
      <c r="BL245" s="53">
        <v>0</v>
      </c>
      <c r="BM245" s="137"/>
      <c r="BN245" s="137">
        <f t="shared" si="43"/>
        <v>0</v>
      </c>
      <c r="BO245" s="139"/>
      <c r="BP245" s="140"/>
      <c r="BS245" s="140"/>
      <c r="BT245" s="140"/>
      <c r="BU245" s="141"/>
      <c r="BV245" s="140"/>
      <c r="BW245" s="140"/>
      <c r="BX245" s="140"/>
      <c r="BY245" s="140"/>
      <c r="BZ245" s="140"/>
      <c r="CA245" s="140"/>
      <c r="CB245" s="140"/>
      <c r="CC245" s="140"/>
      <c r="CD245" s="140"/>
      <c r="CE245" s="140"/>
      <c r="CF245" s="140"/>
      <c r="CG245" s="140"/>
      <c r="CH245" s="140"/>
      <c r="CI245" s="140"/>
      <c r="CJ245" s="140"/>
      <c r="CK245" s="140"/>
      <c r="CL245" s="140"/>
      <c r="CM245" s="140"/>
      <c r="CN245" s="140"/>
      <c r="CO245" s="140"/>
      <c r="CP245" s="140"/>
      <c r="CQ245" s="140"/>
    </row>
    <row r="246" spans="1:95" s="126" customFormat="1" ht="12.75" hidden="1" customHeight="1">
      <c r="A246" s="126" t="s">
        <v>278</v>
      </c>
      <c r="B246" s="124"/>
      <c r="C246" s="126" t="s">
        <v>92</v>
      </c>
      <c r="D246" s="121"/>
      <c r="E246" s="53">
        <f t="shared" si="36"/>
        <v>0</v>
      </c>
      <c r="F246" s="53"/>
      <c r="G246" s="53">
        <v>0</v>
      </c>
      <c r="H246" s="53"/>
      <c r="I246" s="53">
        <v>0</v>
      </c>
      <c r="J246" s="53"/>
      <c r="K246" s="53">
        <f t="shared" si="37"/>
        <v>0</v>
      </c>
      <c r="L246" s="53"/>
      <c r="M246" s="53">
        <v>0</v>
      </c>
      <c r="N246" s="53"/>
      <c r="O246" s="53">
        <v>0</v>
      </c>
      <c r="P246" s="53"/>
      <c r="Q246" s="53">
        <v>0</v>
      </c>
      <c r="R246" s="53"/>
      <c r="S246" s="53">
        <v>0</v>
      </c>
      <c r="T246" s="53"/>
      <c r="U246" s="53">
        <v>0</v>
      </c>
      <c r="V246" s="53"/>
      <c r="W246" s="53">
        <f t="shared" si="38"/>
        <v>0</v>
      </c>
      <c r="X246" s="124"/>
      <c r="Y246" s="124"/>
      <c r="Z246" s="126" t="s">
        <v>278</v>
      </c>
      <c r="AA246" s="137"/>
      <c r="AB246" s="126" t="s">
        <v>92</v>
      </c>
      <c r="AC246" s="124"/>
      <c r="AD246" s="53">
        <v>0</v>
      </c>
      <c r="AE246" s="53"/>
      <c r="AF246" s="53">
        <v>0</v>
      </c>
      <c r="AG246" s="53"/>
      <c r="AH246" s="53">
        <v>0</v>
      </c>
      <c r="AI246" s="53"/>
      <c r="AJ246" s="45">
        <f t="shared" si="39"/>
        <v>0</v>
      </c>
      <c r="AK246" s="45"/>
      <c r="AL246" s="53">
        <v>0</v>
      </c>
      <c r="AM246" s="45"/>
      <c r="AN246" s="53">
        <v>0</v>
      </c>
      <c r="AO246" s="53"/>
      <c r="AP246" s="53">
        <v>0</v>
      </c>
      <c r="AQ246" s="53"/>
      <c r="AR246" s="53">
        <v>0</v>
      </c>
      <c r="AS246" s="53"/>
      <c r="AT246" s="45">
        <f t="shared" si="40"/>
        <v>0</v>
      </c>
      <c r="AU246" s="45"/>
      <c r="AV246" s="53">
        <v>0</v>
      </c>
      <c r="AW246" s="53"/>
      <c r="AX246" s="53">
        <v>0</v>
      </c>
      <c r="AY246" s="53"/>
      <c r="AZ246" s="53">
        <f t="shared" si="41"/>
        <v>0</v>
      </c>
      <c r="BA246" s="124"/>
      <c r="BB246" s="126" t="s">
        <v>278</v>
      </c>
      <c r="BD246" s="126" t="s">
        <v>92</v>
      </c>
      <c r="BE246" s="137"/>
      <c r="BF246" s="53">
        <v>0</v>
      </c>
      <c r="BG246" s="53"/>
      <c r="BH246" s="53">
        <v>0</v>
      </c>
      <c r="BI246" s="53"/>
      <c r="BJ246" s="53">
        <v>0</v>
      </c>
      <c r="BK246" s="53"/>
      <c r="BL246" s="53">
        <v>0</v>
      </c>
      <c r="BM246" s="137"/>
      <c r="BN246" s="137">
        <f t="shared" si="43"/>
        <v>0</v>
      </c>
      <c r="BO246" s="139"/>
      <c r="BS246" s="140"/>
      <c r="BT246" s="140"/>
      <c r="BU246" s="141"/>
      <c r="BV246" s="140"/>
      <c r="BW246" s="140"/>
      <c r="BX246" s="140"/>
      <c r="BY246" s="140"/>
      <c r="BZ246" s="140"/>
      <c r="CA246" s="140"/>
      <c r="CB246" s="140"/>
      <c r="CC246" s="140"/>
      <c r="CD246" s="140"/>
      <c r="CE246" s="140"/>
      <c r="CF246" s="140"/>
      <c r="CG246" s="140"/>
      <c r="CH246" s="140"/>
      <c r="CI246" s="140"/>
      <c r="CJ246" s="140"/>
      <c r="CK246" s="140"/>
      <c r="CL246" s="140"/>
      <c r="CM246" s="140"/>
      <c r="CN246" s="140"/>
      <c r="CO246" s="140"/>
      <c r="CP246" s="140"/>
      <c r="CQ246" s="140"/>
    </row>
    <row r="247" spans="1:95" s="126" customFormat="1" ht="12.75" hidden="1" customHeight="1">
      <c r="A247" s="126" t="s">
        <v>279</v>
      </c>
      <c r="B247" s="124"/>
      <c r="C247" s="126" t="s">
        <v>92</v>
      </c>
      <c r="D247" s="121"/>
      <c r="E247" s="53">
        <f t="shared" si="36"/>
        <v>0</v>
      </c>
      <c r="F247" s="53"/>
      <c r="G247" s="53">
        <v>0</v>
      </c>
      <c r="H247" s="53"/>
      <c r="I247" s="53">
        <v>0</v>
      </c>
      <c r="J247" s="53"/>
      <c r="K247" s="53">
        <f t="shared" si="37"/>
        <v>0</v>
      </c>
      <c r="L247" s="53"/>
      <c r="M247" s="53">
        <v>0</v>
      </c>
      <c r="N247" s="53"/>
      <c r="O247" s="53">
        <v>0</v>
      </c>
      <c r="P247" s="53"/>
      <c r="Q247" s="53">
        <v>0</v>
      </c>
      <c r="R247" s="53"/>
      <c r="S247" s="53">
        <v>0</v>
      </c>
      <c r="T247" s="53"/>
      <c r="U247" s="53">
        <v>0</v>
      </c>
      <c r="V247" s="53"/>
      <c r="W247" s="53">
        <f t="shared" si="38"/>
        <v>0</v>
      </c>
      <c r="X247" s="124"/>
      <c r="Y247" s="124"/>
      <c r="Z247" s="126" t="s">
        <v>279</v>
      </c>
      <c r="AA247" s="137"/>
      <c r="AB247" s="126" t="s">
        <v>92</v>
      </c>
      <c r="AC247" s="124"/>
      <c r="AD247" s="53">
        <v>0</v>
      </c>
      <c r="AE247" s="53"/>
      <c r="AF247" s="53">
        <v>0</v>
      </c>
      <c r="AG247" s="53"/>
      <c r="AH247" s="53">
        <v>0</v>
      </c>
      <c r="AI247" s="53"/>
      <c r="AJ247" s="45">
        <f t="shared" si="39"/>
        <v>0</v>
      </c>
      <c r="AK247" s="45"/>
      <c r="AL247" s="53">
        <v>0</v>
      </c>
      <c r="AM247" s="45"/>
      <c r="AN247" s="53">
        <v>0</v>
      </c>
      <c r="AO247" s="53"/>
      <c r="AP247" s="53">
        <v>0</v>
      </c>
      <c r="AQ247" s="53"/>
      <c r="AR247" s="53">
        <v>0</v>
      </c>
      <c r="AS247" s="53"/>
      <c r="AT247" s="45">
        <f t="shared" si="40"/>
        <v>0</v>
      </c>
      <c r="AU247" s="45"/>
      <c r="AV247" s="53">
        <v>0</v>
      </c>
      <c r="AW247" s="53"/>
      <c r="AX247" s="53">
        <v>0</v>
      </c>
      <c r="AY247" s="53"/>
      <c r="AZ247" s="53">
        <f t="shared" si="41"/>
        <v>0</v>
      </c>
      <c r="BA247" s="124"/>
      <c r="BB247" s="126" t="s">
        <v>279</v>
      </c>
      <c r="BD247" s="126" t="s">
        <v>92</v>
      </c>
      <c r="BE247" s="137"/>
      <c r="BF247" s="53">
        <v>0</v>
      </c>
      <c r="BG247" s="53"/>
      <c r="BH247" s="53">
        <v>0</v>
      </c>
      <c r="BI247" s="53"/>
      <c r="BJ247" s="53">
        <v>0</v>
      </c>
      <c r="BK247" s="53"/>
      <c r="BL247" s="53">
        <v>0</v>
      </c>
      <c r="BM247" s="137"/>
      <c r="BN247" s="137">
        <f t="shared" si="43"/>
        <v>0</v>
      </c>
      <c r="BO247" s="139"/>
      <c r="BS247" s="140"/>
      <c r="BT247" s="140"/>
      <c r="BU247" s="141"/>
      <c r="BV247" s="140"/>
      <c r="BW247" s="140"/>
      <c r="BX247" s="140"/>
      <c r="BY247" s="140"/>
      <c r="BZ247" s="140"/>
      <c r="CA247" s="140"/>
      <c r="CB247" s="140"/>
      <c r="CC247" s="140"/>
      <c r="CD247" s="140"/>
      <c r="CE247" s="140"/>
      <c r="CF247" s="140"/>
      <c r="CG247" s="140"/>
      <c r="CH247" s="140"/>
      <c r="CI247" s="140"/>
      <c r="CJ247" s="140"/>
      <c r="CK247" s="140"/>
      <c r="CL247" s="140"/>
      <c r="CM247" s="140"/>
      <c r="CN247" s="140"/>
      <c r="CO247" s="140"/>
      <c r="CP247" s="140"/>
      <c r="CQ247" s="140"/>
    </row>
    <row r="248" spans="1:95" s="35" customFormat="1" ht="12.75" customHeight="1">
      <c r="A248" s="35" t="s">
        <v>280</v>
      </c>
      <c r="B248" s="51"/>
      <c r="C248" s="35" t="s">
        <v>281</v>
      </c>
      <c r="D248" s="44"/>
      <c r="E248" s="53">
        <f t="shared" si="36"/>
        <v>2926988</v>
      </c>
      <c r="F248" s="53"/>
      <c r="G248" s="53">
        <v>21464315</v>
      </c>
      <c r="H248" s="53"/>
      <c r="I248" s="53">
        <v>24391303</v>
      </c>
      <c r="J248" s="53"/>
      <c r="K248" s="53">
        <f t="shared" si="37"/>
        <v>488963</v>
      </c>
      <c r="L248" s="53"/>
      <c r="M248" s="53">
        <v>12540829</v>
      </c>
      <c r="N248" s="53"/>
      <c r="O248" s="53">
        <v>13029792</v>
      </c>
      <c r="P248" s="53"/>
      <c r="Q248" s="53">
        <v>8164239</v>
      </c>
      <c r="R248" s="53"/>
      <c r="S248" s="53">
        <v>394633</v>
      </c>
      <c r="T248" s="53"/>
      <c r="U248" s="53">
        <v>2802639</v>
      </c>
      <c r="V248" s="53"/>
      <c r="W248" s="53">
        <f t="shared" si="38"/>
        <v>11361511</v>
      </c>
      <c r="X248" s="51"/>
      <c r="Y248" s="51"/>
      <c r="Z248" s="35" t="s">
        <v>280</v>
      </c>
      <c r="AA248" s="53"/>
      <c r="AB248" s="35" t="s">
        <v>281</v>
      </c>
      <c r="AC248" s="51"/>
      <c r="AD248" s="53">
        <v>2734184</v>
      </c>
      <c r="AE248" s="53"/>
      <c r="AF248" s="53">
        <f>2405580-675626</f>
        <v>1729954</v>
      </c>
      <c r="AG248" s="53"/>
      <c r="AH248" s="53">
        <v>675626</v>
      </c>
      <c r="AI248" s="53"/>
      <c r="AJ248" s="45">
        <f t="shared" si="39"/>
        <v>328604</v>
      </c>
      <c r="AK248" s="45"/>
      <c r="AL248" s="53">
        <v>-461779</v>
      </c>
      <c r="AM248" s="45"/>
      <c r="AN248" s="53">
        <v>0</v>
      </c>
      <c r="AO248" s="53"/>
      <c r="AP248" s="53">
        <v>0</v>
      </c>
      <c r="AQ248" s="53"/>
      <c r="AR248" s="53">
        <v>0</v>
      </c>
      <c r="AS248" s="53"/>
      <c r="AT248" s="45">
        <f t="shared" si="40"/>
        <v>-133175</v>
      </c>
      <c r="AU248" s="45"/>
      <c r="AV248" s="53">
        <v>0</v>
      </c>
      <c r="AW248" s="53"/>
      <c r="AX248" s="53">
        <v>0</v>
      </c>
      <c r="AY248" s="53"/>
      <c r="AZ248" s="53">
        <f t="shared" si="41"/>
        <v>2438025</v>
      </c>
      <c r="BA248" s="51"/>
      <c r="BB248" s="35" t="s">
        <v>280</v>
      </c>
      <c r="BD248" s="35" t="s">
        <v>281</v>
      </c>
      <c r="BE248" s="53"/>
      <c r="BF248" s="53">
        <v>0</v>
      </c>
      <c r="BG248" s="53"/>
      <c r="BH248" s="53">
        <f>13330000+355000-425902-465813</f>
        <v>12793285</v>
      </c>
      <c r="BI248" s="53"/>
      <c r="BJ248" s="53">
        <v>0</v>
      </c>
      <c r="BK248" s="53"/>
      <c r="BL248" s="53">
        <f>61566+40978+26332</f>
        <v>128876</v>
      </c>
      <c r="BM248" s="53"/>
      <c r="BN248" s="53">
        <f t="shared" si="43"/>
        <v>12922161</v>
      </c>
      <c r="BO248" s="54"/>
      <c r="BS248" s="55"/>
      <c r="BT248" s="55"/>
      <c r="BU248" s="84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</row>
    <row r="249" spans="1:95" s="35" customFormat="1" ht="12.75" customHeight="1">
      <c r="A249" s="35" t="s">
        <v>282</v>
      </c>
      <c r="B249" s="51"/>
      <c r="C249" s="35" t="s">
        <v>199</v>
      </c>
      <c r="D249" s="44"/>
      <c r="E249" s="53">
        <v>26389075</v>
      </c>
      <c r="F249" s="53"/>
      <c r="G249" s="53">
        <v>27923552</v>
      </c>
      <c r="H249" s="53"/>
      <c r="I249" s="53">
        <v>4619340</v>
      </c>
      <c r="J249" s="53"/>
      <c r="K249" s="53">
        <f t="shared" si="37"/>
        <v>3350724</v>
      </c>
      <c r="L249" s="53"/>
      <c r="M249" s="53">
        <v>4619344</v>
      </c>
      <c r="N249" s="53"/>
      <c r="O249" s="53">
        <v>7970068</v>
      </c>
      <c r="P249" s="53"/>
      <c r="Q249" s="53">
        <v>19063046</v>
      </c>
      <c r="R249" s="53"/>
      <c r="S249" s="53">
        <v>0</v>
      </c>
      <c r="T249" s="53"/>
      <c r="U249" s="53">
        <v>890438</v>
      </c>
      <c r="V249" s="53"/>
      <c r="W249" s="53">
        <f t="shared" si="38"/>
        <v>19953484</v>
      </c>
      <c r="X249" s="51"/>
      <c r="Y249" s="51"/>
      <c r="Z249" s="35" t="s">
        <v>282</v>
      </c>
      <c r="AA249" s="53"/>
      <c r="AB249" s="35" t="s">
        <v>199</v>
      </c>
      <c r="AC249" s="51"/>
      <c r="AD249" s="53">
        <v>4278947</v>
      </c>
      <c r="AE249" s="53"/>
      <c r="AF249" s="53">
        <f>4456241-1080790</f>
        <v>3375451</v>
      </c>
      <c r="AG249" s="53"/>
      <c r="AH249" s="53">
        <v>1080790</v>
      </c>
      <c r="AI249" s="53"/>
      <c r="AJ249" s="45">
        <f t="shared" si="39"/>
        <v>-177294</v>
      </c>
      <c r="AK249" s="45"/>
      <c r="AL249" s="53">
        <v>49683</v>
      </c>
      <c r="AM249" s="45"/>
      <c r="AN249" s="53">
        <v>0</v>
      </c>
      <c r="AO249" s="53"/>
      <c r="AP249" s="53">
        <v>0</v>
      </c>
      <c r="AQ249" s="53"/>
      <c r="AR249" s="53">
        <v>0</v>
      </c>
      <c r="AS249" s="53"/>
      <c r="AT249" s="45">
        <f t="shared" si="40"/>
        <v>-127611</v>
      </c>
      <c r="AU249" s="45"/>
      <c r="AV249" s="53">
        <v>0</v>
      </c>
      <c r="AW249" s="53"/>
      <c r="AX249" s="53">
        <v>0</v>
      </c>
      <c r="AY249" s="53"/>
      <c r="AZ249" s="53">
        <f t="shared" si="41"/>
        <v>23038351</v>
      </c>
      <c r="BA249" s="51"/>
      <c r="BB249" s="35" t="s">
        <v>282</v>
      </c>
      <c r="BD249" s="35" t="s">
        <v>199</v>
      </c>
      <c r="BE249" s="53"/>
      <c r="BF249" s="53">
        <f>4370391+2955638</f>
        <v>7326029</v>
      </c>
      <c r="BG249" s="53"/>
      <c r="BH249" s="53">
        <v>0</v>
      </c>
      <c r="BI249" s="53"/>
      <c r="BJ249" s="53">
        <v>0</v>
      </c>
      <c r="BK249" s="53"/>
      <c r="BL249" s="53">
        <f>86507+248949</f>
        <v>335456</v>
      </c>
      <c r="BM249" s="53"/>
      <c r="BN249" s="53">
        <f t="shared" si="43"/>
        <v>7661485</v>
      </c>
      <c r="BO249" s="54"/>
      <c r="BS249" s="55"/>
      <c r="BT249" s="55"/>
      <c r="BU249" s="84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</row>
    <row r="250" spans="1:95" s="126" customFormat="1" ht="12.75" hidden="1" customHeight="1">
      <c r="A250" s="126" t="s">
        <v>283</v>
      </c>
      <c r="B250" s="124"/>
      <c r="C250" s="126" t="s">
        <v>43</v>
      </c>
      <c r="D250" s="121"/>
      <c r="E250" s="53">
        <f t="shared" si="36"/>
        <v>0</v>
      </c>
      <c r="F250" s="53"/>
      <c r="G250" s="53">
        <v>0</v>
      </c>
      <c r="H250" s="53"/>
      <c r="I250" s="53">
        <v>0</v>
      </c>
      <c r="J250" s="53"/>
      <c r="K250" s="53">
        <f t="shared" si="37"/>
        <v>0</v>
      </c>
      <c r="L250" s="53"/>
      <c r="M250" s="53">
        <v>0</v>
      </c>
      <c r="N250" s="53"/>
      <c r="O250" s="53">
        <v>0</v>
      </c>
      <c r="P250" s="53"/>
      <c r="Q250" s="53">
        <v>0</v>
      </c>
      <c r="R250" s="53"/>
      <c r="S250" s="53">
        <v>0</v>
      </c>
      <c r="T250" s="53"/>
      <c r="U250" s="53">
        <v>0</v>
      </c>
      <c r="V250" s="53"/>
      <c r="W250" s="53">
        <f t="shared" si="38"/>
        <v>0</v>
      </c>
      <c r="X250" s="124"/>
      <c r="Y250" s="124"/>
      <c r="Z250" s="126" t="s">
        <v>283</v>
      </c>
      <c r="AA250" s="137"/>
      <c r="AB250" s="126" t="s">
        <v>43</v>
      </c>
      <c r="AC250" s="124"/>
      <c r="AD250" s="53">
        <v>0</v>
      </c>
      <c r="AE250" s="53"/>
      <c r="AF250" s="53">
        <v>0</v>
      </c>
      <c r="AG250" s="53"/>
      <c r="AH250" s="53">
        <v>0</v>
      </c>
      <c r="AI250" s="53"/>
      <c r="AJ250" s="45">
        <f t="shared" si="39"/>
        <v>0</v>
      </c>
      <c r="AK250" s="45"/>
      <c r="AL250" s="53">
        <v>0</v>
      </c>
      <c r="AM250" s="45"/>
      <c r="AN250" s="53">
        <v>0</v>
      </c>
      <c r="AO250" s="53"/>
      <c r="AP250" s="53">
        <v>0</v>
      </c>
      <c r="AQ250" s="53"/>
      <c r="AR250" s="53">
        <v>0</v>
      </c>
      <c r="AS250" s="53"/>
      <c r="AT250" s="45">
        <f t="shared" si="40"/>
        <v>0</v>
      </c>
      <c r="AU250" s="45"/>
      <c r="AV250" s="53">
        <v>0</v>
      </c>
      <c r="AW250" s="53"/>
      <c r="AX250" s="53">
        <v>0</v>
      </c>
      <c r="AY250" s="53"/>
      <c r="AZ250" s="53">
        <f t="shared" si="41"/>
        <v>0</v>
      </c>
      <c r="BA250" s="124"/>
      <c r="BB250" s="126" t="s">
        <v>283</v>
      </c>
      <c r="BD250" s="126" t="s">
        <v>43</v>
      </c>
      <c r="BE250" s="137"/>
      <c r="BF250" s="53">
        <v>0</v>
      </c>
      <c r="BG250" s="53"/>
      <c r="BH250" s="53">
        <v>0</v>
      </c>
      <c r="BI250" s="53"/>
      <c r="BJ250" s="53">
        <v>0</v>
      </c>
      <c r="BK250" s="53"/>
      <c r="BL250" s="53">
        <v>0</v>
      </c>
      <c r="BM250" s="137"/>
      <c r="BN250" s="137">
        <f t="shared" si="43"/>
        <v>0</v>
      </c>
      <c r="BO250" s="139"/>
      <c r="BS250" s="140"/>
      <c r="BT250" s="140"/>
      <c r="BU250" s="141"/>
      <c r="BV250" s="140"/>
      <c r="BW250" s="140"/>
      <c r="BX250" s="140"/>
      <c r="BY250" s="140"/>
      <c r="BZ250" s="140"/>
      <c r="CA250" s="140"/>
      <c r="CB250" s="140"/>
      <c r="CC250" s="140"/>
      <c r="CD250" s="140"/>
      <c r="CE250" s="140"/>
      <c r="CF250" s="140"/>
      <c r="CG250" s="140"/>
      <c r="CH250" s="140"/>
      <c r="CI250" s="140"/>
      <c r="CJ250" s="140"/>
      <c r="CK250" s="140"/>
      <c r="CL250" s="140"/>
      <c r="CM250" s="140"/>
      <c r="CN250" s="140"/>
      <c r="CO250" s="140"/>
      <c r="CP250" s="140"/>
      <c r="CQ250" s="140"/>
    </row>
    <row r="251" spans="1:95" s="35" customFormat="1" ht="12.75" customHeight="1">
      <c r="A251" s="35" t="s">
        <v>284</v>
      </c>
      <c r="B251" s="51"/>
      <c r="C251" s="35" t="s">
        <v>45</v>
      </c>
      <c r="D251" s="44"/>
      <c r="E251" s="53">
        <f t="shared" si="36"/>
        <v>1517722</v>
      </c>
      <c r="F251" s="53"/>
      <c r="G251" s="53">
        <v>6727837</v>
      </c>
      <c r="H251" s="53"/>
      <c r="I251" s="53">
        <v>8245559</v>
      </c>
      <c r="J251" s="53"/>
      <c r="K251" s="53">
        <f t="shared" si="37"/>
        <v>729903</v>
      </c>
      <c r="L251" s="53"/>
      <c r="M251" s="53">
        <v>6249756</v>
      </c>
      <c r="N251" s="53"/>
      <c r="O251" s="53">
        <v>6979659</v>
      </c>
      <c r="P251" s="53"/>
      <c r="Q251" s="53">
        <v>462426</v>
      </c>
      <c r="R251" s="53"/>
      <c r="S251" s="53">
        <v>393716</v>
      </c>
      <c r="T251" s="53"/>
      <c r="U251" s="53">
        <v>409758</v>
      </c>
      <c r="V251" s="53"/>
      <c r="W251" s="53">
        <f t="shared" si="38"/>
        <v>1265900</v>
      </c>
      <c r="X251" s="51"/>
      <c r="Y251" s="51"/>
      <c r="Z251" s="35" t="s">
        <v>284</v>
      </c>
      <c r="AA251" s="53"/>
      <c r="AB251" s="35" t="s">
        <v>45</v>
      </c>
      <c r="AC251" s="51"/>
      <c r="AD251" s="53">
        <v>1781848</v>
      </c>
      <c r="AE251" s="53"/>
      <c r="AF251" s="53">
        <f>1681758-212979</f>
        <v>1468779</v>
      </c>
      <c r="AG251" s="53"/>
      <c r="AH251" s="53">
        <v>212979</v>
      </c>
      <c r="AI251" s="53"/>
      <c r="AJ251" s="45">
        <f t="shared" si="39"/>
        <v>100090</v>
      </c>
      <c r="AK251" s="45"/>
      <c r="AL251" s="53">
        <v>-211597</v>
      </c>
      <c r="AM251" s="45"/>
      <c r="AN251" s="53">
        <v>310895</v>
      </c>
      <c r="AO251" s="53"/>
      <c r="AP251" s="53">
        <v>399331</v>
      </c>
      <c r="AQ251" s="53"/>
      <c r="AR251" s="53">
        <v>0</v>
      </c>
      <c r="AS251" s="53"/>
      <c r="AT251" s="45">
        <f t="shared" si="40"/>
        <v>-199943</v>
      </c>
      <c r="AU251" s="45"/>
      <c r="AV251" s="53">
        <v>0</v>
      </c>
      <c r="AW251" s="53"/>
      <c r="AX251" s="53">
        <v>0</v>
      </c>
      <c r="AY251" s="53"/>
      <c r="AZ251" s="53">
        <f t="shared" si="41"/>
        <v>787819</v>
      </c>
      <c r="BA251" s="51"/>
      <c r="BB251" s="35" t="s">
        <v>284</v>
      </c>
      <c r="BD251" s="35" t="s">
        <v>45</v>
      </c>
      <c r="BE251" s="53"/>
      <c r="BF251" s="53">
        <f>6326189+422938</f>
        <v>6749127</v>
      </c>
      <c r="BG251" s="53"/>
      <c r="BH251" s="53">
        <v>0</v>
      </c>
      <c r="BI251" s="53"/>
      <c r="BJ251" s="53">
        <v>0</v>
      </c>
      <c r="BK251" s="53"/>
      <c r="BL251" s="53">
        <f>13567+8821</f>
        <v>22388</v>
      </c>
      <c r="BM251" s="53"/>
      <c r="BN251" s="53">
        <f t="shared" si="43"/>
        <v>6771515</v>
      </c>
      <c r="BO251" s="54"/>
      <c r="BS251" s="55"/>
      <c r="BT251" s="55"/>
      <c r="BU251" s="84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</row>
    <row r="252" spans="1:95" s="35" customFormat="1" ht="12.75" customHeight="1">
      <c r="A252" s="35" t="s">
        <v>285</v>
      </c>
      <c r="C252" s="35" t="s">
        <v>30</v>
      </c>
      <c r="D252" s="44"/>
      <c r="E252" s="53">
        <f t="shared" si="36"/>
        <v>3805975</v>
      </c>
      <c r="F252" s="53"/>
      <c r="G252" s="53">
        <v>8653068</v>
      </c>
      <c r="H252" s="53"/>
      <c r="I252" s="53">
        <v>12459043</v>
      </c>
      <c r="J252" s="53"/>
      <c r="K252" s="53">
        <f t="shared" si="37"/>
        <v>502970</v>
      </c>
      <c r="L252" s="53"/>
      <c r="M252" s="53">
        <v>592511</v>
      </c>
      <c r="N252" s="53"/>
      <c r="O252" s="53">
        <v>1095481</v>
      </c>
      <c r="P252" s="53"/>
      <c r="Q252" s="53">
        <v>7849202</v>
      </c>
      <c r="R252" s="53"/>
      <c r="S252" s="53">
        <v>0</v>
      </c>
      <c r="T252" s="53"/>
      <c r="U252" s="53">
        <v>3514360</v>
      </c>
      <c r="V252" s="53"/>
      <c r="W252" s="53">
        <f t="shared" si="38"/>
        <v>11363562</v>
      </c>
      <c r="Z252" s="35" t="s">
        <v>285</v>
      </c>
      <c r="AA252" s="53"/>
      <c r="AB252" s="35" t="s">
        <v>30</v>
      </c>
      <c r="AD252" s="53">
        <v>3272281</v>
      </c>
      <c r="AE252" s="53"/>
      <c r="AF252" s="53">
        <f>3068692-421439</f>
        <v>2647253</v>
      </c>
      <c r="AG252" s="53"/>
      <c r="AH252" s="53">
        <v>421439</v>
      </c>
      <c r="AI252" s="53"/>
      <c r="AJ252" s="45">
        <f t="shared" si="39"/>
        <v>203589</v>
      </c>
      <c r="AK252" s="45"/>
      <c r="AL252" s="53">
        <f>153037-36581</f>
        <v>116456</v>
      </c>
      <c r="AM252" s="45"/>
      <c r="AN252" s="53">
        <v>0</v>
      </c>
      <c r="AO252" s="53"/>
      <c r="AP252" s="53">
        <v>0</v>
      </c>
      <c r="AQ252" s="53"/>
      <c r="AR252" s="53">
        <v>1604</v>
      </c>
      <c r="AS252" s="53"/>
      <c r="AT252" s="45">
        <f t="shared" si="40"/>
        <v>321649</v>
      </c>
      <c r="AU252" s="45"/>
      <c r="AV252" s="53">
        <v>0</v>
      </c>
      <c r="AW252" s="53"/>
      <c r="AX252" s="53">
        <v>0</v>
      </c>
      <c r="AY252" s="53"/>
      <c r="AZ252" s="53">
        <f t="shared" si="41"/>
        <v>3303005</v>
      </c>
      <c r="BA252" s="51"/>
      <c r="BB252" s="35" t="s">
        <v>285</v>
      </c>
      <c r="BD252" s="35" t="s">
        <v>30</v>
      </c>
      <c r="BE252" s="53"/>
      <c r="BF252" s="53">
        <v>0</v>
      </c>
      <c r="BG252" s="53"/>
      <c r="BH252" s="53">
        <v>0</v>
      </c>
      <c r="BI252" s="53"/>
      <c r="BJ252" s="53">
        <v>0</v>
      </c>
      <c r="BK252" s="53"/>
      <c r="BL252" s="53">
        <f>892511+25789+46752</f>
        <v>965052</v>
      </c>
      <c r="BM252" s="53"/>
      <c r="BN252" s="53">
        <f t="shared" si="43"/>
        <v>965052</v>
      </c>
      <c r="BO252" s="54"/>
      <c r="BS252" s="55"/>
      <c r="BT252" s="55"/>
      <c r="BU252" s="84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</row>
    <row r="253" spans="1:95" s="35" customFormat="1" ht="12.75" customHeight="1">
      <c r="A253" s="35" t="s">
        <v>286</v>
      </c>
      <c r="C253" s="35" t="s">
        <v>61</v>
      </c>
      <c r="D253" s="44"/>
      <c r="E253" s="53">
        <f t="shared" si="36"/>
        <v>4732761</v>
      </c>
      <c r="F253" s="53"/>
      <c r="G253" s="53">
        <v>41568175</v>
      </c>
      <c r="H253" s="53"/>
      <c r="I253" s="53">
        <v>46300936</v>
      </c>
      <c r="J253" s="53"/>
      <c r="K253" s="53">
        <f t="shared" si="37"/>
        <v>1156196</v>
      </c>
      <c r="L253" s="53"/>
      <c r="M253" s="53">
        <v>5871258</v>
      </c>
      <c r="N253" s="53"/>
      <c r="O253" s="53">
        <v>7027454</v>
      </c>
      <c r="P253" s="53"/>
      <c r="Q253" s="53">
        <v>36070918</v>
      </c>
      <c r="R253" s="53"/>
      <c r="S253" s="53">
        <v>0</v>
      </c>
      <c r="T253" s="53"/>
      <c r="U253" s="53">
        <v>3202564</v>
      </c>
      <c r="V253" s="53"/>
      <c r="W253" s="53">
        <f t="shared" si="38"/>
        <v>39273482</v>
      </c>
      <c r="X253" s="51"/>
      <c r="Y253" s="51"/>
      <c r="Z253" s="35" t="s">
        <v>286</v>
      </c>
      <c r="AA253" s="53"/>
      <c r="AB253" s="35" t="s">
        <v>61</v>
      </c>
      <c r="AC253" s="51"/>
      <c r="AD253" s="53">
        <v>15850586</v>
      </c>
      <c r="AE253" s="53"/>
      <c r="AF253" s="53">
        <f>17769211-1852154</f>
        <v>15917057</v>
      </c>
      <c r="AG253" s="53"/>
      <c r="AH253" s="53">
        <v>1852154</v>
      </c>
      <c r="AI253" s="53"/>
      <c r="AJ253" s="45">
        <f t="shared" si="39"/>
        <v>-1918625</v>
      </c>
      <c r="AK253" s="45"/>
      <c r="AL253" s="53">
        <v>-224152</v>
      </c>
      <c r="AM253" s="45"/>
      <c r="AN253" s="53">
        <v>0</v>
      </c>
      <c r="AO253" s="53"/>
      <c r="AP253" s="53">
        <v>0</v>
      </c>
      <c r="AQ253" s="53"/>
      <c r="AR253" s="53">
        <v>0</v>
      </c>
      <c r="AS253" s="53"/>
      <c r="AT253" s="45">
        <f t="shared" si="40"/>
        <v>-2142777</v>
      </c>
      <c r="AU253" s="45"/>
      <c r="AV253" s="53">
        <v>0</v>
      </c>
      <c r="AW253" s="53"/>
      <c r="AX253" s="53">
        <v>0</v>
      </c>
      <c r="AY253" s="53"/>
      <c r="AZ253" s="53">
        <f t="shared" si="41"/>
        <v>3576565</v>
      </c>
      <c r="BA253" s="51"/>
      <c r="BB253" s="35" t="s">
        <v>286</v>
      </c>
      <c r="BD253" s="35" t="s">
        <v>61</v>
      </c>
      <c r="BE253" s="53"/>
      <c r="BF253" s="53">
        <f>58096+60000</f>
        <v>118096</v>
      </c>
      <c r="BG253" s="53"/>
      <c r="BH253" s="53">
        <v>0</v>
      </c>
      <c r="BI253" s="53"/>
      <c r="BJ253" s="53">
        <f>4848243+178648+111858+225980+10018</f>
        <v>5374747</v>
      </c>
      <c r="BK253" s="53"/>
      <c r="BL253" s="53">
        <f>674413+140250</f>
        <v>814663</v>
      </c>
      <c r="BM253" s="53"/>
      <c r="BN253" s="53">
        <f t="shared" si="43"/>
        <v>6307506</v>
      </c>
      <c r="BO253" s="54"/>
      <c r="BS253" s="55"/>
      <c r="BT253" s="55"/>
      <c r="BU253" s="84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</row>
    <row r="254" spans="1:95" s="35" customFormat="1" ht="12.75" customHeight="1">
      <c r="A254" s="35" t="s">
        <v>287</v>
      </c>
      <c r="C254" s="35" t="s">
        <v>288</v>
      </c>
      <c r="D254" s="44"/>
      <c r="E254" s="53">
        <f t="shared" si="36"/>
        <v>2285171</v>
      </c>
      <c r="F254" s="53"/>
      <c r="G254" s="53">
        <v>5203629</v>
      </c>
      <c r="H254" s="53"/>
      <c r="I254" s="53">
        <v>7488800</v>
      </c>
      <c r="J254" s="53"/>
      <c r="K254" s="53">
        <f t="shared" si="37"/>
        <v>1410528</v>
      </c>
      <c r="L254" s="53"/>
      <c r="M254" s="53">
        <v>1998622</v>
      </c>
      <c r="N254" s="53"/>
      <c r="O254" s="53">
        <v>3409150</v>
      </c>
      <c r="P254" s="53"/>
      <c r="Q254" s="53">
        <v>2877811</v>
      </c>
      <c r="R254" s="53"/>
      <c r="S254" s="53">
        <v>0</v>
      </c>
      <c r="T254" s="53"/>
      <c r="U254" s="53">
        <v>1201839</v>
      </c>
      <c r="V254" s="53"/>
      <c r="W254" s="53">
        <f t="shared" si="38"/>
        <v>4079650</v>
      </c>
      <c r="X254" s="51"/>
      <c r="Y254" s="51"/>
      <c r="Z254" s="35" t="s">
        <v>287</v>
      </c>
      <c r="AA254" s="53"/>
      <c r="AB254" s="35" t="s">
        <v>288</v>
      </c>
      <c r="AD254" s="53">
        <v>4561919</v>
      </c>
      <c r="AE254" s="53"/>
      <c r="AF254" s="53">
        <f>5290562-186536</f>
        <v>5104026</v>
      </c>
      <c r="AG254" s="53"/>
      <c r="AH254" s="53">
        <v>186536</v>
      </c>
      <c r="AI254" s="53"/>
      <c r="AJ254" s="45">
        <f t="shared" si="39"/>
        <v>-728643</v>
      </c>
      <c r="AK254" s="45"/>
      <c r="AL254" s="53">
        <v>-203456</v>
      </c>
      <c r="AM254" s="45"/>
      <c r="AN254" s="53">
        <v>0</v>
      </c>
      <c r="AO254" s="53"/>
      <c r="AP254" s="53">
        <v>0</v>
      </c>
      <c r="AQ254" s="53"/>
      <c r="AR254" s="53">
        <v>276188</v>
      </c>
      <c r="AS254" s="53"/>
      <c r="AT254" s="45">
        <f t="shared" si="40"/>
        <v>-655911</v>
      </c>
      <c r="AU254" s="45"/>
      <c r="AV254" s="53">
        <v>0</v>
      </c>
      <c r="AW254" s="53"/>
      <c r="AX254" s="53">
        <v>0</v>
      </c>
      <c r="AY254" s="53"/>
      <c r="AZ254" s="53">
        <f t="shared" si="41"/>
        <v>874643</v>
      </c>
      <c r="BA254" s="51"/>
      <c r="BB254" s="35" t="s">
        <v>287</v>
      </c>
      <c r="BD254" s="35" t="s">
        <v>288</v>
      </c>
      <c r="BE254" s="53"/>
      <c r="BF254" s="53">
        <f>568500+61500</f>
        <v>630000</v>
      </c>
      <c r="BG254" s="53"/>
      <c r="BH254" s="53">
        <v>0</v>
      </c>
      <c r="BI254" s="53"/>
      <c r="BJ254" s="53">
        <f>163913+1164009+34893+333003</f>
        <v>1695818</v>
      </c>
      <c r="BK254" s="53"/>
      <c r="BL254" s="53">
        <f>102200+121328</f>
        <v>223528</v>
      </c>
      <c r="BM254" s="53"/>
      <c r="BN254" s="53">
        <f t="shared" si="43"/>
        <v>2549346</v>
      </c>
      <c r="BO254" s="54"/>
      <c r="BS254" s="55"/>
      <c r="BT254" s="55"/>
      <c r="BU254" s="84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</row>
    <row r="255" spans="1:95" s="35" customFormat="1" ht="12.75" customHeight="1">
      <c r="B255" s="51"/>
      <c r="D255" s="44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1"/>
      <c r="Y255" s="51"/>
      <c r="AA255" s="53"/>
      <c r="AC255" s="51"/>
      <c r="AD255" s="53"/>
      <c r="AE255" s="53"/>
      <c r="AF255" s="53"/>
      <c r="AG255" s="53"/>
      <c r="AH255" s="53"/>
      <c r="AI255" s="53"/>
      <c r="AJ255" s="45"/>
      <c r="AK255" s="45"/>
      <c r="AL255" s="53"/>
      <c r="AM255" s="45"/>
      <c r="AN255" s="53"/>
      <c r="AO255" s="53"/>
      <c r="AP255" s="53"/>
      <c r="AQ255" s="53"/>
      <c r="AR255" s="53"/>
      <c r="AS255" s="53"/>
      <c r="AT255" s="45"/>
      <c r="AU255" s="45"/>
      <c r="AV255" s="53"/>
      <c r="AW255" s="53"/>
      <c r="AX255" s="53"/>
      <c r="AY255" s="53"/>
      <c r="AZ255" s="53"/>
      <c r="BA255" s="51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4"/>
      <c r="BS255" s="55"/>
      <c r="BT255" s="55"/>
      <c r="BU255" s="84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</row>
    <row r="256" spans="1:95" s="35" customFormat="1" ht="12.75" customHeight="1">
      <c r="B256" s="51"/>
      <c r="D256" s="44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1"/>
      <c r="Y256" s="51"/>
      <c r="AA256" s="47"/>
      <c r="AC256" s="51"/>
      <c r="AD256" s="53"/>
      <c r="AE256" s="53"/>
      <c r="AF256" s="53"/>
      <c r="AG256" s="53"/>
      <c r="AH256" s="53"/>
      <c r="AI256" s="53"/>
      <c r="AJ256" s="45"/>
      <c r="AK256" s="45"/>
      <c r="AL256" s="45"/>
      <c r="AM256" s="45"/>
      <c r="AN256" s="53"/>
      <c r="AO256" s="53"/>
      <c r="AP256" s="53"/>
      <c r="AQ256" s="53"/>
      <c r="AR256" s="53"/>
      <c r="AS256" s="53"/>
      <c r="AT256" s="45"/>
      <c r="AU256" s="45"/>
      <c r="AV256" s="53"/>
      <c r="AW256" s="53"/>
      <c r="AX256" s="53"/>
      <c r="AY256" s="53"/>
      <c r="AZ256" s="53"/>
      <c r="BA256" s="51"/>
      <c r="BB256" s="55"/>
      <c r="BC256" s="55"/>
      <c r="BD256" s="55"/>
      <c r="BE256" s="55"/>
      <c r="BF256" s="53"/>
      <c r="BG256" s="53"/>
      <c r="BH256" s="53"/>
      <c r="BI256" s="53"/>
      <c r="BJ256" s="53"/>
      <c r="BK256" s="53"/>
      <c r="BL256" s="53"/>
      <c r="BM256" s="53"/>
      <c r="BN256" s="53"/>
      <c r="BO256" s="55"/>
      <c r="BP256" s="55"/>
      <c r="BQ256" s="55"/>
      <c r="BR256" s="55"/>
      <c r="BS256" s="55"/>
      <c r="BT256" s="55"/>
      <c r="BU256" s="84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</row>
    <row r="257" spans="2:95" s="35" customFormat="1" ht="12.75" customHeight="1">
      <c r="B257" s="51"/>
      <c r="D257" s="44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1"/>
      <c r="Y257" s="51"/>
      <c r="AA257" s="47"/>
      <c r="AC257" s="51"/>
      <c r="AD257" s="53"/>
      <c r="AE257" s="53"/>
      <c r="AF257" s="53"/>
      <c r="AG257" s="53"/>
      <c r="AH257" s="53"/>
      <c r="AI257" s="53"/>
      <c r="AJ257" s="45"/>
      <c r="AK257" s="45"/>
      <c r="AL257" s="45"/>
      <c r="AM257" s="45"/>
      <c r="AN257" s="53"/>
      <c r="AO257" s="53"/>
      <c r="AP257" s="53"/>
      <c r="AQ257" s="53"/>
      <c r="AR257" s="53"/>
      <c r="AS257" s="53"/>
      <c r="AT257" s="45"/>
      <c r="AU257" s="45"/>
      <c r="AV257" s="53"/>
      <c r="AW257" s="53"/>
      <c r="AX257" s="53"/>
      <c r="AY257" s="53"/>
      <c r="AZ257" s="53"/>
      <c r="BA257" s="51"/>
      <c r="BB257" s="55"/>
      <c r="BC257" s="55"/>
      <c r="BD257" s="55"/>
      <c r="BE257" s="55"/>
      <c r="BF257" s="53"/>
      <c r="BG257" s="53"/>
      <c r="BH257" s="53"/>
      <c r="BI257" s="53"/>
      <c r="BJ257" s="53"/>
      <c r="BK257" s="53"/>
      <c r="BL257" s="53"/>
      <c r="BM257" s="53"/>
      <c r="BN257" s="53"/>
      <c r="BO257" s="55"/>
      <c r="BP257" s="55"/>
      <c r="BQ257" s="55"/>
      <c r="BR257" s="55"/>
      <c r="BS257" s="55"/>
      <c r="BT257" s="55"/>
      <c r="BU257" s="84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</row>
    <row r="258" spans="2:95" s="35" customFormat="1" ht="12.75" customHeight="1">
      <c r="D258" s="44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AA258" s="53"/>
      <c r="AD258" s="53"/>
      <c r="AE258" s="53"/>
      <c r="AF258" s="53"/>
      <c r="AG258" s="53"/>
      <c r="AH258" s="53"/>
      <c r="AI258" s="53"/>
      <c r="AJ258" s="45"/>
      <c r="AK258" s="45"/>
      <c r="AL258" s="45"/>
      <c r="AM258" s="45"/>
      <c r="AN258" s="53"/>
      <c r="AO258" s="53"/>
      <c r="AP258" s="53"/>
      <c r="AQ258" s="53"/>
      <c r="AR258" s="53"/>
      <c r="AS258" s="53"/>
      <c r="AT258" s="45"/>
      <c r="AU258" s="45"/>
      <c r="AV258" s="53"/>
      <c r="AW258" s="53"/>
      <c r="AX258" s="53"/>
      <c r="AY258" s="53"/>
      <c r="AZ258" s="53"/>
      <c r="BA258" s="51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4"/>
      <c r="BS258" s="55"/>
      <c r="BT258" s="55"/>
      <c r="BU258" s="84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</row>
    <row r="259" spans="2:95" s="35" customFormat="1" ht="12.75" customHeight="1">
      <c r="D259" s="44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AA259" s="53"/>
      <c r="AD259" s="53"/>
      <c r="AE259" s="53"/>
      <c r="AF259" s="53"/>
      <c r="AG259" s="53"/>
      <c r="AH259" s="53"/>
      <c r="AI259" s="53"/>
      <c r="AJ259" s="45"/>
      <c r="AK259" s="45"/>
      <c r="AL259" s="45"/>
      <c r="AM259" s="45"/>
      <c r="AN259" s="53"/>
      <c r="AO259" s="53"/>
      <c r="AP259" s="53"/>
      <c r="AQ259" s="53"/>
      <c r="AR259" s="53"/>
      <c r="AS259" s="53"/>
      <c r="AT259" s="45"/>
      <c r="AU259" s="45"/>
      <c r="AV259" s="53"/>
      <c r="AW259" s="53"/>
      <c r="AX259" s="53"/>
      <c r="AY259" s="53"/>
      <c r="AZ259" s="53"/>
      <c r="BA259" s="51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4"/>
      <c r="BS259" s="55"/>
      <c r="BT259" s="55"/>
      <c r="BU259" s="84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</row>
    <row r="260" spans="2:95" s="35" customFormat="1" ht="12.75" customHeight="1">
      <c r="B260" s="51"/>
      <c r="D260" s="44"/>
      <c r="X260" s="51"/>
      <c r="Y260" s="51"/>
      <c r="AA260" s="47"/>
      <c r="AC260" s="51"/>
      <c r="AT260" s="45"/>
      <c r="AU260" s="45"/>
      <c r="BA260" s="51"/>
      <c r="BC260" s="47"/>
      <c r="BO260" s="54"/>
      <c r="BS260" s="55"/>
      <c r="BT260" s="55"/>
      <c r="BU260" s="84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</row>
    <row r="261" spans="2:95" s="35" customFormat="1" ht="12.75" customHeight="1">
      <c r="B261" s="51"/>
      <c r="D261" s="44"/>
      <c r="X261" s="51"/>
      <c r="Y261" s="51"/>
      <c r="AA261" s="47"/>
      <c r="AC261" s="51"/>
      <c r="BA261" s="51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84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</row>
    <row r="262" spans="2:95" s="35" customFormat="1" ht="12.75" customHeight="1">
      <c r="B262" s="51"/>
      <c r="D262" s="44"/>
      <c r="X262" s="51"/>
      <c r="Y262" s="51"/>
      <c r="AA262" s="47"/>
      <c r="AC262" s="51"/>
      <c r="BA262" s="51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84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</row>
    <row r="263" spans="2:95" s="35" customFormat="1" ht="12.75" customHeight="1">
      <c r="B263" s="51"/>
      <c r="D263" s="44"/>
      <c r="X263" s="51"/>
      <c r="Y263" s="51"/>
      <c r="AA263" s="47"/>
      <c r="AC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65"/>
      <c r="BA263" s="51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84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</row>
    <row r="264" spans="2:95" s="35" customFormat="1" ht="12.75" customHeight="1">
      <c r="B264" s="51"/>
      <c r="D264" s="44"/>
      <c r="M264" s="53"/>
      <c r="X264" s="51"/>
      <c r="Y264" s="51"/>
      <c r="AA264" s="47"/>
      <c r="AC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65"/>
      <c r="BA264" s="51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84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</row>
    <row r="265" spans="2:95" s="35" customFormat="1" ht="12.75" customHeight="1">
      <c r="B265" s="51"/>
      <c r="D265" s="44"/>
      <c r="X265" s="51"/>
      <c r="Y265" s="51"/>
      <c r="AA265" s="47"/>
      <c r="AC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65"/>
      <c r="BA265" s="51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84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</row>
    <row r="266" spans="2:95" s="35" customFormat="1" ht="12.75" customHeight="1">
      <c r="B266" s="51"/>
      <c r="D266" s="44"/>
      <c r="X266" s="51"/>
      <c r="Y266" s="51"/>
      <c r="AA266" s="47"/>
      <c r="AC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65"/>
      <c r="BA266" s="51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84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</row>
    <row r="267" spans="2:95" s="35" customFormat="1" ht="12.75" customHeight="1">
      <c r="B267" s="51"/>
      <c r="D267" s="44"/>
      <c r="X267" s="51"/>
      <c r="Y267" s="51"/>
      <c r="AA267" s="47"/>
      <c r="AC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65"/>
      <c r="BA267" s="51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84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</row>
    <row r="268" spans="2:95" s="35" customFormat="1" ht="12.75" customHeight="1">
      <c r="B268" s="51"/>
      <c r="D268" s="44"/>
      <c r="X268" s="51"/>
      <c r="Y268" s="51"/>
      <c r="AA268" s="47"/>
      <c r="AC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65"/>
      <c r="BA268" s="51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84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</row>
    <row r="269" spans="2:95" s="35" customFormat="1" ht="12.75" customHeight="1">
      <c r="B269" s="51"/>
      <c r="D269" s="44"/>
      <c r="X269" s="51"/>
      <c r="Y269" s="51"/>
      <c r="AA269" s="47"/>
      <c r="AC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65"/>
      <c r="BA269" s="51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84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</row>
    <row r="270" spans="2:95" s="35" customFormat="1" ht="12.75" customHeight="1">
      <c r="B270" s="51"/>
      <c r="D270" s="44"/>
      <c r="X270" s="51"/>
      <c r="Y270" s="51"/>
      <c r="AA270" s="47"/>
      <c r="AC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65"/>
      <c r="BA270" s="51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84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</row>
    <row r="271" spans="2:95" s="35" customFormat="1" ht="12.75" customHeight="1">
      <c r="B271" s="51"/>
      <c r="D271" s="44"/>
      <c r="X271" s="51"/>
      <c r="Y271" s="51"/>
      <c r="AA271" s="47"/>
      <c r="AC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65"/>
      <c r="BA271" s="51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84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</row>
    <row r="272" spans="2:95" s="35" customFormat="1" ht="12.75" customHeight="1">
      <c r="B272" s="51"/>
      <c r="D272" s="44"/>
      <c r="X272" s="51"/>
      <c r="Y272" s="51"/>
      <c r="AA272" s="47"/>
      <c r="AC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65"/>
      <c r="BA272" s="51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84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</row>
    <row r="273" spans="2:95" s="35" customFormat="1" ht="12.75" customHeight="1">
      <c r="B273" s="51"/>
      <c r="D273" s="44"/>
      <c r="X273" s="51"/>
      <c r="Y273" s="51"/>
      <c r="AA273" s="47"/>
      <c r="AC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65"/>
      <c r="BA273" s="51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84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</row>
    <row r="274" spans="2:95" s="35" customFormat="1" ht="12.75" customHeight="1">
      <c r="B274" s="51"/>
      <c r="D274" s="44"/>
      <c r="X274" s="51"/>
      <c r="Y274" s="51"/>
      <c r="AA274" s="47"/>
      <c r="AC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65"/>
      <c r="BA274" s="51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84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</row>
    <row r="275" spans="2:95" s="35" customFormat="1" ht="12.75" customHeight="1">
      <c r="B275" s="51"/>
      <c r="D275" s="44"/>
      <c r="X275" s="51"/>
      <c r="Y275" s="51"/>
      <c r="AA275" s="47"/>
      <c r="AC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65"/>
      <c r="BA275" s="51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84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</row>
    <row r="276" spans="2:95" s="35" customFormat="1" ht="12.75" customHeight="1">
      <c r="B276" s="51"/>
      <c r="D276" s="44"/>
      <c r="X276" s="51"/>
      <c r="Y276" s="51"/>
      <c r="AA276" s="47"/>
      <c r="AC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65"/>
      <c r="BA276" s="51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84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</row>
    <row r="277" spans="2:95" s="35" customFormat="1" ht="12.75" customHeight="1">
      <c r="B277" s="51"/>
      <c r="D277" s="44"/>
      <c r="X277" s="51"/>
      <c r="Y277" s="51"/>
      <c r="AA277" s="47"/>
      <c r="AC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65"/>
      <c r="BA277" s="51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84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</row>
    <row r="278" spans="2:95" s="35" customFormat="1" ht="12.75" customHeight="1">
      <c r="B278" s="51"/>
      <c r="D278" s="44"/>
      <c r="X278" s="51"/>
      <c r="Y278" s="51"/>
      <c r="AA278" s="47"/>
      <c r="AC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65"/>
      <c r="BA278" s="51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84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</row>
    <row r="279" spans="2:95" s="35" customFormat="1" ht="12.75" customHeight="1">
      <c r="B279" s="51"/>
      <c r="D279" s="44"/>
      <c r="X279" s="51"/>
      <c r="Y279" s="51"/>
      <c r="AA279" s="47"/>
      <c r="AC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65"/>
      <c r="BA279" s="51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84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</row>
    <row r="280" spans="2:95" s="35" customFormat="1" ht="12.75" customHeight="1">
      <c r="B280" s="51"/>
      <c r="D280" s="44"/>
      <c r="X280" s="51"/>
      <c r="Y280" s="51"/>
      <c r="AA280" s="47"/>
      <c r="AC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65"/>
      <c r="BA280" s="51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84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</row>
    <row r="281" spans="2:95" s="35" customFormat="1" ht="12.75" customHeight="1">
      <c r="B281" s="51"/>
      <c r="D281" s="44"/>
      <c r="X281" s="51"/>
      <c r="Y281" s="51"/>
      <c r="AA281" s="47"/>
      <c r="AC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65"/>
      <c r="BA281" s="51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84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</row>
    <row r="282" spans="2:95" s="35" customFormat="1" ht="12.75" customHeight="1">
      <c r="B282" s="51"/>
      <c r="D282" s="44"/>
      <c r="X282" s="51"/>
      <c r="Y282" s="51"/>
      <c r="AA282" s="47"/>
      <c r="AC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65"/>
      <c r="BA282" s="51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84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</row>
    <row r="283" spans="2:95" s="35" customFormat="1" ht="12.75" customHeight="1">
      <c r="B283" s="51"/>
      <c r="D283" s="44"/>
      <c r="X283" s="51"/>
      <c r="Y283" s="51"/>
      <c r="AA283" s="47"/>
      <c r="AC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65"/>
      <c r="BA283" s="51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84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</row>
    <row r="284" spans="2:95" s="35" customFormat="1" ht="12.75" customHeight="1">
      <c r="B284" s="51"/>
      <c r="D284" s="44"/>
      <c r="X284" s="51"/>
      <c r="Y284" s="51"/>
      <c r="AA284" s="47"/>
      <c r="AC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65"/>
      <c r="BA284" s="51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84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</row>
    <row r="285" spans="2:95" s="35" customFormat="1" ht="12.75" customHeight="1">
      <c r="B285" s="51"/>
      <c r="D285" s="44"/>
      <c r="X285" s="51"/>
      <c r="Y285" s="51"/>
      <c r="AA285" s="47"/>
      <c r="AC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65"/>
      <c r="BA285" s="51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84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</row>
    <row r="286" spans="2:95" s="35" customFormat="1" ht="12.75" customHeight="1">
      <c r="B286" s="51"/>
      <c r="D286" s="44"/>
      <c r="X286" s="51"/>
      <c r="Y286" s="51"/>
      <c r="AA286" s="47"/>
      <c r="AC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65"/>
      <c r="BA286" s="51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84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</row>
    <row r="287" spans="2:95" s="35" customFormat="1" ht="12.75" customHeight="1">
      <c r="B287" s="51"/>
      <c r="D287" s="44"/>
      <c r="X287" s="51"/>
      <c r="Y287" s="51"/>
      <c r="AA287" s="47"/>
      <c r="AC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65"/>
      <c r="BA287" s="51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84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</row>
    <row r="288" spans="2:95" s="35" customFormat="1" ht="12.75" customHeight="1">
      <c r="B288" s="51"/>
      <c r="D288" s="44"/>
      <c r="X288" s="51"/>
      <c r="Y288" s="51"/>
      <c r="AA288" s="47"/>
      <c r="AC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65"/>
      <c r="BA288" s="51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84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</row>
    <row r="289" spans="2:95" s="35" customFormat="1" ht="12.75" customHeight="1">
      <c r="B289" s="51"/>
      <c r="D289" s="44"/>
      <c r="X289" s="51"/>
      <c r="Y289" s="51"/>
      <c r="AA289" s="47"/>
      <c r="AC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65"/>
      <c r="BA289" s="51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84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</row>
    <row r="290" spans="2:95" s="35" customFormat="1" ht="12.75" customHeight="1">
      <c r="B290" s="51"/>
      <c r="D290" s="44"/>
      <c r="X290" s="51"/>
      <c r="Y290" s="51"/>
      <c r="AA290" s="47"/>
      <c r="AC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65"/>
      <c r="BA290" s="51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84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</row>
    <row r="291" spans="2:95" s="35" customFormat="1" ht="12.75" customHeight="1">
      <c r="B291" s="51"/>
      <c r="D291" s="44"/>
      <c r="X291" s="51"/>
      <c r="Y291" s="51"/>
      <c r="AA291" s="47"/>
      <c r="AC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65"/>
      <c r="BA291" s="51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84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</row>
    <row r="292" spans="2:95" s="35" customFormat="1" ht="12.75" customHeight="1">
      <c r="B292" s="51"/>
      <c r="D292" s="44"/>
      <c r="X292" s="51"/>
      <c r="Y292" s="51"/>
      <c r="AA292" s="47"/>
      <c r="AC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65"/>
      <c r="BA292" s="51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84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</row>
    <row r="293" spans="2:95" s="35" customFormat="1" ht="12.75" customHeight="1">
      <c r="B293" s="51"/>
      <c r="D293" s="44"/>
      <c r="X293" s="51"/>
      <c r="Y293" s="51"/>
      <c r="AA293" s="47"/>
      <c r="AC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65"/>
      <c r="BA293" s="51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84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</row>
    <row r="294" spans="2:95" s="35" customFormat="1" ht="12.75" customHeight="1">
      <c r="B294" s="51"/>
      <c r="D294" s="44"/>
      <c r="X294" s="51"/>
      <c r="Y294" s="51"/>
      <c r="AA294" s="47"/>
      <c r="AC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65"/>
      <c r="BA294" s="51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84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</row>
    <row r="295" spans="2:95" s="35" customFormat="1" ht="12.75" customHeight="1">
      <c r="B295" s="51"/>
      <c r="D295" s="44"/>
      <c r="X295" s="51"/>
      <c r="Y295" s="51"/>
      <c r="AA295" s="47"/>
      <c r="AC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65"/>
      <c r="BA295" s="51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84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</row>
    <row r="296" spans="2:95" s="35" customFormat="1" ht="12.75" customHeight="1">
      <c r="B296" s="51"/>
      <c r="D296" s="44"/>
      <c r="X296" s="51"/>
      <c r="Y296" s="51"/>
      <c r="AA296" s="47"/>
      <c r="AC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65"/>
      <c r="BA296" s="51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84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</row>
    <row r="297" spans="2:95" s="35" customFormat="1" ht="12.75" customHeight="1">
      <c r="B297" s="51"/>
      <c r="D297" s="44"/>
      <c r="X297" s="51"/>
      <c r="Y297" s="51"/>
      <c r="AA297" s="47"/>
      <c r="AC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65"/>
      <c r="BA297" s="51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84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</row>
    <row r="298" spans="2:95" s="35" customFormat="1" ht="12.75" customHeight="1">
      <c r="B298" s="51"/>
      <c r="D298" s="44"/>
      <c r="X298" s="51"/>
      <c r="Y298" s="51"/>
      <c r="AA298" s="47"/>
      <c r="AC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65"/>
      <c r="BA298" s="51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84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</row>
    <row r="299" spans="2:95" s="35" customFormat="1" ht="12.75" customHeight="1">
      <c r="B299" s="51"/>
      <c r="D299" s="44"/>
      <c r="X299" s="51"/>
      <c r="Y299" s="51"/>
      <c r="AA299" s="47"/>
      <c r="AC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65"/>
      <c r="BA299" s="51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84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</row>
    <row r="300" spans="2:95" s="35" customFormat="1" ht="12.75" customHeight="1">
      <c r="B300" s="51"/>
      <c r="D300" s="44"/>
      <c r="X300" s="51"/>
      <c r="Y300" s="51"/>
      <c r="AA300" s="47"/>
      <c r="AC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65"/>
      <c r="BA300" s="51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84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</row>
    <row r="301" spans="2:95" s="35" customFormat="1" ht="12.75" customHeight="1">
      <c r="B301" s="51"/>
      <c r="D301" s="44"/>
      <c r="X301" s="51"/>
      <c r="Y301" s="51"/>
      <c r="AA301" s="47"/>
      <c r="AC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65"/>
      <c r="BA301" s="51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84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</row>
    <row r="302" spans="2:95" s="35" customFormat="1" ht="12.75" customHeight="1">
      <c r="B302" s="51"/>
      <c r="D302" s="44"/>
      <c r="X302" s="51"/>
      <c r="Y302" s="51"/>
      <c r="AA302" s="47"/>
      <c r="AC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65"/>
      <c r="BA302" s="51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84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</row>
    <row r="303" spans="2:95" s="35" customFormat="1" ht="12.75" customHeight="1">
      <c r="B303" s="51"/>
      <c r="D303" s="44"/>
      <c r="X303" s="51"/>
      <c r="Y303" s="51"/>
      <c r="AA303" s="47"/>
      <c r="AC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65"/>
      <c r="BA303" s="51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84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</row>
    <row r="304" spans="2:95" s="35" customFormat="1" ht="12.75" customHeight="1">
      <c r="B304" s="51"/>
      <c r="D304" s="44"/>
      <c r="X304" s="51"/>
      <c r="Y304" s="51"/>
      <c r="AA304" s="47"/>
      <c r="AC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65"/>
      <c r="BA304" s="51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84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</row>
    <row r="305" spans="2:95" s="35" customFormat="1" ht="12.75" customHeight="1">
      <c r="B305" s="51"/>
      <c r="D305" s="44"/>
      <c r="X305" s="51"/>
      <c r="Y305" s="51"/>
      <c r="AA305" s="47"/>
      <c r="AC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65"/>
      <c r="BA305" s="51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84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</row>
    <row r="306" spans="2:95" s="35" customFormat="1" ht="12.75" customHeight="1">
      <c r="B306" s="51"/>
      <c r="D306" s="44"/>
      <c r="X306" s="51"/>
      <c r="Y306" s="51"/>
      <c r="AA306" s="47"/>
      <c r="AC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65"/>
      <c r="BA306" s="51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84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</row>
    <row r="307" spans="2:95" s="35" customFormat="1" ht="12.75" customHeight="1">
      <c r="B307" s="51"/>
      <c r="D307" s="44"/>
      <c r="X307" s="51"/>
      <c r="Y307" s="51"/>
      <c r="AA307" s="47"/>
      <c r="AC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65"/>
      <c r="BA307" s="51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84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</row>
    <row r="308" spans="2:95" s="35" customFormat="1" ht="12.75" customHeight="1">
      <c r="B308" s="51"/>
      <c r="D308" s="44"/>
      <c r="X308" s="51"/>
      <c r="Y308" s="51"/>
      <c r="AA308" s="47"/>
      <c r="AC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65"/>
      <c r="BA308" s="51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84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</row>
    <row r="309" spans="2:95" s="35" customFormat="1" ht="12.75" customHeight="1">
      <c r="B309" s="51"/>
      <c r="D309" s="44"/>
      <c r="X309" s="51"/>
      <c r="Y309" s="51"/>
      <c r="AA309" s="47"/>
      <c r="AC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65"/>
      <c r="BA309" s="51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84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</row>
    <row r="310" spans="2:95" s="35" customFormat="1" ht="12.75" customHeight="1">
      <c r="B310" s="51"/>
      <c r="D310" s="44"/>
      <c r="X310" s="51"/>
      <c r="Y310" s="51"/>
      <c r="AA310" s="47"/>
      <c r="AC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65"/>
      <c r="BA310" s="51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84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</row>
    <row r="311" spans="2:95" s="35" customFormat="1" ht="12.75" customHeight="1">
      <c r="B311" s="51"/>
      <c r="D311" s="44"/>
      <c r="X311" s="51"/>
      <c r="Y311" s="51"/>
      <c r="AA311" s="47"/>
      <c r="AC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65"/>
      <c r="BA311" s="51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84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</row>
    <row r="312" spans="2:95" s="35" customFormat="1" ht="12.75" customHeight="1">
      <c r="B312" s="51"/>
      <c r="D312" s="44"/>
      <c r="X312" s="51"/>
      <c r="Y312" s="51"/>
      <c r="AA312" s="47"/>
      <c r="AC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65"/>
      <c r="BA312" s="51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84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</row>
    <row r="313" spans="2:95" s="35" customFormat="1" ht="12.75" customHeight="1">
      <c r="B313" s="51"/>
      <c r="D313" s="44"/>
      <c r="X313" s="51"/>
      <c r="Y313" s="51"/>
      <c r="AA313" s="47"/>
      <c r="AC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65"/>
      <c r="BA313" s="51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84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</row>
    <row r="314" spans="2:95" s="35" customFormat="1" ht="12.75" customHeight="1">
      <c r="B314" s="51"/>
      <c r="D314" s="44"/>
      <c r="X314" s="51"/>
      <c r="Y314" s="51"/>
      <c r="AA314" s="47"/>
      <c r="AC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65"/>
      <c r="BA314" s="51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84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</row>
    <row r="315" spans="2:95" s="35" customFormat="1" ht="12.75" customHeight="1">
      <c r="B315" s="51"/>
      <c r="D315" s="44"/>
      <c r="X315" s="51"/>
      <c r="Y315" s="51"/>
      <c r="AA315" s="47"/>
      <c r="AC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65"/>
      <c r="BA315" s="51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84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</row>
    <row r="316" spans="2:95" s="35" customFormat="1" ht="12.75" customHeight="1">
      <c r="B316" s="51"/>
      <c r="D316" s="44"/>
      <c r="X316" s="51"/>
      <c r="Y316" s="51"/>
      <c r="AA316" s="47"/>
      <c r="AC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65"/>
      <c r="BA316" s="51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84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</row>
    <row r="317" spans="2:95" s="35" customFormat="1" ht="12.75" customHeight="1">
      <c r="B317" s="51"/>
      <c r="D317" s="44"/>
      <c r="X317" s="51"/>
      <c r="Y317" s="51"/>
      <c r="AA317" s="47"/>
      <c r="AC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65"/>
      <c r="BA317" s="51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84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</row>
    <row r="318" spans="2:95" s="35" customFormat="1" ht="12.75" customHeight="1">
      <c r="B318" s="51"/>
      <c r="D318" s="44"/>
      <c r="X318" s="51"/>
      <c r="Y318" s="51"/>
      <c r="AA318" s="47"/>
      <c r="AC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65"/>
      <c r="BA318" s="51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84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</row>
    <row r="319" spans="2:95" s="35" customFormat="1" ht="12.75" customHeight="1">
      <c r="B319" s="51"/>
      <c r="D319" s="44"/>
      <c r="X319" s="51"/>
      <c r="Y319" s="51"/>
      <c r="AA319" s="47"/>
      <c r="AC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65"/>
      <c r="BA319" s="51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84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</row>
    <row r="320" spans="2:95" s="35" customFormat="1" ht="12.75" customHeight="1">
      <c r="B320" s="51"/>
      <c r="D320" s="44"/>
      <c r="X320" s="51"/>
      <c r="Y320" s="51"/>
      <c r="AA320" s="47"/>
      <c r="AC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65"/>
      <c r="BA320" s="51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84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</row>
    <row r="321" spans="2:95" s="35" customFormat="1" ht="12.75" customHeight="1">
      <c r="B321" s="51"/>
      <c r="D321" s="44"/>
      <c r="X321" s="51"/>
      <c r="Y321" s="51"/>
      <c r="AA321" s="47"/>
      <c r="AC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65"/>
      <c r="BA321" s="51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84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</row>
    <row r="322" spans="2:95" s="35" customFormat="1" ht="12.75" customHeight="1">
      <c r="B322" s="51"/>
      <c r="D322" s="44"/>
      <c r="X322" s="51"/>
      <c r="Y322" s="51"/>
      <c r="AA322" s="47"/>
      <c r="AC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65"/>
      <c r="BA322" s="51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84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</row>
    <row r="323" spans="2:95" s="35" customFormat="1" ht="12.75" customHeight="1">
      <c r="B323" s="51"/>
      <c r="D323" s="44"/>
      <c r="X323" s="51"/>
      <c r="Y323" s="51"/>
      <c r="AA323" s="47"/>
      <c r="AC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65"/>
      <c r="BA323" s="51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84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</row>
    <row r="324" spans="2:95" s="35" customFormat="1" ht="12.75" customHeight="1">
      <c r="B324" s="51"/>
      <c r="D324" s="44"/>
      <c r="X324" s="51"/>
      <c r="Y324" s="51"/>
      <c r="AA324" s="47"/>
      <c r="AC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65"/>
      <c r="BA324" s="51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84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</row>
    <row r="325" spans="2:95" s="35" customFormat="1" ht="12.75" customHeight="1">
      <c r="B325" s="51"/>
      <c r="D325" s="44"/>
      <c r="X325" s="51"/>
      <c r="Y325" s="51"/>
      <c r="AA325" s="47"/>
      <c r="AC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65"/>
      <c r="BA325" s="51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84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</row>
    <row r="326" spans="2:95" s="35" customFormat="1" ht="12.75" customHeight="1">
      <c r="B326" s="51"/>
      <c r="D326" s="44"/>
      <c r="X326" s="51"/>
      <c r="Y326" s="51"/>
      <c r="AA326" s="47"/>
      <c r="AC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65"/>
      <c r="BA326" s="51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84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</row>
    <row r="327" spans="2:95" s="35" customFormat="1" ht="12.75" customHeight="1">
      <c r="B327" s="51"/>
      <c r="D327" s="44"/>
      <c r="X327" s="51"/>
      <c r="Y327" s="51"/>
      <c r="AA327" s="47"/>
      <c r="AC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65"/>
      <c r="BA327" s="51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84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</row>
    <row r="328" spans="2:95" s="35" customFormat="1" ht="12.75" customHeight="1">
      <c r="B328" s="51"/>
      <c r="D328" s="44"/>
      <c r="X328" s="51"/>
      <c r="Y328" s="51"/>
      <c r="AA328" s="47"/>
      <c r="AC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65"/>
      <c r="BA328" s="51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84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</row>
    <row r="329" spans="2:95" s="35" customFormat="1" ht="12.75" customHeight="1">
      <c r="B329" s="51"/>
      <c r="D329" s="44"/>
      <c r="X329" s="51"/>
      <c r="Y329" s="51"/>
      <c r="AA329" s="47"/>
      <c r="AC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65"/>
      <c r="BA329" s="51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84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</row>
    <row r="330" spans="2:95" s="35" customFormat="1" ht="12.75" customHeight="1">
      <c r="B330" s="51"/>
      <c r="D330" s="44"/>
      <c r="X330" s="51"/>
      <c r="Y330" s="51"/>
      <c r="AA330" s="47"/>
      <c r="AC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65"/>
      <c r="BA330" s="51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84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</row>
    <row r="331" spans="2:95" s="35" customFormat="1" ht="12.75" customHeight="1">
      <c r="B331" s="51"/>
      <c r="D331" s="44"/>
      <c r="X331" s="51"/>
      <c r="Y331" s="51"/>
      <c r="AA331" s="47"/>
      <c r="AC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65"/>
      <c r="BA331" s="51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84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</row>
    <row r="332" spans="2:95" s="35" customFormat="1" ht="12.75" customHeight="1">
      <c r="B332" s="51"/>
      <c r="D332" s="44"/>
      <c r="X332" s="51"/>
      <c r="Y332" s="51"/>
      <c r="AA332" s="47"/>
      <c r="AC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65"/>
      <c r="BA332" s="51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84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</row>
    <row r="333" spans="2:95" s="35" customFormat="1" ht="12.75" customHeight="1">
      <c r="B333" s="51"/>
      <c r="D333" s="44"/>
      <c r="X333" s="51"/>
      <c r="Y333" s="51"/>
      <c r="AA333" s="47"/>
      <c r="AC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65"/>
      <c r="BA333" s="51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84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</row>
    <row r="334" spans="2:95" s="35" customFormat="1" ht="12.75" customHeight="1">
      <c r="B334" s="51"/>
      <c r="D334" s="44"/>
      <c r="X334" s="51"/>
      <c r="Y334" s="51"/>
      <c r="AA334" s="47"/>
      <c r="AC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65"/>
      <c r="BA334" s="51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84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</row>
    <row r="335" spans="2:95" s="35" customFormat="1" ht="12.75" customHeight="1">
      <c r="B335" s="51"/>
      <c r="D335" s="44"/>
      <c r="X335" s="51"/>
      <c r="Y335" s="51"/>
      <c r="AA335" s="47"/>
      <c r="AC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65"/>
      <c r="BA335" s="51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84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</row>
    <row r="336" spans="2:95" s="35" customFormat="1" ht="12.75" customHeight="1">
      <c r="B336" s="51"/>
      <c r="D336" s="44"/>
      <c r="X336" s="51"/>
      <c r="Y336" s="51"/>
      <c r="AA336" s="47"/>
      <c r="AC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65"/>
      <c r="BA336" s="51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84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</row>
    <row r="337" spans="2:95" s="35" customFormat="1" ht="12.75" customHeight="1">
      <c r="B337" s="51"/>
      <c r="D337" s="44"/>
      <c r="X337" s="51"/>
      <c r="Y337" s="51"/>
      <c r="AA337" s="47"/>
      <c r="AC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65"/>
      <c r="BA337" s="51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84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</row>
    <row r="338" spans="2:95" s="35" customFormat="1" ht="12.75" customHeight="1">
      <c r="B338" s="51"/>
      <c r="D338" s="44"/>
      <c r="X338" s="51"/>
      <c r="Y338" s="51"/>
      <c r="AA338" s="47"/>
      <c r="AC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65"/>
      <c r="BA338" s="51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84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</row>
    <row r="339" spans="2:95" s="35" customFormat="1" ht="12.75" customHeight="1">
      <c r="B339" s="51"/>
      <c r="D339" s="44"/>
      <c r="X339" s="51"/>
      <c r="Y339" s="51"/>
      <c r="AA339" s="47"/>
      <c r="AC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65"/>
      <c r="BA339" s="51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84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</row>
    <row r="340" spans="2:95" s="35" customFormat="1" ht="12.75" customHeight="1">
      <c r="B340" s="51"/>
      <c r="D340" s="44"/>
      <c r="X340" s="51"/>
      <c r="Y340" s="51"/>
      <c r="AA340" s="47"/>
      <c r="AC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65"/>
      <c r="BA340" s="51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84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</row>
    <row r="341" spans="2:95" s="35" customFormat="1" ht="12.75" customHeight="1">
      <c r="B341" s="51"/>
      <c r="D341" s="44"/>
      <c r="X341" s="51"/>
      <c r="Y341" s="51"/>
      <c r="AA341" s="47"/>
      <c r="AC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65"/>
      <c r="BA341" s="51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84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</row>
    <row r="342" spans="2:95" s="35" customFormat="1" ht="12.75" customHeight="1">
      <c r="B342" s="51"/>
      <c r="D342" s="44"/>
      <c r="X342" s="51"/>
      <c r="Y342" s="51"/>
      <c r="AA342" s="47"/>
      <c r="AC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65"/>
      <c r="BA342" s="51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84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</row>
    <row r="343" spans="2:95" s="35" customFormat="1" ht="12.75" customHeight="1">
      <c r="B343" s="51"/>
      <c r="D343" s="44"/>
      <c r="X343" s="51"/>
      <c r="Y343" s="51"/>
      <c r="AA343" s="47"/>
      <c r="AC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65"/>
      <c r="BA343" s="51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84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</row>
  </sheetData>
  <mergeCells count="1">
    <mergeCell ref="Q7:U7"/>
  </mergeCells>
  <phoneticPr fontId="4" type="noConversion"/>
  <pageMargins left="0.75" right="0.75" top="0.5" bottom="0.5" header="0" footer="0.25"/>
  <pageSetup scale="84" firstPageNumber="88" pageOrder="overThenDown" orientation="portrait" useFirstPageNumber="1" r:id="rId1"/>
  <headerFooter alignWithMargins="0">
    <oddFooter>&amp;C&amp;"Times New Roman,Regular"&amp;11&amp;P</oddFooter>
  </headerFooter>
  <rowBreaks count="6" manualBreakCount="6">
    <brk id="89" max="22" man="1"/>
    <brk id="89" min="25" max="51" man="1"/>
    <brk id="89" min="53" max="65" man="1"/>
    <brk id="179" max="22" man="1"/>
    <brk id="179" min="25" max="51" man="1"/>
    <brk id="179" min="53" max="65" man="1"/>
  </rowBreaks>
  <colBreaks count="4" manualBreakCount="4">
    <brk id="14" min="11" max="254" man="1"/>
    <brk id="23" min="11" max="251" man="1"/>
    <brk id="39" min="11" max="254" man="1"/>
    <brk id="53" min="11" max="25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DD316"/>
  <sheetViews>
    <sheetView zoomScaleNormal="100" zoomScaleSheetLayoutView="90" workbookViewId="0">
      <pane xSplit="4" ySplit="8" topLeftCell="AF9" activePane="bottomRight" state="frozen"/>
      <selection activeCell="A49" sqref="A49:IV50"/>
      <selection pane="topRight" activeCell="A49" sqref="A49:IV50"/>
      <selection pane="bottomLeft" activeCell="A49" sqref="A49:IV50"/>
      <selection pane="bottomRight" activeCell="BA5" sqref="BA5"/>
    </sheetView>
  </sheetViews>
  <sheetFormatPr defaultColWidth="8.42578125" defaultRowHeight="12.75" customHeight="1"/>
  <cols>
    <col min="1" max="1" width="15.7109375" style="36" customWidth="1"/>
    <col min="2" max="2" width="2.140625" customWidth="1"/>
    <col min="3" max="3" width="10.85546875" style="36" customWidth="1"/>
    <col min="4" max="4" width="2.140625" style="2" customWidth="1"/>
    <col min="5" max="5" width="12.28515625" style="36" customWidth="1"/>
    <col min="6" max="6" width="2.140625" style="36" customWidth="1"/>
    <col min="7" max="7" width="12.42578125" style="36" customWidth="1"/>
    <col min="8" max="8" width="2.140625" style="36" customWidth="1"/>
    <col min="9" max="9" width="12.28515625" style="36" customWidth="1"/>
    <col min="10" max="10" width="2" style="36" customWidth="1"/>
    <col min="11" max="11" width="12.42578125" style="36" customWidth="1"/>
    <col min="12" max="12" width="1" style="36" customWidth="1"/>
    <col min="13" max="13" width="11.7109375" style="36" customWidth="1"/>
    <col min="14" max="14" width="1.7109375" style="36" customWidth="1"/>
    <col min="15" max="15" width="11.7109375" style="36" customWidth="1"/>
    <col min="16" max="16" width="1.7109375" style="36" customWidth="1"/>
    <col min="17" max="17" width="11.7109375" style="36" customWidth="1"/>
    <col min="18" max="18" width="1.7109375" style="36" customWidth="1"/>
    <col min="19" max="19" width="11.7109375" style="36" customWidth="1"/>
    <col min="20" max="20" width="1.7109375" style="36" customWidth="1"/>
    <col min="21" max="21" width="11.7109375" style="36" customWidth="1"/>
    <col min="22" max="22" width="1.7109375" style="36" customWidth="1"/>
    <col min="23" max="24" width="11.7109375" style="36" customWidth="1"/>
    <col min="25" max="25" width="14.140625" style="36" customWidth="1"/>
    <col min="26" max="26" width="1.7109375" style="36" customWidth="1"/>
    <col min="27" max="27" width="10.85546875" style="36" customWidth="1"/>
    <col min="28" max="28" width="1.7109375" style="36" customWidth="1"/>
    <col min="29" max="29" width="10.85546875" style="36" customWidth="1"/>
    <col min="30" max="30" width="1.7109375" style="36" customWidth="1"/>
    <col min="31" max="31" width="10.85546875" style="36" customWidth="1"/>
    <col min="32" max="32" width="1.7109375" style="36" customWidth="1"/>
    <col min="33" max="33" width="10.85546875" style="36" customWidth="1"/>
    <col min="34" max="34" width="1.7109375" style="36" customWidth="1"/>
    <col min="35" max="35" width="10.85546875" style="36" customWidth="1"/>
    <col min="36" max="36" width="1.7109375" style="36" customWidth="1"/>
    <col min="37" max="37" width="11.7109375" style="36" customWidth="1"/>
    <col min="38" max="38" width="1.7109375" style="36" customWidth="1"/>
    <col min="39" max="39" width="10.85546875" style="36" customWidth="1"/>
    <col min="40" max="40" width="1.7109375" style="36" customWidth="1"/>
    <col min="41" max="41" width="10.85546875" style="36" customWidth="1"/>
    <col min="42" max="42" width="1.7109375" style="36" customWidth="1"/>
    <col min="43" max="43" width="10.85546875" style="36" customWidth="1"/>
    <col min="44" max="44" width="1.7109375" style="36" customWidth="1"/>
    <col min="45" max="45" width="10.85546875" style="36" customWidth="1"/>
    <col min="46" max="46" width="1.7109375" style="36" customWidth="1"/>
    <col min="47" max="47" width="10.85546875" style="36" hidden="1" customWidth="1"/>
    <col min="48" max="48" width="1.7109375" style="36" hidden="1" customWidth="1"/>
    <col min="49" max="49" width="10.85546875" style="36" hidden="1" customWidth="1"/>
    <col min="50" max="50" width="1.7109375" style="36" hidden="1" customWidth="1"/>
    <col min="51" max="52" width="11.85546875" style="36" customWidth="1"/>
    <col min="53" max="53" width="13" style="36" customWidth="1"/>
    <col min="54" max="54" width="1.7109375" style="36" customWidth="1"/>
    <col min="55" max="55" width="10.7109375" style="36" customWidth="1"/>
    <col min="56" max="56" width="1.7109375" style="36" customWidth="1"/>
    <col min="57" max="57" width="11.42578125" style="10" bestFit="1" customWidth="1"/>
    <col min="58" max="58" width="1.7109375" style="36" customWidth="1"/>
    <col min="59" max="59" width="10.7109375" style="36" customWidth="1"/>
    <col min="60" max="60" width="1.7109375" style="36" customWidth="1"/>
    <col min="61" max="61" width="10.7109375" style="36" customWidth="1"/>
    <col min="62" max="62" width="1.7109375" style="36" customWidth="1"/>
    <col min="63" max="63" width="10.7109375" style="36" customWidth="1"/>
    <col min="64" max="64" width="1.7109375" style="36" customWidth="1"/>
    <col min="65" max="65" width="11.42578125" style="36" bestFit="1" customWidth="1"/>
    <col min="66" max="66" width="1.7109375" style="36" hidden="1" customWidth="1"/>
    <col min="67" max="67" width="10.7109375" style="36" hidden="1" customWidth="1"/>
    <col min="68" max="68" width="11.7109375" style="21" hidden="1" customWidth="1"/>
    <col min="69" max="69" width="10.7109375" style="21" hidden="1" customWidth="1"/>
    <col min="70" max="70" width="1.7109375" style="21" customWidth="1"/>
    <col min="71" max="71" width="10.7109375" style="21" customWidth="1"/>
    <col min="72" max="72" width="11.7109375" style="21" customWidth="1"/>
    <col min="73" max="73" width="1.7109375" style="21" customWidth="1"/>
    <col min="74" max="74" width="11.7109375" style="21" customWidth="1"/>
    <col min="75" max="75" width="1.7109375" style="21" customWidth="1"/>
    <col min="76" max="76" width="11.7109375" style="36" customWidth="1"/>
    <col min="77" max="77" width="1.7109375" style="36" customWidth="1"/>
    <col min="78" max="78" width="11.7109375" style="36" customWidth="1"/>
    <col min="79" max="79" width="1.7109375" style="36" customWidth="1"/>
    <col min="80" max="80" width="11.7109375" style="36" customWidth="1"/>
    <col min="81" max="81" width="1.7109375" style="36" customWidth="1"/>
    <col min="82" max="82" width="11.7109375" style="36" customWidth="1"/>
    <col min="83" max="83" width="1.7109375" style="36" customWidth="1"/>
    <col min="84" max="84" width="15.42578125" style="36" customWidth="1"/>
    <col min="85" max="85" width="1.7109375" style="10" customWidth="1"/>
    <col min="86" max="86" width="10.140625" style="36" customWidth="1"/>
    <col min="87" max="87" width="1.7109375" style="36" customWidth="1"/>
    <col min="88" max="88" width="11.7109375" style="36" customWidth="1"/>
    <col min="89" max="89" width="1.7109375" style="36" customWidth="1"/>
    <col min="90" max="90" width="11.7109375" style="36" customWidth="1"/>
    <col min="91" max="91" width="1.7109375" style="36" customWidth="1"/>
    <col min="92" max="92" width="11.7109375" style="36" customWidth="1"/>
    <col min="93" max="93" width="1.7109375" style="36" customWidth="1"/>
    <col min="94" max="94" width="11.7109375" style="36" customWidth="1"/>
    <col min="95" max="95" width="2.7109375" style="36" customWidth="1"/>
    <col min="96" max="96" width="11.7109375" style="36" customWidth="1"/>
    <col min="97" max="97" width="1.7109375" style="36" customWidth="1"/>
    <col min="98" max="16384" width="8.42578125" style="36"/>
  </cols>
  <sheetData>
    <row r="1" spans="1:97" s="39" customFormat="1" ht="12.75" customHeight="1">
      <c r="A1" s="29" t="s">
        <v>392</v>
      </c>
      <c r="C1" s="38"/>
      <c r="D1" s="2"/>
      <c r="E1" s="22"/>
      <c r="F1" s="22"/>
      <c r="G1" s="22"/>
      <c r="H1" s="22"/>
      <c r="I1" s="22"/>
      <c r="J1" s="22"/>
      <c r="K1" s="22"/>
      <c r="L1" s="22"/>
      <c r="N1" s="22"/>
      <c r="O1" s="29"/>
      <c r="P1" s="22"/>
      <c r="Q1" s="22"/>
      <c r="R1" s="22"/>
      <c r="S1" s="22"/>
      <c r="T1" s="22"/>
      <c r="U1" s="22"/>
      <c r="V1" s="22"/>
      <c r="W1" s="22"/>
      <c r="X1" s="22"/>
      <c r="Y1" s="29" t="s">
        <v>392</v>
      </c>
      <c r="AA1" s="38"/>
      <c r="AB1" s="38"/>
      <c r="AD1" s="5"/>
      <c r="AE1" s="29"/>
      <c r="AF1" s="5"/>
      <c r="AG1" s="5"/>
      <c r="AH1" s="5"/>
      <c r="AI1" s="5"/>
      <c r="AJ1" s="5"/>
      <c r="AK1" s="5"/>
      <c r="AL1" s="5"/>
      <c r="AM1" s="5"/>
      <c r="AN1" s="5"/>
      <c r="AP1" s="5"/>
      <c r="AQ1" s="5"/>
      <c r="AR1" s="5"/>
      <c r="AS1" s="29"/>
      <c r="AT1" s="5"/>
      <c r="AU1" s="5"/>
      <c r="AV1" s="5"/>
      <c r="AW1" s="5"/>
      <c r="AX1" s="5"/>
      <c r="AY1" s="5"/>
      <c r="AZ1" s="5"/>
      <c r="BA1" s="29" t="s">
        <v>392</v>
      </c>
      <c r="BC1" s="38"/>
      <c r="BD1" s="5"/>
      <c r="BF1" s="5"/>
      <c r="BG1" s="5"/>
      <c r="BH1" s="5"/>
      <c r="BI1" s="5"/>
      <c r="BJ1" s="5"/>
      <c r="BK1" s="29"/>
      <c r="BL1" s="5"/>
      <c r="BM1" s="22"/>
      <c r="BN1" s="22"/>
      <c r="BR1"/>
      <c r="BS1" s="5"/>
      <c r="BU1" s="5"/>
      <c r="BV1" s="5"/>
      <c r="BW1" s="5"/>
      <c r="BX1" s="29"/>
      <c r="BY1" s="5"/>
      <c r="BZ1" s="5"/>
      <c r="CA1" s="5"/>
      <c r="CB1" s="5"/>
      <c r="CC1" s="5"/>
      <c r="CD1" s="5"/>
      <c r="CE1" s="5"/>
      <c r="CF1" s="29"/>
      <c r="CH1" s="38"/>
      <c r="CI1" s="5"/>
      <c r="CK1" s="5"/>
      <c r="CL1" s="5"/>
      <c r="CM1" s="5"/>
      <c r="CN1" s="5"/>
      <c r="CO1" s="5"/>
      <c r="CP1" s="29"/>
      <c r="CQ1" s="5"/>
      <c r="CR1" s="22"/>
      <c r="CS1" s="22"/>
    </row>
    <row r="2" spans="1:97" s="39" customFormat="1" ht="12.75" customHeight="1">
      <c r="A2" s="23" t="s">
        <v>472</v>
      </c>
      <c r="C2" s="38"/>
      <c r="D2" s="2"/>
      <c r="E2" s="22"/>
      <c r="F2" s="22"/>
      <c r="G2" s="22"/>
      <c r="H2" s="22"/>
      <c r="I2" s="22"/>
      <c r="J2" s="22"/>
      <c r="K2" s="22"/>
      <c r="L2" s="22"/>
      <c r="N2" s="22"/>
      <c r="O2" s="29"/>
      <c r="P2" s="22"/>
      <c r="Q2" s="22"/>
      <c r="R2" s="22"/>
      <c r="S2" s="22"/>
      <c r="T2" s="22"/>
      <c r="U2" s="22"/>
      <c r="V2" s="22"/>
      <c r="W2" s="22"/>
      <c r="X2" s="22"/>
      <c r="Y2" s="23" t="s">
        <v>473</v>
      </c>
      <c r="AA2" s="38"/>
      <c r="AB2" s="38"/>
      <c r="AD2" s="5"/>
      <c r="AE2" s="29"/>
      <c r="AF2" s="5"/>
      <c r="AG2" s="5"/>
      <c r="AH2" s="5"/>
      <c r="AI2" s="5"/>
      <c r="AJ2" s="5"/>
      <c r="AK2" s="5"/>
      <c r="AL2" s="5"/>
      <c r="AM2" s="5"/>
      <c r="AN2" s="5"/>
      <c r="AP2" s="5"/>
      <c r="AQ2" s="5"/>
      <c r="AR2" s="5"/>
      <c r="AS2" s="29"/>
      <c r="AT2" s="5"/>
      <c r="AU2" s="5"/>
      <c r="AV2" s="5"/>
      <c r="AW2" s="5"/>
      <c r="AX2" s="5"/>
      <c r="AY2" s="5"/>
      <c r="AZ2" s="5"/>
      <c r="BA2" s="43" t="s">
        <v>348</v>
      </c>
      <c r="BC2" s="38"/>
      <c r="BD2" s="5"/>
      <c r="BF2" s="5"/>
      <c r="BG2" s="5"/>
      <c r="BH2" s="5"/>
      <c r="BI2" s="5"/>
      <c r="BJ2" s="5"/>
      <c r="BK2" s="29"/>
      <c r="BL2" s="5"/>
      <c r="BM2" s="22"/>
      <c r="BN2" s="22"/>
      <c r="BR2"/>
      <c r="BS2" s="5"/>
      <c r="BU2" s="5"/>
      <c r="BV2" s="5"/>
      <c r="BW2" s="5"/>
      <c r="BX2" s="29"/>
      <c r="BY2" s="5"/>
      <c r="BZ2" s="5"/>
      <c r="CA2" s="5"/>
      <c r="CB2" s="5"/>
      <c r="CC2" s="5"/>
      <c r="CD2" s="5"/>
      <c r="CE2" s="5"/>
      <c r="CF2" s="43"/>
      <c r="CH2" s="38"/>
      <c r="CI2" s="5"/>
      <c r="CK2" s="5"/>
      <c r="CL2" s="5"/>
      <c r="CM2" s="5"/>
      <c r="CN2" s="5"/>
      <c r="CO2" s="5"/>
      <c r="CP2" s="29"/>
      <c r="CQ2" s="5"/>
      <c r="CR2" s="22"/>
      <c r="CS2" s="22"/>
    </row>
    <row r="3" spans="1:97" s="39" customFormat="1" ht="12.75" customHeight="1">
      <c r="A3" s="29" t="s">
        <v>500</v>
      </c>
      <c r="C3" s="38"/>
      <c r="D3" s="2"/>
      <c r="E3" s="22"/>
      <c r="F3" s="22"/>
      <c r="G3" s="22"/>
      <c r="H3" s="22"/>
      <c r="I3" s="22"/>
      <c r="J3" s="22"/>
      <c r="K3" s="22"/>
      <c r="L3" s="22"/>
      <c r="N3" s="22"/>
      <c r="O3" s="29"/>
      <c r="P3" s="22"/>
      <c r="Q3" s="22"/>
      <c r="R3" s="22"/>
      <c r="S3" s="22"/>
      <c r="T3" s="22"/>
      <c r="U3" s="22"/>
      <c r="V3" s="22"/>
      <c r="W3" s="22"/>
      <c r="X3" s="22"/>
      <c r="Y3" s="29" t="s">
        <v>500</v>
      </c>
      <c r="AA3" s="38"/>
      <c r="AB3" s="38"/>
      <c r="AD3" s="5"/>
      <c r="AE3" s="29"/>
      <c r="AF3" s="5"/>
      <c r="AG3" s="5"/>
      <c r="AH3" s="5"/>
      <c r="AI3" s="5"/>
      <c r="AJ3" s="5"/>
      <c r="AK3" s="5"/>
      <c r="AL3" s="5"/>
      <c r="AM3" s="5"/>
      <c r="AN3" s="5"/>
      <c r="AP3" s="5"/>
      <c r="AQ3" s="5"/>
      <c r="AR3" s="5"/>
      <c r="AS3" s="29"/>
      <c r="AT3" s="5"/>
      <c r="AU3" s="5"/>
      <c r="AV3" s="5"/>
      <c r="AW3" s="5"/>
      <c r="AX3" s="5"/>
      <c r="AY3" s="5"/>
      <c r="AZ3" s="5"/>
      <c r="BA3" s="29" t="s">
        <v>500</v>
      </c>
      <c r="BC3" s="38"/>
      <c r="BD3" s="5"/>
      <c r="BF3" s="5"/>
      <c r="BG3" s="5"/>
      <c r="BH3" s="5"/>
      <c r="BI3" s="5"/>
      <c r="BJ3" s="5"/>
      <c r="BK3" s="29"/>
      <c r="BL3" s="5"/>
      <c r="BM3" s="22"/>
      <c r="BN3" s="22"/>
      <c r="BR3"/>
      <c r="BS3" s="5"/>
      <c r="BU3" s="5"/>
      <c r="BV3" s="5"/>
      <c r="BW3" s="5"/>
      <c r="BX3" s="29"/>
      <c r="BY3" s="5"/>
      <c r="BZ3" s="5"/>
      <c r="CA3" s="5"/>
      <c r="CB3" s="5"/>
      <c r="CC3" s="5"/>
      <c r="CD3" s="5"/>
      <c r="CE3" s="5"/>
      <c r="CF3" s="29"/>
      <c r="CH3" s="38"/>
      <c r="CI3" s="5"/>
      <c r="CK3" s="5"/>
      <c r="CL3" s="5"/>
      <c r="CM3" s="5"/>
      <c r="CN3" s="5"/>
      <c r="CO3" s="5"/>
      <c r="CP3" s="29"/>
      <c r="CQ3" s="5"/>
      <c r="CR3" s="22"/>
      <c r="CS3" s="22"/>
    </row>
    <row r="4" spans="1:97" ht="12.75" customHeight="1">
      <c r="A4" s="42" t="s">
        <v>289</v>
      </c>
      <c r="C4" s="40"/>
      <c r="E4" s="5"/>
      <c r="F4" s="5"/>
      <c r="G4" s="5"/>
      <c r="H4" s="5"/>
      <c r="I4" s="5"/>
      <c r="J4" s="5"/>
      <c r="K4" s="5"/>
      <c r="L4" s="5"/>
      <c r="N4" s="5"/>
      <c r="O4" s="42"/>
      <c r="P4" s="5"/>
      <c r="Q4" s="5"/>
      <c r="R4" s="5"/>
      <c r="S4" s="5"/>
      <c r="T4" s="5"/>
      <c r="U4" s="5"/>
      <c r="V4" s="5"/>
      <c r="W4" s="5"/>
      <c r="X4" s="5"/>
      <c r="Y4" s="42" t="s">
        <v>289</v>
      </c>
      <c r="Z4" s="10"/>
      <c r="AA4" s="40"/>
      <c r="AB4" s="40"/>
      <c r="AD4" s="5"/>
      <c r="AE4" s="42"/>
      <c r="AF4" s="5"/>
      <c r="AG4" s="5"/>
      <c r="AH4" s="5"/>
      <c r="AI4" s="5"/>
      <c r="AJ4" s="5"/>
      <c r="AK4" s="5"/>
      <c r="AL4" s="5"/>
      <c r="AM4" s="5"/>
      <c r="AN4" s="5"/>
      <c r="AP4" s="5"/>
      <c r="AQ4" s="5"/>
      <c r="AR4" s="5"/>
      <c r="AS4" s="42"/>
      <c r="AT4" s="5"/>
      <c r="AU4" s="5"/>
      <c r="AV4" s="5"/>
      <c r="AW4" s="5"/>
      <c r="AX4" s="5"/>
      <c r="AY4" s="5"/>
      <c r="AZ4" s="5"/>
      <c r="BA4" s="42" t="s">
        <v>289</v>
      </c>
      <c r="BB4" s="10"/>
      <c r="BC4" s="40"/>
      <c r="BD4" s="5"/>
      <c r="BE4" s="36"/>
      <c r="BF4" s="5"/>
      <c r="BG4" s="5"/>
      <c r="BH4" s="5"/>
      <c r="BI4" s="5"/>
      <c r="BJ4" s="5"/>
      <c r="BK4" s="42"/>
      <c r="BL4" s="5"/>
      <c r="BM4" s="5"/>
      <c r="BN4" s="5"/>
      <c r="BP4" s="36"/>
      <c r="BQ4" s="36"/>
      <c r="BR4"/>
      <c r="BS4" s="5"/>
      <c r="BT4" s="36"/>
      <c r="BU4" s="5"/>
      <c r="BV4" s="5"/>
      <c r="BW4" s="5"/>
      <c r="BX4" s="42"/>
      <c r="BY4" s="5"/>
      <c r="BZ4" s="5"/>
      <c r="CA4" s="5"/>
      <c r="CB4" s="5"/>
      <c r="CC4" s="5"/>
      <c r="CD4" s="5"/>
      <c r="CE4" s="5"/>
      <c r="CF4" s="42"/>
      <c r="CH4" s="40"/>
      <c r="CI4" s="5"/>
      <c r="CK4" s="5"/>
      <c r="CL4" s="5"/>
      <c r="CM4" s="5"/>
      <c r="CN4" s="5"/>
      <c r="CO4" s="5"/>
      <c r="CP4" s="42"/>
      <c r="CQ4" s="5"/>
      <c r="CR4" s="5"/>
      <c r="CS4" s="5"/>
    </row>
    <row r="5" spans="1:97" ht="12.75" customHeight="1">
      <c r="A5" s="74" t="s">
        <v>484</v>
      </c>
      <c r="Q5" s="160" t="s">
        <v>2</v>
      </c>
      <c r="R5" s="160"/>
      <c r="S5" s="160"/>
      <c r="T5" s="160"/>
      <c r="U5" s="160"/>
      <c r="Y5" s="74" t="s">
        <v>484</v>
      </c>
      <c r="AU5" s="41" t="s">
        <v>411</v>
      </c>
      <c r="AW5" s="41" t="s">
        <v>412</v>
      </c>
      <c r="BA5" s="74" t="s">
        <v>484</v>
      </c>
      <c r="BE5" s="34" t="s">
        <v>348</v>
      </c>
      <c r="BF5" s="34"/>
      <c r="BG5" s="34"/>
      <c r="BH5" s="34"/>
      <c r="BI5" s="34"/>
      <c r="BJ5" s="34"/>
      <c r="BK5" s="4"/>
      <c r="CG5" s="19"/>
    </row>
    <row r="6" spans="1:97" s="41" customFormat="1" ht="12.75" customHeight="1">
      <c r="D6" s="3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 t="s">
        <v>7</v>
      </c>
      <c r="W6" s="6"/>
      <c r="X6" s="6"/>
      <c r="Z6" s="12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 t="s">
        <v>349</v>
      </c>
      <c r="AV6" s="6"/>
      <c r="AW6" s="6" t="s">
        <v>349</v>
      </c>
      <c r="AX6" s="6"/>
      <c r="AY6" s="6"/>
      <c r="AZ6" s="6"/>
      <c r="BB6" s="12"/>
      <c r="BD6" s="6"/>
      <c r="BE6" s="6" t="s">
        <v>296</v>
      </c>
      <c r="BF6" s="6"/>
      <c r="BG6" s="6" t="s">
        <v>350</v>
      </c>
      <c r="BH6" s="6"/>
      <c r="BI6" s="6"/>
      <c r="BJ6" s="6"/>
      <c r="BK6" s="6" t="s">
        <v>294</v>
      </c>
      <c r="BL6" s="6"/>
      <c r="BM6" s="6" t="s">
        <v>6</v>
      </c>
      <c r="BN6" s="33"/>
      <c r="BR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G6" s="15"/>
      <c r="CI6" s="6"/>
      <c r="CJ6" s="6"/>
      <c r="CK6" s="6"/>
      <c r="CL6" s="6"/>
      <c r="CM6" s="6"/>
      <c r="CN6" s="6"/>
      <c r="CO6" s="6"/>
      <c r="CP6" s="6"/>
      <c r="CQ6" s="6"/>
      <c r="CR6" s="6"/>
      <c r="CS6" s="33"/>
    </row>
    <row r="7" spans="1:97" s="41" customFormat="1" ht="12.75" customHeight="1">
      <c r="D7" s="6"/>
      <c r="E7" s="6" t="s">
        <v>3</v>
      </c>
      <c r="F7" s="6"/>
      <c r="G7" s="6" t="s">
        <v>351</v>
      </c>
      <c r="H7" s="6"/>
      <c r="I7" s="6" t="s">
        <v>6</v>
      </c>
      <c r="J7" s="6"/>
      <c r="K7" s="6" t="s">
        <v>3</v>
      </c>
      <c r="L7" s="6"/>
      <c r="M7" s="6" t="s">
        <v>351</v>
      </c>
      <c r="N7" s="6"/>
      <c r="O7" s="6" t="s">
        <v>6</v>
      </c>
      <c r="P7" s="6"/>
      <c r="Q7" s="41" t="s">
        <v>4</v>
      </c>
      <c r="R7" s="6"/>
      <c r="S7" s="6"/>
      <c r="T7" s="6"/>
      <c r="U7" s="6"/>
      <c r="V7" s="6"/>
      <c r="W7" s="8" t="s">
        <v>6</v>
      </c>
      <c r="X7" s="8"/>
      <c r="AC7" s="6" t="s">
        <v>345</v>
      </c>
      <c r="AD7" s="6"/>
      <c r="AE7" s="6" t="s">
        <v>353</v>
      </c>
      <c r="AF7" s="6"/>
      <c r="AG7" s="6"/>
      <c r="AH7" s="6"/>
      <c r="AI7" s="6" t="s">
        <v>345</v>
      </c>
      <c r="AJ7" s="6"/>
      <c r="AK7" s="6" t="s">
        <v>354</v>
      </c>
      <c r="AL7" s="6"/>
      <c r="AM7" s="6"/>
      <c r="AN7" s="6"/>
      <c r="AO7" s="6"/>
      <c r="AP7" s="6"/>
      <c r="AQ7" s="6" t="s">
        <v>4</v>
      </c>
      <c r="AR7" s="6"/>
      <c r="AS7" s="6" t="s">
        <v>368</v>
      </c>
      <c r="AT7" s="6"/>
      <c r="AU7" s="6" t="s">
        <v>413</v>
      </c>
      <c r="AV7" s="6"/>
      <c r="AW7" s="6" t="s">
        <v>413</v>
      </c>
      <c r="AX7" s="6"/>
      <c r="AY7" s="6" t="s">
        <v>355</v>
      </c>
      <c r="AZ7" s="6"/>
      <c r="BD7" s="6"/>
      <c r="BE7" s="6" t="s">
        <v>356</v>
      </c>
      <c r="BF7" s="6"/>
      <c r="BG7" s="6" t="s">
        <v>302</v>
      </c>
      <c r="BH7" s="6"/>
      <c r="BI7" s="6"/>
      <c r="BJ7" s="6"/>
      <c r="BK7" s="6" t="s">
        <v>352</v>
      </c>
      <c r="BL7" s="6"/>
      <c r="BM7" s="6" t="s">
        <v>352</v>
      </c>
      <c r="BN7" s="33"/>
      <c r="BR7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33"/>
    </row>
    <row r="8" spans="1:97" s="89" customFormat="1" ht="12.75" customHeight="1">
      <c r="A8" s="7" t="s">
        <v>8</v>
      </c>
      <c r="C8" s="7" t="s">
        <v>9</v>
      </c>
      <c r="D8" s="8"/>
      <c r="E8" s="7" t="s">
        <v>0</v>
      </c>
      <c r="F8" s="8"/>
      <c r="G8" s="7" t="s">
        <v>0</v>
      </c>
      <c r="H8" s="8"/>
      <c r="I8" s="7" t="s">
        <v>0</v>
      </c>
      <c r="J8" s="8"/>
      <c r="K8" s="7" t="s">
        <v>1</v>
      </c>
      <c r="L8" s="8"/>
      <c r="M8" s="7" t="s">
        <v>1</v>
      </c>
      <c r="N8" s="8"/>
      <c r="O8" s="7" t="s">
        <v>1</v>
      </c>
      <c r="P8" s="8"/>
      <c r="Q8" s="7" t="s">
        <v>0</v>
      </c>
      <c r="R8" s="8"/>
      <c r="S8" s="7" t="s">
        <v>10</v>
      </c>
      <c r="T8" s="8"/>
      <c r="U8" s="7" t="s">
        <v>11</v>
      </c>
      <c r="V8" s="8"/>
      <c r="W8" s="105" t="s">
        <v>2</v>
      </c>
      <c r="Y8" s="7" t="s">
        <v>8</v>
      </c>
      <c r="AA8" s="7" t="s">
        <v>9</v>
      </c>
      <c r="AB8" s="8"/>
      <c r="AC8" s="78" t="s">
        <v>302</v>
      </c>
      <c r="AD8" s="8"/>
      <c r="AE8" s="78" t="s">
        <v>357</v>
      </c>
      <c r="AF8" s="8"/>
      <c r="AG8" s="78" t="s">
        <v>357</v>
      </c>
      <c r="AH8" s="8"/>
      <c r="AI8" s="78" t="s">
        <v>358</v>
      </c>
      <c r="AJ8" s="8"/>
      <c r="AK8" s="78" t="s">
        <v>414</v>
      </c>
      <c r="AL8" s="8"/>
      <c r="AM8" s="78" t="s">
        <v>359</v>
      </c>
      <c r="AN8" s="8"/>
      <c r="AO8" s="78" t="s">
        <v>360</v>
      </c>
      <c r="AP8" s="8"/>
      <c r="AQ8" s="78" t="s">
        <v>361</v>
      </c>
      <c r="AR8" s="8"/>
      <c r="AS8" s="78" t="s">
        <v>2</v>
      </c>
      <c r="AT8" s="8"/>
      <c r="AU8" s="7" t="s">
        <v>415</v>
      </c>
      <c r="AV8" s="8"/>
      <c r="AW8" s="7" t="s">
        <v>415</v>
      </c>
      <c r="AX8" s="8"/>
      <c r="AY8" s="78" t="s">
        <v>4</v>
      </c>
      <c r="AZ8" s="8"/>
      <c r="BA8" s="7" t="s">
        <v>8</v>
      </c>
      <c r="BC8" s="7" t="s">
        <v>9</v>
      </c>
      <c r="BD8" s="8"/>
      <c r="BE8" s="78" t="s">
        <v>362</v>
      </c>
      <c r="BF8" s="8"/>
      <c r="BG8" s="78" t="s">
        <v>362</v>
      </c>
      <c r="BH8" s="8"/>
      <c r="BI8" s="78" t="s">
        <v>363</v>
      </c>
      <c r="BJ8" s="8"/>
      <c r="BK8" s="78" t="s">
        <v>364</v>
      </c>
      <c r="BL8" s="8"/>
      <c r="BM8" s="7" t="s">
        <v>364</v>
      </c>
      <c r="BN8" s="54"/>
      <c r="BR8" s="51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54"/>
    </row>
    <row r="9" spans="1:97" s="89" customFormat="1" ht="12.75" customHeight="1">
      <c r="A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Y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54"/>
      <c r="BR9" s="51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54"/>
    </row>
    <row r="10" spans="1:97" s="90" customFormat="1" ht="12.75" customHeight="1">
      <c r="A10" s="35" t="s">
        <v>12</v>
      </c>
      <c r="B10" s="51"/>
      <c r="C10" s="35" t="s">
        <v>13</v>
      </c>
      <c r="D10" s="44"/>
      <c r="E10" s="79">
        <f t="shared" ref="E10:E25" si="0">I10-G10</f>
        <v>13367235</v>
      </c>
      <c r="F10" s="79"/>
      <c r="G10" s="79">
        <v>240942900</v>
      </c>
      <c r="H10" s="79"/>
      <c r="I10" s="79">
        <v>254310135</v>
      </c>
      <c r="J10" s="79"/>
      <c r="K10" s="79">
        <f t="shared" ref="K10:K72" si="1">O10-M10</f>
        <v>15675022</v>
      </c>
      <c r="L10" s="79"/>
      <c r="M10" s="79">
        <v>53289058</v>
      </c>
      <c r="N10" s="79"/>
      <c r="O10" s="79">
        <v>68964080</v>
      </c>
      <c r="P10" s="79"/>
      <c r="Q10" s="79">
        <v>181614471</v>
      </c>
      <c r="R10" s="79"/>
      <c r="S10" s="79">
        <v>6432090</v>
      </c>
      <c r="T10" s="79"/>
      <c r="U10" s="79">
        <v>-2700506</v>
      </c>
      <c r="V10" s="79"/>
      <c r="W10" s="79">
        <f t="shared" ref="W10:W22" si="2">SUM(Q10:U10)</f>
        <v>185346055</v>
      </c>
      <c r="X10" s="53"/>
      <c r="Y10" s="35" t="s">
        <v>12</v>
      </c>
      <c r="Z10" s="55"/>
      <c r="AA10" s="35" t="s">
        <v>13</v>
      </c>
      <c r="AB10" s="35"/>
      <c r="AC10" s="79">
        <v>35830681</v>
      </c>
      <c r="AD10" s="79"/>
      <c r="AE10" s="79">
        <f>32419668-7749239</f>
        <v>24670429</v>
      </c>
      <c r="AF10" s="79"/>
      <c r="AG10" s="79">
        <v>7749239</v>
      </c>
      <c r="AH10" s="79"/>
      <c r="AI10" s="94">
        <f t="shared" ref="AI10:AI71" si="3">+AC10-AE10-AG10</f>
        <v>3411013</v>
      </c>
      <c r="AJ10" s="94"/>
      <c r="AK10" s="94">
        <v>-2170860</v>
      </c>
      <c r="AL10" s="94"/>
      <c r="AM10" s="79">
        <v>0</v>
      </c>
      <c r="AN10" s="79"/>
      <c r="AO10" s="79">
        <v>0</v>
      </c>
      <c r="AP10" s="79"/>
      <c r="AQ10" s="79">
        <v>2659899</v>
      </c>
      <c r="AR10" s="79"/>
      <c r="AS10" s="94">
        <f t="shared" ref="AS10:AS73" si="4">+AI10+AK10+AM10-AO10+AQ10</f>
        <v>3900052</v>
      </c>
      <c r="AT10" s="94"/>
      <c r="AU10" s="79">
        <v>0</v>
      </c>
      <c r="AV10" s="79"/>
      <c r="AW10" s="79">
        <v>0</v>
      </c>
      <c r="AX10" s="79"/>
      <c r="AY10" s="79">
        <f t="shared" ref="AY10:AY71" si="5">+E10-K10</f>
        <v>-2307787</v>
      </c>
      <c r="AZ10" s="53"/>
      <c r="BA10" s="35" t="s">
        <v>12</v>
      </c>
      <c r="BB10" s="55"/>
      <c r="BC10" s="35" t="s">
        <v>13</v>
      </c>
      <c r="BD10" s="53"/>
      <c r="BE10" s="79">
        <v>0</v>
      </c>
      <c r="BF10" s="79"/>
      <c r="BG10" s="79">
        <f>560000+3650000</f>
        <v>4210000</v>
      </c>
      <c r="BH10" s="79"/>
      <c r="BI10" s="79">
        <f>4541386+105556</f>
        <v>4646942</v>
      </c>
      <c r="BJ10" s="79"/>
      <c r="BK10" s="79">
        <v>0</v>
      </c>
      <c r="BL10" s="79"/>
      <c r="BM10" s="79">
        <f t="shared" ref="BM10:BM18" si="6">SUM(BE10:BK10)</f>
        <v>8856942</v>
      </c>
      <c r="BN10" s="91" t="s">
        <v>347</v>
      </c>
      <c r="BR10" s="66"/>
      <c r="BS10" s="79"/>
      <c r="BT10" s="79"/>
      <c r="BU10" s="79"/>
      <c r="BV10" s="79"/>
      <c r="BW10" s="79"/>
      <c r="BX10" s="94"/>
      <c r="BY10" s="94"/>
      <c r="BZ10" s="79"/>
      <c r="CA10" s="79"/>
      <c r="CB10" s="79"/>
      <c r="CC10" s="79"/>
      <c r="CD10" s="79"/>
      <c r="CE10" s="79"/>
      <c r="CF10" s="64"/>
      <c r="CH10" s="64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91"/>
    </row>
    <row r="11" spans="1:97" s="55" customFormat="1" ht="12.75" customHeight="1">
      <c r="A11" s="35" t="s">
        <v>14</v>
      </c>
      <c r="B11" s="65"/>
      <c r="C11" s="35" t="s">
        <v>15</v>
      </c>
      <c r="D11" s="44"/>
      <c r="E11" s="53">
        <f t="shared" si="0"/>
        <v>4702321</v>
      </c>
      <c r="F11" s="53"/>
      <c r="G11" s="53">
        <v>9577133</v>
      </c>
      <c r="H11" s="53"/>
      <c r="I11" s="53">
        <v>14279454</v>
      </c>
      <c r="J11" s="53"/>
      <c r="K11" s="53">
        <f t="shared" si="1"/>
        <v>980549</v>
      </c>
      <c r="L11" s="53"/>
      <c r="M11" s="53">
        <v>2166003</v>
      </c>
      <c r="N11" s="53"/>
      <c r="O11" s="53">
        <v>3146552</v>
      </c>
      <c r="P11" s="53"/>
      <c r="Q11" s="53">
        <v>7153627</v>
      </c>
      <c r="R11" s="53"/>
      <c r="S11" s="53">
        <v>0</v>
      </c>
      <c r="T11" s="53"/>
      <c r="U11" s="53">
        <v>3979275</v>
      </c>
      <c r="V11" s="53"/>
      <c r="W11" s="53">
        <f t="shared" si="2"/>
        <v>11132902</v>
      </c>
      <c r="X11" s="53"/>
      <c r="Y11" s="35" t="s">
        <v>14</v>
      </c>
      <c r="AA11" s="35" t="s">
        <v>15</v>
      </c>
      <c r="AB11" s="35"/>
      <c r="AC11" s="53">
        <v>4282948</v>
      </c>
      <c r="AD11" s="53"/>
      <c r="AE11" s="53">
        <f>3368851-406237</f>
        <v>2962614</v>
      </c>
      <c r="AF11" s="53"/>
      <c r="AG11" s="53">
        <v>406237</v>
      </c>
      <c r="AH11" s="53"/>
      <c r="AI11" s="45">
        <f t="shared" si="3"/>
        <v>914097</v>
      </c>
      <c r="AJ11" s="45"/>
      <c r="AK11" s="53">
        <v>9592</v>
      </c>
      <c r="AL11" s="45"/>
      <c r="AM11" s="53">
        <v>0</v>
      </c>
      <c r="AN11" s="53"/>
      <c r="AO11" s="53">
        <v>0</v>
      </c>
      <c r="AP11" s="53"/>
      <c r="AQ11" s="53">
        <v>313745</v>
      </c>
      <c r="AR11" s="53"/>
      <c r="AS11" s="45">
        <f>+AI11+AK11+AM11-AO11+AQ11</f>
        <v>1237434</v>
      </c>
      <c r="AT11" s="45"/>
      <c r="AU11" s="53">
        <v>0</v>
      </c>
      <c r="AV11" s="53"/>
      <c r="AW11" s="53">
        <v>0</v>
      </c>
      <c r="AX11" s="53"/>
      <c r="AY11" s="53">
        <f t="shared" si="5"/>
        <v>3721772</v>
      </c>
      <c r="AZ11" s="53"/>
      <c r="BA11" s="35" t="s">
        <v>14</v>
      </c>
      <c r="BC11" s="35" t="s">
        <v>15</v>
      </c>
      <c r="BD11" s="53"/>
      <c r="BE11" s="53">
        <v>1182000</v>
      </c>
      <c r="BF11" s="53"/>
      <c r="BG11" s="53">
        <v>0</v>
      </c>
      <c r="BH11" s="53"/>
      <c r="BI11" s="53">
        <v>661374</v>
      </c>
      <c r="BJ11" s="53"/>
      <c r="BK11" s="53">
        <v>322629</v>
      </c>
      <c r="BL11" s="53"/>
      <c r="BM11" s="53">
        <f t="shared" si="6"/>
        <v>2166003</v>
      </c>
      <c r="BN11" s="54" t="s">
        <v>347</v>
      </c>
      <c r="BR11" s="65"/>
      <c r="BS11" s="53"/>
      <c r="BT11" s="53"/>
      <c r="BU11" s="53"/>
      <c r="BV11" s="53"/>
      <c r="BW11" s="53"/>
      <c r="BX11" s="45"/>
      <c r="BY11" s="45"/>
      <c r="BZ11" s="53"/>
      <c r="CA11" s="53"/>
      <c r="CB11" s="53"/>
      <c r="CC11" s="53"/>
      <c r="CD11" s="53"/>
      <c r="CE11" s="53"/>
      <c r="CF11" s="35"/>
      <c r="CH11" s="35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4"/>
    </row>
    <row r="12" spans="1:97" s="55" customFormat="1" ht="12.75" customHeight="1">
      <c r="A12" s="35" t="s">
        <v>16</v>
      </c>
      <c r="B12" s="65"/>
      <c r="C12" s="35" t="s">
        <v>17</v>
      </c>
      <c r="D12" s="44"/>
      <c r="E12" s="53">
        <f t="shared" si="0"/>
        <v>4426955</v>
      </c>
      <c r="F12" s="53"/>
      <c r="G12" s="53">
        <v>14800468</v>
      </c>
      <c r="H12" s="53"/>
      <c r="I12" s="53">
        <v>19227423</v>
      </c>
      <c r="J12" s="53"/>
      <c r="K12" s="53">
        <f t="shared" si="1"/>
        <v>655833</v>
      </c>
      <c r="L12" s="53"/>
      <c r="M12" s="53">
        <v>7327792</v>
      </c>
      <c r="N12" s="53"/>
      <c r="O12" s="53">
        <v>7983625</v>
      </c>
      <c r="P12" s="53"/>
      <c r="Q12" s="53">
        <v>6949037</v>
      </c>
      <c r="R12" s="53"/>
      <c r="S12" s="53">
        <v>0</v>
      </c>
      <c r="T12" s="53"/>
      <c r="U12" s="53">
        <v>4294761</v>
      </c>
      <c r="V12" s="53"/>
      <c r="W12" s="53">
        <f t="shared" si="2"/>
        <v>11243798</v>
      </c>
      <c r="X12" s="53"/>
      <c r="Y12" s="35" t="s">
        <v>16</v>
      </c>
      <c r="AA12" s="35" t="s">
        <v>17</v>
      </c>
      <c r="AB12" s="35"/>
      <c r="AC12" s="53">
        <v>2601036</v>
      </c>
      <c r="AD12" s="53"/>
      <c r="AE12" s="53">
        <f>2013053-574473</f>
        <v>1438580</v>
      </c>
      <c r="AF12" s="53"/>
      <c r="AG12" s="53">
        <v>574473</v>
      </c>
      <c r="AH12" s="53"/>
      <c r="AI12" s="45">
        <f t="shared" si="3"/>
        <v>587983</v>
      </c>
      <c r="AJ12" s="45"/>
      <c r="AK12" s="53">
        <v>-299376</v>
      </c>
      <c r="AL12" s="45"/>
      <c r="AM12" s="53">
        <v>0</v>
      </c>
      <c r="AN12" s="53"/>
      <c r="AO12" s="53">
        <v>0</v>
      </c>
      <c r="AP12" s="53"/>
      <c r="AQ12" s="53">
        <v>0</v>
      </c>
      <c r="AR12" s="53"/>
      <c r="AS12" s="45">
        <f t="shared" si="4"/>
        <v>288607</v>
      </c>
      <c r="AT12" s="45"/>
      <c r="AU12" s="53">
        <v>0</v>
      </c>
      <c r="AV12" s="53"/>
      <c r="AW12" s="53">
        <v>0</v>
      </c>
      <c r="AX12" s="53"/>
      <c r="AY12" s="53">
        <f t="shared" si="5"/>
        <v>3771122</v>
      </c>
      <c r="AZ12" s="53"/>
      <c r="BA12" s="35" t="s">
        <v>16</v>
      </c>
      <c r="BC12" s="35" t="s">
        <v>17</v>
      </c>
      <c r="BD12" s="53"/>
      <c r="BE12" s="53">
        <f>186429+730270</f>
        <v>916699</v>
      </c>
      <c r="BF12" s="53"/>
      <c r="BG12" s="53">
        <v>0</v>
      </c>
      <c r="BH12" s="53"/>
      <c r="BI12" s="53">
        <f>8648+350082+6497110+78892</f>
        <v>6934732</v>
      </c>
      <c r="BJ12" s="53"/>
      <c r="BK12" s="53">
        <v>21520</v>
      </c>
      <c r="BL12" s="53"/>
      <c r="BM12" s="53">
        <f t="shared" si="6"/>
        <v>7872951</v>
      </c>
      <c r="BN12" s="54" t="s">
        <v>347</v>
      </c>
      <c r="BR12" s="65"/>
      <c r="BS12" s="53"/>
      <c r="BT12" s="53"/>
      <c r="BU12" s="53"/>
      <c r="BV12" s="53"/>
      <c r="BW12" s="53"/>
      <c r="BX12" s="45"/>
      <c r="BY12" s="45"/>
      <c r="BZ12" s="53"/>
      <c r="CA12" s="53"/>
      <c r="CB12" s="53"/>
      <c r="CC12" s="53"/>
      <c r="CD12" s="53"/>
      <c r="CE12" s="53"/>
      <c r="CF12" s="35"/>
      <c r="CH12" s="35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4"/>
    </row>
    <row r="13" spans="1:97" s="55" customFormat="1" ht="12.75" customHeight="1">
      <c r="A13" s="35" t="s">
        <v>18</v>
      </c>
      <c r="B13" s="65"/>
      <c r="C13" s="35" t="s">
        <v>18</v>
      </c>
      <c r="D13" s="44"/>
      <c r="E13" s="53">
        <f t="shared" si="0"/>
        <v>1323675</v>
      </c>
      <c r="F13" s="53"/>
      <c r="G13" s="53">
        <v>19684525</v>
      </c>
      <c r="H13" s="53"/>
      <c r="I13" s="53">
        <v>21008200</v>
      </c>
      <c r="J13" s="53"/>
      <c r="K13" s="53">
        <f t="shared" si="1"/>
        <v>6591820</v>
      </c>
      <c r="L13" s="53"/>
      <c r="M13" s="53">
        <v>2727976</v>
      </c>
      <c r="N13" s="53"/>
      <c r="O13" s="53">
        <v>9319796</v>
      </c>
      <c r="P13" s="53"/>
      <c r="Q13" s="53">
        <v>10525732</v>
      </c>
      <c r="R13" s="53"/>
      <c r="S13" s="53">
        <v>0</v>
      </c>
      <c r="T13" s="53"/>
      <c r="U13" s="53">
        <v>1162672</v>
      </c>
      <c r="V13" s="53"/>
      <c r="W13" s="53">
        <f t="shared" si="2"/>
        <v>11688404</v>
      </c>
      <c r="X13" s="53"/>
      <c r="Y13" s="35" t="s">
        <v>18</v>
      </c>
      <c r="AA13" s="35" t="s">
        <v>18</v>
      </c>
      <c r="AB13" s="35"/>
      <c r="AC13" s="53">
        <v>3023940</v>
      </c>
      <c r="AD13" s="53"/>
      <c r="AE13" s="53">
        <f>2254161-529645</f>
        <v>1724516</v>
      </c>
      <c r="AF13" s="53"/>
      <c r="AG13" s="53">
        <v>529645</v>
      </c>
      <c r="AH13" s="53"/>
      <c r="AI13" s="45">
        <f t="shared" si="3"/>
        <v>769779</v>
      </c>
      <c r="AJ13" s="45"/>
      <c r="AK13" s="53">
        <v>47031</v>
      </c>
      <c r="AL13" s="45"/>
      <c r="AM13" s="53">
        <v>0</v>
      </c>
      <c r="AN13" s="53"/>
      <c r="AO13" s="53">
        <v>28809</v>
      </c>
      <c r="AP13" s="53"/>
      <c r="AQ13" s="53">
        <v>0</v>
      </c>
      <c r="AR13" s="53"/>
      <c r="AS13" s="45">
        <f t="shared" si="4"/>
        <v>788001</v>
      </c>
      <c r="AT13" s="45"/>
      <c r="AU13" s="53">
        <v>0</v>
      </c>
      <c r="AV13" s="53"/>
      <c r="AW13" s="53">
        <v>0</v>
      </c>
      <c r="AX13" s="53"/>
      <c r="AY13" s="53">
        <f t="shared" si="5"/>
        <v>-5268145</v>
      </c>
      <c r="AZ13" s="53"/>
      <c r="BA13" s="35" t="s">
        <v>18</v>
      </c>
      <c r="BC13" s="35" t="s">
        <v>18</v>
      </c>
      <c r="BD13" s="53"/>
      <c r="BE13" s="53">
        <f>146000+2516000</f>
        <v>2662000</v>
      </c>
      <c r="BF13" s="53"/>
      <c r="BG13" s="53">
        <v>0</v>
      </c>
      <c r="BH13" s="53"/>
      <c r="BI13" s="53">
        <f>313879+162914</f>
        <v>476793</v>
      </c>
      <c r="BJ13" s="53"/>
      <c r="BK13" s="53">
        <f>649+49062</f>
        <v>49711</v>
      </c>
      <c r="BL13" s="53"/>
      <c r="BM13" s="53">
        <f t="shared" si="6"/>
        <v>3188504</v>
      </c>
      <c r="BN13" s="54" t="s">
        <v>347</v>
      </c>
      <c r="BR13" s="65"/>
      <c r="BS13" s="53"/>
      <c r="BT13" s="53"/>
      <c r="BU13" s="53"/>
      <c r="BV13" s="53"/>
      <c r="BW13" s="53"/>
      <c r="BX13" s="45"/>
      <c r="BY13" s="45"/>
      <c r="BZ13" s="53"/>
      <c r="CA13" s="53"/>
      <c r="CB13" s="53"/>
      <c r="CC13" s="53"/>
      <c r="CD13" s="53"/>
      <c r="CE13" s="53"/>
      <c r="CF13" s="35"/>
      <c r="CH13" s="35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4"/>
    </row>
    <row r="14" spans="1:97" s="55" customFormat="1" ht="12.75" customHeight="1">
      <c r="A14" s="35" t="s">
        <v>19</v>
      </c>
      <c r="B14" s="65"/>
      <c r="C14" s="35" t="s">
        <v>19</v>
      </c>
      <c r="D14" s="44"/>
      <c r="E14" s="53">
        <f t="shared" si="0"/>
        <v>2196495</v>
      </c>
      <c r="F14" s="53"/>
      <c r="G14" s="53">
        <v>13958888</v>
      </c>
      <c r="H14" s="53"/>
      <c r="I14" s="53">
        <v>16155383</v>
      </c>
      <c r="J14" s="53"/>
      <c r="K14" s="53">
        <f t="shared" si="1"/>
        <v>703225</v>
      </c>
      <c r="L14" s="53"/>
      <c r="M14" s="53">
        <v>3411196</v>
      </c>
      <c r="N14" s="53"/>
      <c r="O14" s="53">
        <v>4114421</v>
      </c>
      <c r="P14" s="53"/>
      <c r="Q14" s="53">
        <v>10339668</v>
      </c>
      <c r="R14" s="53"/>
      <c r="S14" s="53">
        <v>0</v>
      </c>
      <c r="T14" s="53"/>
      <c r="U14" s="53">
        <v>1701294</v>
      </c>
      <c r="V14" s="53"/>
      <c r="W14" s="53">
        <f t="shared" si="2"/>
        <v>12040962</v>
      </c>
      <c r="X14" s="53"/>
      <c r="Y14" s="35" t="s">
        <v>19</v>
      </c>
      <c r="AA14" s="35" t="s">
        <v>19</v>
      </c>
      <c r="AB14" s="35"/>
      <c r="AC14" s="53">
        <v>3629409</v>
      </c>
      <c r="AD14" s="53"/>
      <c r="AE14" s="53">
        <f>4095422-536025</f>
        <v>3559397</v>
      </c>
      <c r="AF14" s="53"/>
      <c r="AG14" s="53">
        <v>536025</v>
      </c>
      <c r="AH14" s="53"/>
      <c r="AI14" s="45">
        <f t="shared" si="3"/>
        <v>-466013</v>
      </c>
      <c r="AJ14" s="45"/>
      <c r="AK14" s="53">
        <v>-134784</v>
      </c>
      <c r="AL14" s="45"/>
      <c r="AM14" s="53">
        <v>0</v>
      </c>
      <c r="AN14" s="53"/>
      <c r="AO14" s="53">
        <v>76500</v>
      </c>
      <c r="AP14" s="53"/>
      <c r="AQ14" s="53">
        <v>231298</v>
      </c>
      <c r="AR14" s="53"/>
      <c r="AS14" s="45">
        <f t="shared" si="4"/>
        <v>-445999</v>
      </c>
      <c r="AT14" s="45"/>
      <c r="AU14" s="53">
        <v>0</v>
      </c>
      <c r="AV14" s="53"/>
      <c r="AW14" s="53">
        <v>0</v>
      </c>
      <c r="AX14" s="53"/>
      <c r="AY14" s="53">
        <f t="shared" si="5"/>
        <v>1493270</v>
      </c>
      <c r="AZ14" s="53"/>
      <c r="BA14" s="35" t="s">
        <v>19</v>
      </c>
      <c r="BC14" s="35" t="s">
        <v>19</v>
      </c>
      <c r="BD14" s="53"/>
      <c r="BE14" s="53">
        <v>0</v>
      </c>
      <c r="BF14" s="53"/>
      <c r="BG14" s="53">
        <v>0</v>
      </c>
      <c r="BH14" s="53"/>
      <c r="BI14" s="53">
        <f>441817+3177403</f>
        <v>3619220</v>
      </c>
      <c r="BJ14" s="53"/>
      <c r="BK14" s="53">
        <f>119571+233793</f>
        <v>353364</v>
      </c>
      <c r="BL14" s="53"/>
      <c r="BM14" s="53">
        <f t="shared" si="6"/>
        <v>3972584</v>
      </c>
      <c r="BN14" s="54" t="s">
        <v>347</v>
      </c>
      <c r="BR14" s="65"/>
      <c r="BS14" s="53"/>
      <c r="BT14" s="53"/>
      <c r="BU14" s="53"/>
      <c r="BV14" s="53"/>
      <c r="BW14" s="53"/>
      <c r="BX14" s="45"/>
      <c r="BY14" s="45"/>
      <c r="BZ14" s="53"/>
      <c r="CA14" s="53"/>
      <c r="CB14" s="53"/>
      <c r="CC14" s="53"/>
      <c r="CD14" s="53"/>
      <c r="CE14" s="53"/>
      <c r="CF14" s="35"/>
      <c r="CH14" s="35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4"/>
    </row>
    <row r="15" spans="1:97" s="55" customFormat="1" ht="12.75" customHeight="1">
      <c r="A15" s="35" t="s">
        <v>20</v>
      </c>
      <c r="B15" s="65"/>
      <c r="C15" s="35" t="s">
        <v>20</v>
      </c>
      <c r="D15" s="44"/>
      <c r="E15" s="53">
        <f t="shared" si="0"/>
        <v>1299081</v>
      </c>
      <c r="F15" s="53"/>
      <c r="G15" s="53">
        <f>102510+9843495</f>
        <v>9946005</v>
      </c>
      <c r="H15" s="53"/>
      <c r="I15" s="53">
        <v>11245086</v>
      </c>
      <c r="J15" s="53"/>
      <c r="K15" s="53">
        <f t="shared" si="1"/>
        <v>808880</v>
      </c>
      <c r="L15" s="53"/>
      <c r="M15" s="53">
        <f>38818+2853208</f>
        <v>2892026</v>
      </c>
      <c r="N15" s="53"/>
      <c r="O15" s="53">
        <v>3700906</v>
      </c>
      <c r="P15" s="53"/>
      <c r="Q15" s="53">
        <v>6553851</v>
      </c>
      <c r="R15" s="53"/>
      <c r="S15" s="53">
        <v>0</v>
      </c>
      <c r="T15" s="53"/>
      <c r="U15" s="53">
        <v>990329</v>
      </c>
      <c r="V15" s="53"/>
      <c r="W15" s="53">
        <f t="shared" si="2"/>
        <v>7544180</v>
      </c>
      <c r="X15" s="53"/>
      <c r="Y15" s="35" t="s">
        <v>20</v>
      </c>
      <c r="AA15" s="35" t="s">
        <v>20</v>
      </c>
      <c r="AB15" s="35"/>
      <c r="AC15" s="53">
        <v>3191276</v>
      </c>
      <c r="AD15" s="53"/>
      <c r="AE15" s="53">
        <f>2496432-355783</f>
        <v>2140649</v>
      </c>
      <c r="AF15" s="53"/>
      <c r="AG15" s="53">
        <v>355783</v>
      </c>
      <c r="AH15" s="53"/>
      <c r="AI15" s="45">
        <f t="shared" si="3"/>
        <v>694844</v>
      </c>
      <c r="AJ15" s="45"/>
      <c r="AK15" s="53">
        <v>-144524</v>
      </c>
      <c r="AL15" s="45"/>
      <c r="AM15" s="53">
        <v>439413</v>
      </c>
      <c r="AN15" s="53"/>
      <c r="AO15" s="53">
        <v>33165</v>
      </c>
      <c r="AP15" s="53"/>
      <c r="AQ15" s="53">
        <v>0</v>
      </c>
      <c r="AR15" s="53"/>
      <c r="AS15" s="45">
        <f t="shared" si="4"/>
        <v>956568</v>
      </c>
      <c r="AT15" s="45"/>
      <c r="AU15" s="53">
        <v>0</v>
      </c>
      <c r="AV15" s="53"/>
      <c r="AW15" s="53">
        <v>0</v>
      </c>
      <c r="AX15" s="53"/>
      <c r="AY15" s="53">
        <f t="shared" si="5"/>
        <v>490201</v>
      </c>
      <c r="AZ15" s="53"/>
      <c r="BA15" s="35" t="s">
        <v>20</v>
      </c>
      <c r="BC15" s="35" t="s">
        <v>20</v>
      </c>
      <c r="BD15" s="53"/>
      <c r="BE15" s="53">
        <v>0</v>
      </c>
      <c r="BF15" s="53"/>
      <c r="BG15" s="53">
        <v>0</v>
      </c>
      <c r="BH15" s="53"/>
      <c r="BI15" s="53">
        <f>538946+2853208</f>
        <v>3392154</v>
      </c>
      <c r="BJ15" s="53"/>
      <c r="BK15" s="53">
        <v>38818</v>
      </c>
      <c r="BL15" s="53"/>
      <c r="BM15" s="53">
        <f t="shared" si="6"/>
        <v>3430972</v>
      </c>
      <c r="BN15" s="54" t="s">
        <v>347</v>
      </c>
      <c r="BO15" s="55" t="s">
        <v>403</v>
      </c>
      <c r="BR15" s="65"/>
      <c r="BS15" s="53"/>
      <c r="BT15" s="53"/>
      <c r="BU15" s="53"/>
      <c r="BV15" s="53"/>
      <c r="BW15" s="53"/>
      <c r="BX15" s="45"/>
      <c r="BY15" s="45"/>
      <c r="BZ15" s="53"/>
      <c r="CA15" s="53"/>
      <c r="CB15" s="53"/>
      <c r="CC15" s="53"/>
      <c r="CD15" s="53"/>
      <c r="CE15" s="53"/>
      <c r="CF15" s="35"/>
      <c r="CH15" s="35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4"/>
    </row>
    <row r="16" spans="1:97" s="55" customFormat="1" ht="12.75" customHeight="1">
      <c r="A16" s="35" t="s">
        <v>21</v>
      </c>
      <c r="B16" s="65"/>
      <c r="C16" s="35" t="s">
        <v>22</v>
      </c>
      <c r="D16" s="44"/>
      <c r="E16" s="53">
        <f t="shared" si="0"/>
        <v>2115507</v>
      </c>
      <c r="F16" s="53"/>
      <c r="G16" s="53">
        <v>29618181</v>
      </c>
      <c r="H16" s="53"/>
      <c r="I16" s="53">
        <v>31733688</v>
      </c>
      <c r="J16" s="53"/>
      <c r="K16" s="53">
        <f t="shared" si="1"/>
        <v>794362</v>
      </c>
      <c r="L16" s="53"/>
      <c r="M16" s="53">
        <v>6214622</v>
      </c>
      <c r="N16" s="53"/>
      <c r="O16" s="53">
        <v>7008984</v>
      </c>
      <c r="P16" s="53"/>
      <c r="Q16" s="53">
        <v>22718084</v>
      </c>
      <c r="R16" s="53"/>
      <c r="S16" s="53">
        <v>0</v>
      </c>
      <c r="T16" s="53"/>
      <c r="U16" s="53">
        <v>2006620</v>
      </c>
      <c r="V16" s="53"/>
      <c r="W16" s="53">
        <f t="shared" si="2"/>
        <v>24724704</v>
      </c>
      <c r="X16" s="53"/>
      <c r="Y16" s="35" t="s">
        <v>21</v>
      </c>
      <c r="AA16" s="35" t="s">
        <v>22</v>
      </c>
      <c r="AB16" s="35"/>
      <c r="AC16" s="53">
        <v>1875630</v>
      </c>
      <c r="AD16" s="53"/>
      <c r="AE16" s="53">
        <f>2327336-813397</f>
        <v>1513939</v>
      </c>
      <c r="AF16" s="53"/>
      <c r="AG16" s="53">
        <v>813397</v>
      </c>
      <c r="AH16" s="53"/>
      <c r="AI16" s="45">
        <f t="shared" si="3"/>
        <v>-451706</v>
      </c>
      <c r="AJ16" s="45"/>
      <c r="AK16" s="53">
        <v>-248875</v>
      </c>
      <c r="AL16" s="45"/>
      <c r="AM16" s="53">
        <v>150000</v>
      </c>
      <c r="AN16" s="53"/>
      <c r="AO16" s="53">
        <v>0</v>
      </c>
      <c r="AP16" s="53"/>
      <c r="AQ16" s="53">
        <v>1050970</v>
      </c>
      <c r="AR16" s="53"/>
      <c r="AS16" s="45">
        <f t="shared" si="4"/>
        <v>500389</v>
      </c>
      <c r="AT16" s="45"/>
      <c r="AU16" s="53">
        <v>0</v>
      </c>
      <c r="AV16" s="53"/>
      <c r="AW16" s="53">
        <v>0</v>
      </c>
      <c r="AX16" s="53"/>
      <c r="AY16" s="53">
        <f t="shared" si="5"/>
        <v>1321145</v>
      </c>
      <c r="AZ16" s="53"/>
      <c r="BA16" s="35" t="s">
        <v>21</v>
      </c>
      <c r="BC16" s="35" t="s">
        <v>22</v>
      </c>
      <c r="BD16" s="53"/>
      <c r="BE16" s="53">
        <f>48667+680347</f>
        <v>729014</v>
      </c>
      <c r="BF16" s="53"/>
      <c r="BG16" s="53">
        <v>0</v>
      </c>
      <c r="BH16" s="53"/>
      <c r="BI16" s="53">
        <f>40000+560679+217500+5263413</f>
        <v>6081592</v>
      </c>
      <c r="BJ16" s="53"/>
      <c r="BK16" s="53">
        <f>36445+15283+38079</f>
        <v>89807</v>
      </c>
      <c r="BL16" s="53"/>
      <c r="BM16" s="53">
        <f t="shared" si="6"/>
        <v>6900413</v>
      </c>
      <c r="BN16" s="54" t="s">
        <v>347</v>
      </c>
      <c r="BR16" s="65"/>
      <c r="BS16" s="53"/>
      <c r="BT16" s="53"/>
      <c r="BU16" s="53"/>
      <c r="BV16" s="53"/>
      <c r="BW16" s="53"/>
      <c r="BX16" s="45"/>
      <c r="BY16" s="45"/>
      <c r="BZ16" s="53"/>
      <c r="CA16" s="53"/>
      <c r="CB16" s="53"/>
      <c r="CC16" s="53"/>
      <c r="CD16" s="53"/>
      <c r="CE16" s="53"/>
      <c r="CF16" s="35"/>
      <c r="CH16" s="35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</row>
    <row r="17" spans="1:97" s="55" customFormat="1" ht="12.75" customHeight="1">
      <c r="A17" s="35" t="s">
        <v>23</v>
      </c>
      <c r="B17" s="65"/>
      <c r="C17" s="35" t="s">
        <v>17</v>
      </c>
      <c r="D17" s="44"/>
      <c r="E17" s="53">
        <f t="shared" si="0"/>
        <v>812008</v>
      </c>
      <c r="F17" s="53"/>
      <c r="G17" s="53">
        <v>16968440</v>
      </c>
      <c r="H17" s="53"/>
      <c r="I17" s="53">
        <v>17780448</v>
      </c>
      <c r="J17" s="53"/>
      <c r="K17" s="53">
        <f t="shared" si="1"/>
        <v>315666</v>
      </c>
      <c r="L17" s="53"/>
      <c r="M17" s="53">
        <v>718409</v>
      </c>
      <c r="N17" s="53"/>
      <c r="O17" s="53">
        <v>1034075</v>
      </c>
      <c r="P17" s="53"/>
      <c r="Q17" s="53">
        <v>16143932</v>
      </c>
      <c r="R17" s="53"/>
      <c r="S17" s="53">
        <v>0</v>
      </c>
      <c r="T17" s="53"/>
      <c r="U17" s="53">
        <v>602441</v>
      </c>
      <c r="V17" s="53"/>
      <c r="W17" s="53">
        <f t="shared" si="2"/>
        <v>16746373</v>
      </c>
      <c r="X17" s="53"/>
      <c r="Y17" s="35" t="s">
        <v>23</v>
      </c>
      <c r="AA17" s="35" t="s">
        <v>17</v>
      </c>
      <c r="AB17" s="35"/>
      <c r="AC17" s="53">
        <v>1629065</v>
      </c>
      <c r="AD17" s="53"/>
      <c r="AE17" s="53">
        <f>2094007-567826</f>
        <v>1526181</v>
      </c>
      <c r="AF17" s="53"/>
      <c r="AG17" s="53">
        <v>567826</v>
      </c>
      <c r="AH17" s="53"/>
      <c r="AI17" s="45">
        <f t="shared" si="3"/>
        <v>-464942</v>
      </c>
      <c r="AJ17" s="45"/>
      <c r="AK17" s="53">
        <v>-32915</v>
      </c>
      <c r="AL17" s="45"/>
      <c r="AM17" s="53">
        <v>309947</v>
      </c>
      <c r="AN17" s="53"/>
      <c r="AO17" s="53">
        <v>0</v>
      </c>
      <c r="AP17" s="53"/>
      <c r="AQ17" s="53">
        <v>453148</v>
      </c>
      <c r="AR17" s="53"/>
      <c r="AS17" s="45">
        <f t="shared" si="4"/>
        <v>265238</v>
      </c>
      <c r="AT17" s="45"/>
      <c r="AU17" s="53">
        <v>0</v>
      </c>
      <c r="AV17" s="53"/>
      <c r="AW17" s="53">
        <v>0</v>
      </c>
      <c r="AX17" s="53"/>
      <c r="AY17" s="53">
        <f t="shared" si="5"/>
        <v>496342</v>
      </c>
      <c r="AZ17" s="53"/>
      <c r="BA17" s="35" t="s">
        <v>23</v>
      </c>
      <c r="BC17" s="35" t="s">
        <v>17</v>
      </c>
      <c r="BD17" s="53"/>
      <c r="BE17" s="53">
        <f>43807+356000</f>
        <v>399807</v>
      </c>
      <c r="BF17" s="53"/>
      <c r="BG17" s="53">
        <v>0</v>
      </c>
      <c r="BH17" s="53"/>
      <c r="BI17" s="53">
        <f>123541+301923</f>
        <v>425464</v>
      </c>
      <c r="BJ17" s="53"/>
      <c r="BK17" s="53">
        <f>5433+60486</f>
        <v>65919</v>
      </c>
      <c r="BL17" s="53"/>
      <c r="BM17" s="53">
        <f t="shared" si="6"/>
        <v>891190</v>
      </c>
      <c r="BN17" s="54" t="s">
        <v>347</v>
      </c>
      <c r="BR17" s="65"/>
      <c r="BS17" s="53"/>
      <c r="BT17" s="53"/>
      <c r="BU17" s="53"/>
      <c r="BV17" s="53"/>
      <c r="BW17" s="53"/>
      <c r="BX17" s="45"/>
      <c r="BY17" s="45"/>
      <c r="BZ17" s="53"/>
      <c r="CA17" s="53"/>
      <c r="CB17" s="53"/>
      <c r="CC17" s="53"/>
      <c r="CD17" s="53"/>
      <c r="CE17" s="53"/>
      <c r="CF17" s="35"/>
      <c r="CH17" s="35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4"/>
    </row>
    <row r="18" spans="1:97" s="55" customFormat="1" ht="12.75" customHeight="1">
      <c r="A18" s="35" t="s">
        <v>24</v>
      </c>
      <c r="B18" s="65"/>
      <c r="C18" s="35" t="s">
        <v>17</v>
      </c>
      <c r="D18" s="44"/>
      <c r="E18" s="53">
        <f t="shared" si="0"/>
        <v>3995338</v>
      </c>
      <c r="F18" s="53"/>
      <c r="G18" s="53">
        <f>6171598+16659736</f>
        <v>22831334</v>
      </c>
      <c r="H18" s="53"/>
      <c r="I18" s="53">
        <v>26826672</v>
      </c>
      <c r="J18" s="53"/>
      <c r="K18" s="53">
        <f t="shared" si="1"/>
        <v>1437588</v>
      </c>
      <c r="L18" s="53"/>
      <c r="M18" s="53">
        <v>11002851</v>
      </c>
      <c r="N18" s="53"/>
      <c r="O18" s="53">
        <v>12440439</v>
      </c>
      <c r="P18" s="53"/>
      <c r="Q18" s="53">
        <v>11524769</v>
      </c>
      <c r="R18" s="53"/>
      <c r="S18" s="53">
        <v>0</v>
      </c>
      <c r="T18" s="53"/>
      <c r="U18" s="53">
        <v>2861464</v>
      </c>
      <c r="V18" s="53"/>
      <c r="W18" s="53">
        <f t="shared" si="2"/>
        <v>14386233</v>
      </c>
      <c r="X18" s="53"/>
      <c r="Y18" s="35" t="s">
        <v>24</v>
      </c>
      <c r="AA18" s="35" t="s">
        <v>17</v>
      </c>
      <c r="AB18" s="35"/>
      <c r="AC18" s="53">
        <v>2995027</v>
      </c>
      <c r="AD18" s="53"/>
      <c r="AE18" s="53">
        <f>2750098-695335</f>
        <v>2054763</v>
      </c>
      <c r="AF18" s="53"/>
      <c r="AG18" s="53">
        <v>695335</v>
      </c>
      <c r="AH18" s="53"/>
      <c r="AI18" s="45">
        <f t="shared" si="3"/>
        <v>244929</v>
      </c>
      <c r="AJ18" s="45"/>
      <c r="AK18" s="53">
        <v>760687</v>
      </c>
      <c r="AL18" s="45"/>
      <c r="AM18" s="53">
        <v>1010038</v>
      </c>
      <c r="AN18" s="53"/>
      <c r="AO18" s="53">
        <v>24917</v>
      </c>
      <c r="AP18" s="53"/>
      <c r="AQ18" s="53">
        <v>0</v>
      </c>
      <c r="AR18" s="53"/>
      <c r="AS18" s="45">
        <f t="shared" si="4"/>
        <v>1990737</v>
      </c>
      <c r="AT18" s="45"/>
      <c r="AU18" s="53">
        <v>0</v>
      </c>
      <c r="AV18" s="53"/>
      <c r="AW18" s="53">
        <v>0</v>
      </c>
      <c r="AX18" s="53"/>
      <c r="AY18" s="53">
        <f t="shared" si="5"/>
        <v>2557750</v>
      </c>
      <c r="AZ18" s="53"/>
      <c r="BA18" s="35" t="s">
        <v>24</v>
      </c>
      <c r="BC18" s="35" t="s">
        <v>17</v>
      </c>
      <c r="BD18" s="53"/>
      <c r="BE18" s="53">
        <f>196306+4289410</f>
        <v>4485716</v>
      </c>
      <c r="BF18" s="53"/>
      <c r="BG18" s="53">
        <v>0</v>
      </c>
      <c r="BH18" s="53"/>
      <c r="BI18" s="53">
        <f>204286+6513992</f>
        <v>6718278</v>
      </c>
      <c r="BJ18" s="53"/>
      <c r="BK18" s="53">
        <f>50095+52477+62662+146972</f>
        <v>312206</v>
      </c>
      <c r="BL18" s="53"/>
      <c r="BM18" s="53">
        <f t="shared" si="6"/>
        <v>11516200</v>
      </c>
      <c r="BN18" s="54" t="s">
        <v>347</v>
      </c>
      <c r="BR18" s="65"/>
      <c r="BS18" s="53"/>
      <c r="BT18" s="53"/>
      <c r="BU18" s="53"/>
      <c r="BV18" s="53"/>
      <c r="BW18" s="53"/>
      <c r="BX18" s="45"/>
      <c r="BY18" s="45"/>
      <c r="BZ18" s="53"/>
      <c r="CA18" s="53"/>
      <c r="CB18" s="53"/>
      <c r="CC18" s="53"/>
      <c r="CD18" s="53"/>
      <c r="CE18" s="53"/>
      <c r="CF18" s="35"/>
      <c r="CH18" s="35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4"/>
    </row>
    <row r="19" spans="1:97" s="55" customFormat="1" ht="12.75" customHeight="1">
      <c r="A19" s="35" t="s">
        <v>25</v>
      </c>
      <c r="C19" s="35" t="s">
        <v>13</v>
      </c>
      <c r="D19" s="44"/>
      <c r="E19" s="53">
        <f t="shared" si="0"/>
        <v>2328000</v>
      </c>
      <c r="F19" s="53"/>
      <c r="G19" s="53">
        <v>22197490</v>
      </c>
      <c r="H19" s="53"/>
      <c r="I19" s="53">
        <v>24525490</v>
      </c>
      <c r="J19" s="53"/>
      <c r="K19" s="53">
        <f t="shared" si="1"/>
        <v>723492</v>
      </c>
      <c r="L19" s="53"/>
      <c r="M19" s="53">
        <v>955510</v>
      </c>
      <c r="N19" s="53"/>
      <c r="O19" s="53">
        <v>1679002</v>
      </c>
      <c r="P19" s="53"/>
      <c r="Q19" s="53">
        <v>20397796</v>
      </c>
      <c r="R19" s="53"/>
      <c r="S19" s="53">
        <v>801222</v>
      </c>
      <c r="T19" s="53"/>
      <c r="U19" s="53">
        <v>1647470</v>
      </c>
      <c r="V19" s="53"/>
      <c r="W19" s="53">
        <f t="shared" si="2"/>
        <v>22846488</v>
      </c>
      <c r="X19" s="53"/>
      <c r="Y19" s="35" t="s">
        <v>25</v>
      </c>
      <c r="AA19" s="35" t="s">
        <v>13</v>
      </c>
      <c r="AB19" s="35"/>
      <c r="AC19" s="53">
        <v>4093045</v>
      </c>
      <c r="AD19" s="53"/>
      <c r="AE19" s="53">
        <f>4497810-1089997</f>
        <v>3407813</v>
      </c>
      <c r="AF19" s="53"/>
      <c r="AG19" s="53">
        <v>1089997</v>
      </c>
      <c r="AH19" s="53"/>
      <c r="AI19" s="45">
        <f t="shared" si="3"/>
        <v>-404765</v>
      </c>
      <c r="AJ19" s="45"/>
      <c r="AK19" s="53">
        <v>-46466</v>
      </c>
      <c r="AL19" s="45"/>
      <c r="AM19" s="53">
        <v>0</v>
      </c>
      <c r="AN19" s="53"/>
      <c r="AO19" s="53">
        <v>0</v>
      </c>
      <c r="AP19" s="53"/>
      <c r="AQ19" s="53">
        <v>0</v>
      </c>
      <c r="AR19" s="53"/>
      <c r="AS19" s="45">
        <f t="shared" si="4"/>
        <v>-451231</v>
      </c>
      <c r="AT19" s="45"/>
      <c r="AU19" s="53">
        <v>0</v>
      </c>
      <c r="AV19" s="53"/>
      <c r="AW19" s="53">
        <v>0</v>
      </c>
      <c r="AX19" s="53"/>
      <c r="AY19" s="53">
        <f t="shared" si="5"/>
        <v>1604508</v>
      </c>
      <c r="AZ19" s="53"/>
      <c r="BA19" s="35" t="s">
        <v>25</v>
      </c>
      <c r="BC19" s="35" t="s">
        <v>13</v>
      </c>
      <c r="BD19" s="53"/>
      <c r="BE19" s="53">
        <f>259113+699277</f>
        <v>958390</v>
      </c>
      <c r="BF19" s="53"/>
      <c r="BG19" s="53">
        <v>0</v>
      </c>
      <c r="BH19" s="53"/>
      <c r="BI19" s="53">
        <v>0</v>
      </c>
      <c r="BJ19" s="53"/>
      <c r="BK19" s="53">
        <f>3200+56819+3341+252892</f>
        <v>316252</v>
      </c>
      <c r="BL19" s="53"/>
      <c r="BM19" s="53">
        <f>SUM(BE19:BK19)</f>
        <v>1274642</v>
      </c>
      <c r="BN19" s="54" t="s">
        <v>347</v>
      </c>
      <c r="BR19" s="65"/>
      <c r="BS19" s="53"/>
      <c r="BT19" s="53"/>
      <c r="BU19" s="53"/>
      <c r="BV19" s="53"/>
      <c r="BW19" s="53"/>
      <c r="BX19" s="45"/>
      <c r="BY19" s="45"/>
      <c r="BZ19" s="53"/>
      <c r="CA19" s="53"/>
      <c r="CB19" s="53"/>
      <c r="CC19" s="53"/>
      <c r="CD19" s="53"/>
      <c r="CE19" s="53"/>
      <c r="CF19" s="35"/>
      <c r="CH19" s="35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4"/>
    </row>
    <row r="20" spans="1:97" s="55" customFormat="1" ht="12.75" customHeight="1">
      <c r="A20" s="35" t="s">
        <v>26</v>
      </c>
      <c r="B20" s="65"/>
      <c r="C20" s="35" t="s">
        <v>27</v>
      </c>
      <c r="D20" s="44"/>
      <c r="E20" s="53">
        <f t="shared" si="0"/>
        <v>5777295</v>
      </c>
      <c r="F20" s="53"/>
      <c r="G20" s="53">
        <v>5150810</v>
      </c>
      <c r="H20" s="53"/>
      <c r="I20" s="53">
        <v>10928105</v>
      </c>
      <c r="J20" s="53"/>
      <c r="K20" s="53">
        <f t="shared" si="1"/>
        <v>547639</v>
      </c>
      <c r="L20" s="53"/>
      <c r="M20" s="53">
        <v>580777</v>
      </c>
      <c r="N20" s="53"/>
      <c r="O20" s="53">
        <v>1128416</v>
      </c>
      <c r="P20" s="53"/>
      <c r="Q20" s="53">
        <v>4576734</v>
      </c>
      <c r="R20" s="53"/>
      <c r="S20" s="53">
        <v>0</v>
      </c>
      <c r="T20" s="53"/>
      <c r="U20" s="53">
        <v>5222955</v>
      </c>
      <c r="V20" s="53"/>
      <c r="W20" s="53">
        <f t="shared" si="2"/>
        <v>9799689</v>
      </c>
      <c r="X20" s="53"/>
      <c r="Y20" s="35" t="s">
        <v>26</v>
      </c>
      <c r="AA20" s="35" t="s">
        <v>27</v>
      </c>
      <c r="AB20" s="35"/>
      <c r="AC20" s="53">
        <v>1448948</v>
      </c>
      <c r="AD20" s="53"/>
      <c r="AE20" s="53">
        <f>1672132-177480</f>
        <v>1494652</v>
      </c>
      <c r="AF20" s="53"/>
      <c r="AG20" s="53">
        <v>177480</v>
      </c>
      <c r="AH20" s="53"/>
      <c r="AI20" s="45">
        <f t="shared" si="3"/>
        <v>-223184</v>
      </c>
      <c r="AJ20" s="45"/>
      <c r="AK20" s="53">
        <v>-80085</v>
      </c>
      <c r="AL20" s="45"/>
      <c r="AM20" s="53">
        <v>59875</v>
      </c>
      <c r="AN20" s="53"/>
      <c r="AO20" s="53">
        <v>0</v>
      </c>
      <c r="AP20" s="53"/>
      <c r="AQ20" s="53">
        <v>285811</v>
      </c>
      <c r="AR20" s="53"/>
      <c r="AS20" s="45">
        <f t="shared" si="4"/>
        <v>42417</v>
      </c>
      <c r="AT20" s="45"/>
      <c r="AU20" s="53">
        <v>0</v>
      </c>
      <c r="AV20" s="53"/>
      <c r="AW20" s="53">
        <v>0</v>
      </c>
      <c r="AX20" s="53"/>
      <c r="AY20" s="53">
        <f t="shared" si="5"/>
        <v>5229656</v>
      </c>
      <c r="AZ20" s="53"/>
      <c r="BA20" s="35" t="s">
        <v>26</v>
      </c>
      <c r="BC20" s="35" t="s">
        <v>27</v>
      </c>
      <c r="BD20" s="53"/>
      <c r="BE20" s="53">
        <f>50000+150000</f>
        <v>200000</v>
      </c>
      <c r="BF20" s="53"/>
      <c r="BG20" s="53">
        <v>0</v>
      </c>
      <c r="BH20" s="53"/>
      <c r="BI20" s="53">
        <f>34007+340069</f>
        <v>374076</v>
      </c>
      <c r="BJ20" s="53"/>
      <c r="BK20" s="53">
        <f>16816+90708</f>
        <v>107524</v>
      </c>
      <c r="BL20" s="53"/>
      <c r="BM20" s="53">
        <f t="shared" ref="BM20:BM22" si="7">SUM(BE20:BK20)</f>
        <v>681600</v>
      </c>
      <c r="BN20" s="54" t="s">
        <v>347</v>
      </c>
      <c r="BR20" s="65"/>
      <c r="BS20" s="53"/>
      <c r="BT20" s="53"/>
      <c r="BU20" s="53"/>
      <c r="BV20" s="53"/>
      <c r="BW20" s="53"/>
      <c r="BX20" s="45"/>
      <c r="BY20" s="45"/>
      <c r="BZ20" s="53"/>
      <c r="CA20" s="53"/>
      <c r="CB20" s="53"/>
      <c r="CC20" s="53"/>
      <c r="CD20" s="53"/>
      <c r="CE20" s="53"/>
      <c r="CF20" s="35"/>
      <c r="CH20" s="35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4"/>
    </row>
    <row r="21" spans="1:97" s="140" customFormat="1" ht="12.75" hidden="1" customHeight="1">
      <c r="A21" s="126" t="s">
        <v>28</v>
      </c>
      <c r="B21" s="125"/>
      <c r="C21" s="126" t="s">
        <v>27</v>
      </c>
      <c r="D21" s="121"/>
      <c r="E21" s="53">
        <f t="shared" si="0"/>
        <v>0</v>
      </c>
      <c r="F21" s="137"/>
      <c r="G21" s="53">
        <v>0</v>
      </c>
      <c r="H21" s="53"/>
      <c r="I21" s="53">
        <v>0</v>
      </c>
      <c r="J21" s="137"/>
      <c r="K21" s="137">
        <f t="shared" si="1"/>
        <v>0</v>
      </c>
      <c r="L21" s="137"/>
      <c r="M21" s="53">
        <v>0</v>
      </c>
      <c r="N21" s="53"/>
      <c r="O21" s="53">
        <v>0</v>
      </c>
      <c r="P21" s="53"/>
      <c r="Q21" s="53">
        <v>0</v>
      </c>
      <c r="R21" s="53"/>
      <c r="S21" s="53">
        <v>0</v>
      </c>
      <c r="T21" s="53"/>
      <c r="U21" s="53">
        <v>0</v>
      </c>
      <c r="V21" s="137"/>
      <c r="W21" s="137">
        <f t="shared" si="2"/>
        <v>0</v>
      </c>
      <c r="X21" s="137"/>
      <c r="Y21" s="126" t="s">
        <v>28</v>
      </c>
      <c r="AA21" s="126" t="s">
        <v>27</v>
      </c>
      <c r="AB21" s="126"/>
      <c r="AC21" s="53">
        <v>0</v>
      </c>
      <c r="AD21" s="53"/>
      <c r="AE21" s="53">
        <v>0</v>
      </c>
      <c r="AF21" s="53"/>
      <c r="AG21" s="53">
        <v>0</v>
      </c>
      <c r="AH21" s="137"/>
      <c r="AI21" s="127">
        <f t="shared" si="3"/>
        <v>0</v>
      </c>
      <c r="AJ21" s="127"/>
      <c r="AK21" s="53">
        <v>0</v>
      </c>
      <c r="AL21" s="45"/>
      <c r="AM21" s="53">
        <v>0</v>
      </c>
      <c r="AN21" s="53"/>
      <c r="AO21" s="53">
        <v>0</v>
      </c>
      <c r="AP21" s="53"/>
      <c r="AQ21" s="53">
        <v>0</v>
      </c>
      <c r="AR21" s="137"/>
      <c r="AS21" s="45">
        <f t="shared" si="4"/>
        <v>0</v>
      </c>
      <c r="AT21" s="127"/>
      <c r="AU21" s="137">
        <v>0</v>
      </c>
      <c r="AV21" s="137"/>
      <c r="AW21" s="137">
        <v>0</v>
      </c>
      <c r="AX21" s="137"/>
      <c r="AY21" s="137">
        <f t="shared" si="5"/>
        <v>0</v>
      </c>
      <c r="AZ21" s="137"/>
      <c r="BA21" s="126" t="s">
        <v>28</v>
      </c>
      <c r="BC21" s="126" t="s">
        <v>27</v>
      </c>
      <c r="BD21" s="137"/>
      <c r="BE21" s="53">
        <v>0</v>
      </c>
      <c r="BF21" s="53"/>
      <c r="BG21" s="53">
        <v>0</v>
      </c>
      <c r="BH21" s="53"/>
      <c r="BI21" s="53">
        <v>0</v>
      </c>
      <c r="BJ21" s="53"/>
      <c r="BK21" s="53">
        <v>0</v>
      </c>
      <c r="BL21" s="137"/>
      <c r="BM21" s="137">
        <f t="shared" si="7"/>
        <v>0</v>
      </c>
      <c r="BN21" s="139" t="s">
        <v>347</v>
      </c>
      <c r="BR21" s="125"/>
      <c r="BS21" s="137"/>
      <c r="BT21" s="137"/>
      <c r="BU21" s="137"/>
      <c r="BV21" s="137"/>
      <c r="BW21" s="137"/>
      <c r="BX21" s="127"/>
      <c r="BY21" s="127"/>
      <c r="BZ21" s="137"/>
      <c r="CA21" s="137"/>
      <c r="CB21" s="137"/>
      <c r="CC21" s="137"/>
      <c r="CD21" s="137"/>
      <c r="CE21" s="137"/>
      <c r="CF21" s="126"/>
      <c r="CH21" s="126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9"/>
    </row>
    <row r="22" spans="1:97" s="140" customFormat="1" ht="12.75" hidden="1" customHeight="1">
      <c r="A22" s="126" t="s">
        <v>29</v>
      </c>
      <c r="B22" s="125"/>
      <c r="C22" s="126" t="s">
        <v>30</v>
      </c>
      <c r="D22" s="121"/>
      <c r="E22" s="53">
        <f t="shared" si="0"/>
        <v>0</v>
      </c>
      <c r="F22" s="137"/>
      <c r="G22" s="53">
        <v>0</v>
      </c>
      <c r="H22" s="53"/>
      <c r="I22" s="53">
        <v>0</v>
      </c>
      <c r="J22" s="137"/>
      <c r="K22" s="137">
        <f t="shared" si="1"/>
        <v>0</v>
      </c>
      <c r="L22" s="137"/>
      <c r="M22" s="53">
        <v>0</v>
      </c>
      <c r="N22" s="53"/>
      <c r="O22" s="53">
        <v>0</v>
      </c>
      <c r="P22" s="53"/>
      <c r="Q22" s="53">
        <v>0</v>
      </c>
      <c r="R22" s="53"/>
      <c r="S22" s="53">
        <v>0</v>
      </c>
      <c r="T22" s="53"/>
      <c r="U22" s="53">
        <v>0</v>
      </c>
      <c r="V22" s="137"/>
      <c r="W22" s="137">
        <f t="shared" si="2"/>
        <v>0</v>
      </c>
      <c r="X22" s="137"/>
      <c r="Y22" s="126" t="s">
        <v>29</v>
      </c>
      <c r="AA22" s="126" t="s">
        <v>30</v>
      </c>
      <c r="AB22" s="126"/>
      <c r="AC22" s="53">
        <v>0</v>
      </c>
      <c r="AD22" s="53"/>
      <c r="AE22" s="53">
        <v>0</v>
      </c>
      <c r="AF22" s="53"/>
      <c r="AG22" s="53">
        <v>0</v>
      </c>
      <c r="AH22" s="137"/>
      <c r="AI22" s="127">
        <f t="shared" si="3"/>
        <v>0</v>
      </c>
      <c r="AJ22" s="127"/>
      <c r="AK22" s="53">
        <v>0</v>
      </c>
      <c r="AL22" s="45"/>
      <c r="AM22" s="53">
        <v>0</v>
      </c>
      <c r="AN22" s="53"/>
      <c r="AO22" s="53">
        <v>0</v>
      </c>
      <c r="AP22" s="53"/>
      <c r="AQ22" s="53">
        <v>0</v>
      </c>
      <c r="AR22" s="137"/>
      <c r="AS22" s="45">
        <f t="shared" si="4"/>
        <v>0</v>
      </c>
      <c r="AT22" s="127"/>
      <c r="AU22" s="137">
        <v>0</v>
      </c>
      <c r="AV22" s="137"/>
      <c r="AW22" s="137">
        <v>0</v>
      </c>
      <c r="AX22" s="137"/>
      <c r="AY22" s="137">
        <f t="shared" si="5"/>
        <v>0</v>
      </c>
      <c r="AZ22" s="137"/>
      <c r="BA22" s="126" t="s">
        <v>29</v>
      </c>
      <c r="BC22" s="126" t="s">
        <v>30</v>
      </c>
      <c r="BD22" s="137"/>
      <c r="BE22" s="53">
        <v>0</v>
      </c>
      <c r="BF22" s="53"/>
      <c r="BG22" s="53">
        <v>0</v>
      </c>
      <c r="BH22" s="53"/>
      <c r="BI22" s="53">
        <v>0</v>
      </c>
      <c r="BJ22" s="53"/>
      <c r="BK22" s="53">
        <v>0</v>
      </c>
      <c r="BL22" s="137"/>
      <c r="BM22" s="137">
        <f t="shared" si="7"/>
        <v>0</v>
      </c>
      <c r="BN22" s="139" t="s">
        <v>347</v>
      </c>
      <c r="BR22" s="125"/>
      <c r="BS22" s="137"/>
      <c r="BT22" s="137"/>
      <c r="BU22" s="137"/>
      <c r="BV22" s="137"/>
      <c r="BW22" s="137"/>
      <c r="BX22" s="127"/>
      <c r="BY22" s="127"/>
      <c r="BZ22" s="137"/>
      <c r="CA22" s="137"/>
      <c r="CB22" s="137"/>
      <c r="CC22" s="137"/>
      <c r="CD22" s="137"/>
      <c r="CE22" s="137"/>
      <c r="CF22" s="126"/>
      <c r="CH22" s="126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9"/>
    </row>
    <row r="23" spans="1:97" s="55" customFormat="1" ht="12.75" customHeight="1">
      <c r="A23" s="35" t="s">
        <v>31</v>
      </c>
      <c r="B23" s="65"/>
      <c r="C23" s="35" t="s">
        <v>27</v>
      </c>
      <c r="D23" s="44"/>
      <c r="E23" s="53">
        <f t="shared" si="0"/>
        <v>2196039</v>
      </c>
      <c r="F23" s="53"/>
      <c r="G23" s="53">
        <v>9587127</v>
      </c>
      <c r="H23" s="53"/>
      <c r="I23" s="53">
        <v>11783166</v>
      </c>
      <c r="J23" s="53"/>
      <c r="K23" s="53">
        <f>O23-M23</f>
        <v>1194818</v>
      </c>
      <c r="L23" s="53"/>
      <c r="M23" s="53">
        <v>5282675</v>
      </c>
      <c r="N23" s="53"/>
      <c r="O23" s="53">
        <v>6477493</v>
      </c>
      <c r="P23" s="53"/>
      <c r="Q23" s="53">
        <v>3461242</v>
      </c>
      <c r="R23" s="53"/>
      <c r="S23" s="53">
        <v>0</v>
      </c>
      <c r="T23" s="53"/>
      <c r="U23" s="53">
        <v>1844431</v>
      </c>
      <c r="V23" s="53"/>
      <c r="W23" s="53">
        <f>SUM(Q23:U23)</f>
        <v>5305673</v>
      </c>
      <c r="X23" s="53"/>
      <c r="Y23" s="35" t="s">
        <v>31</v>
      </c>
      <c r="AA23" s="35" t="s">
        <v>27</v>
      </c>
      <c r="AB23" s="35"/>
      <c r="AC23" s="53">
        <v>2116968</v>
      </c>
      <c r="AD23" s="53"/>
      <c r="AE23" s="53">
        <f>1672651-297347</f>
        <v>1375304</v>
      </c>
      <c r="AF23" s="53"/>
      <c r="AG23" s="53">
        <v>297347</v>
      </c>
      <c r="AH23" s="53"/>
      <c r="AI23" s="45">
        <f>+AC23-AE23-AG23</f>
        <v>444317</v>
      </c>
      <c r="AJ23" s="45"/>
      <c r="AK23" s="53">
        <v>-63175</v>
      </c>
      <c r="AL23" s="45"/>
      <c r="AM23" s="53">
        <v>0</v>
      </c>
      <c r="AN23" s="53"/>
      <c r="AO23" s="53">
        <v>0</v>
      </c>
      <c r="AP23" s="53"/>
      <c r="AQ23" s="53">
        <v>0</v>
      </c>
      <c r="AR23" s="53"/>
      <c r="AS23" s="45">
        <f>+AI23+AK23+AM23-AO23+AQ23</f>
        <v>381142</v>
      </c>
      <c r="AT23" s="45"/>
      <c r="AU23" s="53">
        <v>0</v>
      </c>
      <c r="AV23" s="53"/>
      <c r="AW23" s="53">
        <v>0</v>
      </c>
      <c r="AX23" s="53"/>
      <c r="AY23" s="53">
        <f t="shared" si="5"/>
        <v>1001221</v>
      </c>
      <c r="AZ23" s="53"/>
      <c r="BA23" s="35" t="s">
        <v>31</v>
      </c>
      <c r="BC23" s="35" t="s">
        <v>27</v>
      </c>
      <c r="BD23" s="53"/>
      <c r="BE23" s="53">
        <f>30000+514418</f>
        <v>544418</v>
      </c>
      <c r="BF23" s="53"/>
      <c r="BG23" s="53">
        <v>0</v>
      </c>
      <c r="BH23" s="53"/>
      <c r="BI23" s="53">
        <f>55294+824942+798124+3904131</f>
        <v>5582491</v>
      </c>
      <c r="BJ23" s="53"/>
      <c r="BK23" s="53">
        <f>27613+66002</f>
        <v>93615</v>
      </c>
      <c r="BL23" s="53"/>
      <c r="BM23" s="53">
        <f>SUM(BE23:BK23)</f>
        <v>6220524</v>
      </c>
      <c r="BN23" s="54" t="s">
        <v>347</v>
      </c>
      <c r="BO23" s="55" t="s">
        <v>404</v>
      </c>
      <c r="BR23" s="65"/>
      <c r="BS23" s="53"/>
      <c r="BT23" s="53"/>
      <c r="BU23" s="53"/>
      <c r="BV23" s="53"/>
      <c r="BW23" s="53"/>
      <c r="BX23" s="45"/>
      <c r="BY23" s="45"/>
      <c r="BZ23" s="53"/>
      <c r="CA23" s="53"/>
      <c r="CB23" s="53"/>
      <c r="CC23" s="53"/>
      <c r="CD23" s="53"/>
      <c r="CE23" s="53"/>
      <c r="CF23" s="44"/>
      <c r="CH23" s="35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4"/>
    </row>
    <row r="24" spans="1:97" s="55" customFormat="1" ht="12.75" customHeight="1">
      <c r="A24" s="35" t="s">
        <v>32</v>
      </c>
      <c r="B24" s="65"/>
      <c r="C24" s="35" t="s">
        <v>27</v>
      </c>
      <c r="D24" s="44"/>
      <c r="E24" s="53">
        <f t="shared" si="0"/>
        <v>2094003</v>
      </c>
      <c r="F24" s="53"/>
      <c r="G24" s="53">
        <v>7624930</v>
      </c>
      <c r="H24" s="53"/>
      <c r="I24" s="53">
        <v>9718933</v>
      </c>
      <c r="J24" s="53"/>
      <c r="K24" s="53">
        <f t="shared" ref="K24:K53" si="8">O24-M24</f>
        <v>311282</v>
      </c>
      <c r="L24" s="53"/>
      <c r="M24" s="53">
        <v>1095591</v>
      </c>
      <c r="N24" s="53"/>
      <c r="O24" s="53">
        <v>1406873</v>
      </c>
      <c r="P24" s="53"/>
      <c r="Q24" s="53">
        <v>6991041</v>
      </c>
      <c r="R24" s="53"/>
      <c r="S24" s="53">
        <v>0</v>
      </c>
      <c r="T24" s="53"/>
      <c r="U24" s="53">
        <v>1321019</v>
      </c>
      <c r="V24" s="53"/>
      <c r="W24" s="53">
        <f t="shared" ref="W24:W41" si="9">SUM(Q24:U24)</f>
        <v>8312060</v>
      </c>
      <c r="X24" s="53"/>
      <c r="Y24" s="35" t="s">
        <v>32</v>
      </c>
      <c r="AA24" s="35" t="s">
        <v>27</v>
      </c>
      <c r="AB24" s="35"/>
      <c r="AC24" s="53">
        <v>3028931</v>
      </c>
      <c r="AD24" s="53"/>
      <c r="AE24" s="53">
        <f>2642754-417612</f>
        <v>2225142</v>
      </c>
      <c r="AF24" s="53"/>
      <c r="AG24" s="53">
        <v>417612</v>
      </c>
      <c r="AH24" s="53"/>
      <c r="AI24" s="45">
        <f t="shared" ref="AI24:AI53" si="10">+AC24-AE24-AG24</f>
        <v>386177</v>
      </c>
      <c r="AJ24" s="45"/>
      <c r="AK24" s="53">
        <v>272462</v>
      </c>
      <c r="AL24" s="45"/>
      <c r="AM24" s="53">
        <v>0</v>
      </c>
      <c r="AN24" s="53"/>
      <c r="AO24" s="53">
        <v>0</v>
      </c>
      <c r="AP24" s="53"/>
      <c r="AQ24" s="53">
        <v>0</v>
      </c>
      <c r="AR24" s="53"/>
      <c r="AS24" s="45">
        <f t="shared" ref="AS24:AS53" si="11">+AI24+AK24+AM24-AO24+AQ24</f>
        <v>658639</v>
      </c>
      <c r="AT24" s="45"/>
      <c r="AU24" s="53">
        <v>0</v>
      </c>
      <c r="AV24" s="53"/>
      <c r="AW24" s="53">
        <v>0</v>
      </c>
      <c r="AX24" s="53"/>
      <c r="AY24" s="53">
        <f t="shared" ref="AY24:AY53" si="12">+E24-K24</f>
        <v>1782721</v>
      </c>
      <c r="AZ24" s="53"/>
      <c r="BA24" s="35" t="s">
        <v>32</v>
      </c>
      <c r="BC24" s="35" t="s">
        <v>27</v>
      </c>
      <c r="BD24" s="53"/>
      <c r="BE24" s="53">
        <f>88040+825450</f>
        <v>913490</v>
      </c>
      <c r="BF24" s="53"/>
      <c r="BG24" s="53">
        <v>0</v>
      </c>
      <c r="BH24" s="53"/>
      <c r="BI24" s="53">
        <v>0</v>
      </c>
      <c r="BJ24" s="53"/>
      <c r="BK24" s="53">
        <f>107665+270141</f>
        <v>377806</v>
      </c>
      <c r="BL24" s="53"/>
      <c r="BM24" s="53">
        <f t="shared" ref="BM24:BM46" si="13">SUM(BE24:BK24)</f>
        <v>1291296</v>
      </c>
      <c r="BN24" s="54" t="s">
        <v>347</v>
      </c>
      <c r="BR24" s="65"/>
      <c r="BS24" s="53"/>
      <c r="BT24" s="53"/>
      <c r="BU24" s="53"/>
      <c r="BV24" s="53"/>
      <c r="BW24" s="53"/>
      <c r="BX24" s="45"/>
      <c r="BY24" s="45"/>
      <c r="BZ24" s="53"/>
      <c r="CA24" s="53"/>
      <c r="CB24" s="53"/>
      <c r="CC24" s="53"/>
      <c r="CD24" s="53"/>
      <c r="CE24" s="53"/>
      <c r="CF24" s="35"/>
      <c r="CH24" s="35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4"/>
    </row>
    <row r="25" spans="1:97" s="55" customFormat="1" ht="12.75" hidden="1" customHeight="1">
      <c r="A25" s="35" t="s">
        <v>34</v>
      </c>
      <c r="B25" s="65"/>
      <c r="C25" s="35" t="s">
        <v>30</v>
      </c>
      <c r="D25" s="44"/>
      <c r="E25" s="53">
        <f t="shared" si="0"/>
        <v>0</v>
      </c>
      <c r="F25" s="53"/>
      <c r="G25" s="53">
        <v>0</v>
      </c>
      <c r="H25" s="53"/>
      <c r="I25" s="53">
        <v>0</v>
      </c>
      <c r="J25" s="53"/>
      <c r="K25" s="53">
        <f t="shared" si="8"/>
        <v>0</v>
      </c>
      <c r="L25" s="53"/>
      <c r="M25" s="53">
        <v>0</v>
      </c>
      <c r="N25" s="53"/>
      <c r="O25" s="53">
        <v>0</v>
      </c>
      <c r="P25" s="53"/>
      <c r="Q25" s="53">
        <v>0</v>
      </c>
      <c r="R25" s="53"/>
      <c r="S25" s="53">
        <v>0</v>
      </c>
      <c r="T25" s="53"/>
      <c r="U25" s="53">
        <v>0</v>
      </c>
      <c r="V25" s="53"/>
      <c r="W25" s="53">
        <f t="shared" si="9"/>
        <v>0</v>
      </c>
      <c r="X25" s="53"/>
      <c r="Y25" s="35" t="s">
        <v>34</v>
      </c>
      <c r="AA25" s="35" t="s">
        <v>30</v>
      </c>
      <c r="AB25" s="35"/>
      <c r="AC25" s="53">
        <v>0</v>
      </c>
      <c r="AD25" s="53"/>
      <c r="AE25" s="53">
        <v>0</v>
      </c>
      <c r="AF25" s="53"/>
      <c r="AG25" s="53">
        <v>0</v>
      </c>
      <c r="AH25" s="53"/>
      <c r="AI25" s="45">
        <f t="shared" si="10"/>
        <v>0</v>
      </c>
      <c r="AJ25" s="45"/>
      <c r="AK25" s="53">
        <v>0</v>
      </c>
      <c r="AL25" s="45"/>
      <c r="AM25" s="53">
        <v>0</v>
      </c>
      <c r="AN25" s="53"/>
      <c r="AO25" s="53">
        <v>0</v>
      </c>
      <c r="AP25" s="53"/>
      <c r="AQ25" s="53">
        <v>0</v>
      </c>
      <c r="AR25" s="53"/>
      <c r="AS25" s="45">
        <f t="shared" si="11"/>
        <v>0</v>
      </c>
      <c r="AT25" s="45"/>
      <c r="AU25" s="53">
        <v>0</v>
      </c>
      <c r="AV25" s="53"/>
      <c r="AW25" s="53">
        <v>0</v>
      </c>
      <c r="AX25" s="53"/>
      <c r="AY25" s="53">
        <f t="shared" si="12"/>
        <v>0</v>
      </c>
      <c r="AZ25" s="53"/>
      <c r="BA25" s="35" t="s">
        <v>34</v>
      </c>
      <c r="BC25" s="35" t="s">
        <v>30</v>
      </c>
      <c r="BD25" s="53"/>
      <c r="BE25" s="53">
        <v>0</v>
      </c>
      <c r="BF25" s="53"/>
      <c r="BG25" s="53">
        <v>0</v>
      </c>
      <c r="BH25" s="53"/>
      <c r="BI25" s="53">
        <v>0</v>
      </c>
      <c r="BJ25" s="53"/>
      <c r="BK25" s="53">
        <v>0</v>
      </c>
      <c r="BL25" s="53"/>
      <c r="BM25" s="53">
        <f t="shared" si="13"/>
        <v>0</v>
      </c>
      <c r="BN25" s="54" t="s">
        <v>347</v>
      </c>
      <c r="BR25" s="65"/>
      <c r="BS25" s="53"/>
      <c r="BT25" s="53"/>
      <c r="BU25" s="53"/>
      <c r="BV25" s="53"/>
      <c r="BW25" s="53"/>
      <c r="BX25" s="45"/>
      <c r="BY25" s="45"/>
      <c r="BZ25" s="53"/>
      <c r="CA25" s="53"/>
      <c r="CB25" s="53"/>
      <c r="CC25" s="53"/>
      <c r="CD25" s="53"/>
      <c r="CE25" s="53"/>
      <c r="CF25" s="35"/>
      <c r="CH25" s="35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4"/>
    </row>
    <row r="26" spans="1:97" s="55" customFormat="1" ht="12.75" customHeight="1">
      <c r="A26" s="35" t="s">
        <v>35</v>
      </c>
      <c r="B26" s="65"/>
      <c r="C26" s="35" t="s">
        <v>36</v>
      </c>
      <c r="D26" s="44"/>
      <c r="E26" s="53">
        <v>3658262</v>
      </c>
      <c r="F26" s="53"/>
      <c r="G26" s="53">
        <v>9569480</v>
      </c>
      <c r="H26" s="53"/>
      <c r="I26" s="53">
        <v>13227742</v>
      </c>
      <c r="J26" s="53"/>
      <c r="K26" s="53">
        <v>709452</v>
      </c>
      <c r="L26" s="53"/>
      <c r="M26" s="53">
        <v>1132294</v>
      </c>
      <c r="N26" s="53"/>
      <c r="O26" s="53">
        <v>1841746</v>
      </c>
      <c r="P26" s="53"/>
      <c r="Q26" s="53">
        <v>7807573</v>
      </c>
      <c r="R26" s="53"/>
      <c r="S26" s="53">
        <v>502985</v>
      </c>
      <c r="T26" s="53"/>
      <c r="U26" s="53">
        <v>3075438</v>
      </c>
      <c r="V26" s="53"/>
      <c r="W26" s="53">
        <f t="shared" si="9"/>
        <v>11385996</v>
      </c>
      <c r="X26" s="53"/>
      <c r="Y26" s="35" t="s">
        <v>35</v>
      </c>
      <c r="AA26" s="35" t="s">
        <v>36</v>
      </c>
      <c r="AB26" s="35"/>
      <c r="AC26" s="53">
        <v>2834539</v>
      </c>
      <c r="AD26" s="53"/>
      <c r="AE26" s="53">
        <f>1735129-303130</f>
        <v>1431999</v>
      </c>
      <c r="AF26" s="53"/>
      <c r="AG26" s="53">
        <v>303130</v>
      </c>
      <c r="AH26" s="53"/>
      <c r="AI26" s="45">
        <f t="shared" si="10"/>
        <v>1099410</v>
      </c>
      <c r="AJ26" s="45"/>
      <c r="AK26" s="53">
        <f>6-102697-3875</f>
        <v>-106566</v>
      </c>
      <c r="AL26" s="45"/>
      <c r="AM26" s="53">
        <v>75000</v>
      </c>
      <c r="AN26" s="53"/>
      <c r="AO26" s="53">
        <v>0</v>
      </c>
      <c r="AP26" s="53"/>
      <c r="AQ26" s="53">
        <v>0</v>
      </c>
      <c r="AR26" s="53"/>
      <c r="AS26" s="45">
        <f t="shared" si="11"/>
        <v>1067844</v>
      </c>
      <c r="AT26" s="45"/>
      <c r="AU26" s="53">
        <v>0</v>
      </c>
      <c r="AV26" s="53"/>
      <c r="AW26" s="53">
        <v>0</v>
      </c>
      <c r="AX26" s="53"/>
      <c r="AY26" s="53">
        <f t="shared" si="12"/>
        <v>2948810</v>
      </c>
      <c r="AZ26" s="53"/>
      <c r="BA26" s="35" t="s">
        <v>35</v>
      </c>
      <c r="BC26" s="35" t="s">
        <v>36</v>
      </c>
      <c r="BD26" s="53"/>
      <c r="BE26" s="53">
        <f>530000+915000</f>
        <v>1445000</v>
      </c>
      <c r="BF26" s="53"/>
      <c r="BG26" s="53">
        <v>0</v>
      </c>
      <c r="BH26" s="53"/>
      <c r="BI26" s="53">
        <f>18400+187000</f>
        <v>205400</v>
      </c>
      <c r="BJ26" s="53"/>
      <c r="BK26" s="53">
        <f>14315+30294</f>
        <v>44609</v>
      </c>
      <c r="BL26" s="53"/>
      <c r="BM26" s="53">
        <f t="shared" si="13"/>
        <v>1695009</v>
      </c>
      <c r="BN26" s="54" t="s">
        <v>347</v>
      </c>
      <c r="BR26" s="65"/>
      <c r="BS26" s="53"/>
      <c r="BT26" s="53"/>
      <c r="BU26" s="53"/>
      <c r="BV26" s="53"/>
      <c r="BW26" s="53"/>
      <c r="BX26" s="45"/>
      <c r="BY26" s="45"/>
      <c r="BZ26" s="53"/>
      <c r="CA26" s="53"/>
      <c r="CB26" s="53"/>
      <c r="CC26" s="53"/>
      <c r="CD26" s="53"/>
      <c r="CE26" s="53"/>
      <c r="CF26" s="35"/>
      <c r="CH26" s="35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4"/>
    </row>
    <row r="27" spans="1:97" s="55" customFormat="1" ht="12.75" customHeight="1">
      <c r="A27" s="35" t="s">
        <v>37</v>
      </c>
      <c r="B27" s="65"/>
      <c r="C27" s="35" t="s">
        <v>38</v>
      </c>
      <c r="D27" s="44"/>
      <c r="E27" s="53">
        <f t="shared" ref="E27:E88" si="14">I27-G27</f>
        <v>2157596</v>
      </c>
      <c r="F27" s="53"/>
      <c r="G27" s="53">
        <f>58060+9082453</f>
        <v>9140513</v>
      </c>
      <c r="H27" s="53"/>
      <c r="I27" s="53">
        <v>11298109</v>
      </c>
      <c r="J27" s="53"/>
      <c r="K27" s="53">
        <f t="shared" si="8"/>
        <v>812377</v>
      </c>
      <c r="L27" s="53"/>
      <c r="M27" s="53">
        <v>7593223</v>
      </c>
      <c r="N27" s="53"/>
      <c r="O27" s="53">
        <v>8405600</v>
      </c>
      <c r="P27" s="53"/>
      <c r="Q27" s="53">
        <v>967978</v>
      </c>
      <c r="R27" s="53"/>
      <c r="S27" s="53">
        <v>0</v>
      </c>
      <c r="T27" s="53"/>
      <c r="U27" s="53">
        <v>1924531</v>
      </c>
      <c r="V27" s="53"/>
      <c r="W27" s="53">
        <f>SUM(Q27:U27)</f>
        <v>2892509</v>
      </c>
      <c r="X27" s="65"/>
      <c r="Y27" s="35" t="s">
        <v>37</v>
      </c>
      <c r="Z27" s="53"/>
      <c r="AA27" s="35" t="s">
        <v>38</v>
      </c>
      <c r="AB27" s="65"/>
      <c r="AC27" s="53">
        <v>2037770</v>
      </c>
      <c r="AD27" s="53"/>
      <c r="AE27" s="53">
        <f>2166332-654128</f>
        <v>1512204</v>
      </c>
      <c r="AF27" s="53"/>
      <c r="AG27" s="53">
        <v>654128</v>
      </c>
      <c r="AH27" s="53"/>
      <c r="AI27" s="45">
        <f>+AC27-AE27-AG27</f>
        <v>-128562</v>
      </c>
      <c r="AJ27" s="45"/>
      <c r="AK27" s="53">
        <v>-245755</v>
      </c>
      <c r="AL27" s="45"/>
      <c r="AM27" s="53">
        <v>0</v>
      </c>
      <c r="AN27" s="53"/>
      <c r="AO27" s="53">
        <v>0</v>
      </c>
      <c r="AP27" s="53"/>
      <c r="AQ27" s="53">
        <v>0</v>
      </c>
      <c r="AR27" s="53"/>
      <c r="AS27" s="45">
        <f t="shared" si="11"/>
        <v>-374317</v>
      </c>
      <c r="AT27" s="45"/>
      <c r="AU27" s="53">
        <v>0</v>
      </c>
      <c r="AV27" s="53"/>
      <c r="AW27" s="53">
        <v>0</v>
      </c>
      <c r="AX27" s="53"/>
      <c r="AY27" s="53">
        <f>+E27-K27</f>
        <v>1345219</v>
      </c>
      <c r="AZ27" s="65"/>
      <c r="BA27" s="35" t="s">
        <v>37</v>
      </c>
      <c r="BB27" s="35"/>
      <c r="BC27" s="35" t="s">
        <v>38</v>
      </c>
      <c r="BD27" s="53"/>
      <c r="BE27" s="53">
        <v>0</v>
      </c>
      <c r="BF27" s="53"/>
      <c r="BG27" s="53">
        <v>0</v>
      </c>
      <c r="BH27" s="53"/>
      <c r="BI27" s="53">
        <f>618677+7546217</f>
        <v>8164894</v>
      </c>
      <c r="BJ27" s="53"/>
      <c r="BK27" s="53">
        <f>18043+47006</f>
        <v>65049</v>
      </c>
      <c r="BL27" s="53"/>
      <c r="BM27" s="53">
        <f t="shared" si="13"/>
        <v>8229943</v>
      </c>
      <c r="BN27" s="54" t="s">
        <v>347</v>
      </c>
      <c r="BR27" s="65"/>
      <c r="BS27" s="53"/>
      <c r="BT27" s="53"/>
      <c r="BU27" s="53"/>
      <c r="BV27" s="53"/>
      <c r="BW27" s="53"/>
      <c r="BX27" s="45"/>
      <c r="BY27" s="45"/>
      <c r="BZ27" s="53"/>
      <c r="CA27" s="53"/>
      <c r="CB27" s="53"/>
      <c r="CC27" s="53"/>
      <c r="CD27" s="53"/>
      <c r="CE27" s="53"/>
      <c r="CF27" s="35"/>
      <c r="CH27" s="35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4"/>
    </row>
    <row r="28" spans="1:97" s="35" customFormat="1" ht="12.75" customHeight="1">
      <c r="A28" s="35" t="s">
        <v>39</v>
      </c>
      <c r="B28" s="65"/>
      <c r="C28" s="35" t="s">
        <v>40</v>
      </c>
      <c r="D28" s="44"/>
      <c r="E28" s="53">
        <f t="shared" si="14"/>
        <v>364044</v>
      </c>
      <c r="F28" s="53"/>
      <c r="G28" s="53">
        <v>7353794</v>
      </c>
      <c r="H28" s="53"/>
      <c r="I28" s="53">
        <v>7717838</v>
      </c>
      <c r="J28" s="53"/>
      <c r="K28" s="53">
        <f t="shared" si="8"/>
        <v>421481</v>
      </c>
      <c r="L28" s="53"/>
      <c r="M28" s="53">
        <v>3036209</v>
      </c>
      <c r="N28" s="53"/>
      <c r="O28" s="53">
        <v>3457690</v>
      </c>
      <c r="P28" s="53"/>
      <c r="Q28" s="53">
        <v>3954041</v>
      </c>
      <c r="R28" s="53"/>
      <c r="S28" s="53">
        <v>0</v>
      </c>
      <c r="T28" s="53"/>
      <c r="U28" s="53">
        <v>306107</v>
      </c>
      <c r="V28" s="53"/>
      <c r="W28" s="53">
        <f>SUM(Q28:U28)</f>
        <v>4260148</v>
      </c>
      <c r="X28" s="53"/>
      <c r="Y28" s="35" t="s">
        <v>39</v>
      </c>
      <c r="Z28" s="55"/>
      <c r="AA28" s="35" t="s">
        <v>40</v>
      </c>
      <c r="AC28" s="53">
        <v>1184188</v>
      </c>
      <c r="AD28" s="53"/>
      <c r="AE28" s="53">
        <f>1153380-223650</f>
        <v>929730</v>
      </c>
      <c r="AF28" s="53"/>
      <c r="AG28" s="53">
        <v>223650</v>
      </c>
      <c r="AH28" s="53"/>
      <c r="AI28" s="45">
        <f>+AC28-AE28-AG28</f>
        <v>30808</v>
      </c>
      <c r="AJ28" s="45"/>
      <c r="AK28" s="53">
        <v>-185906</v>
      </c>
      <c r="AL28" s="45"/>
      <c r="AM28" s="53">
        <v>0</v>
      </c>
      <c r="AN28" s="53"/>
      <c r="AO28" s="53">
        <v>0</v>
      </c>
      <c r="AP28" s="53"/>
      <c r="AQ28" s="53">
        <v>0</v>
      </c>
      <c r="AR28" s="53"/>
      <c r="AS28" s="45">
        <f t="shared" si="11"/>
        <v>-155098</v>
      </c>
      <c r="AT28" s="45"/>
      <c r="AU28" s="53">
        <v>0</v>
      </c>
      <c r="AV28" s="53"/>
      <c r="AW28" s="53">
        <v>0</v>
      </c>
      <c r="AX28" s="53"/>
      <c r="AY28" s="53">
        <f>+E28-K28</f>
        <v>-57437</v>
      </c>
      <c r="AZ28" s="53"/>
      <c r="BA28" s="35" t="s">
        <v>39</v>
      </c>
      <c r="BB28" s="55"/>
      <c r="BC28" s="35" t="s">
        <v>40</v>
      </c>
      <c r="BD28" s="53"/>
      <c r="BE28" s="53">
        <v>0</v>
      </c>
      <c r="BF28" s="53"/>
      <c r="BG28" s="53">
        <v>0</v>
      </c>
      <c r="BH28" s="53"/>
      <c r="BI28" s="53">
        <f>4771+148527</f>
        <v>153298</v>
      </c>
      <c r="BJ28" s="53"/>
      <c r="BK28" s="53">
        <f>362888+2883567+5526+4115</f>
        <v>3256096</v>
      </c>
      <c r="BL28" s="53"/>
      <c r="BM28" s="53">
        <f t="shared" si="13"/>
        <v>3409394</v>
      </c>
      <c r="BN28" s="54"/>
      <c r="BR28" s="55"/>
      <c r="BS28" s="55"/>
      <c r="BT28" s="84"/>
      <c r="BU28" s="55"/>
      <c r="BV28" s="55"/>
      <c r="BW28" s="55"/>
      <c r="BX28" s="55"/>
      <c r="BY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</row>
    <row r="29" spans="1:97" s="55" customFormat="1" ht="12.75" customHeight="1">
      <c r="A29" s="35" t="s">
        <v>41</v>
      </c>
      <c r="B29" s="65"/>
      <c r="C29" s="35" t="s">
        <v>27</v>
      </c>
      <c r="D29" s="44"/>
      <c r="E29" s="53">
        <f t="shared" si="14"/>
        <v>476908</v>
      </c>
      <c r="F29" s="53"/>
      <c r="G29" s="53">
        <v>10943960</v>
      </c>
      <c r="H29" s="53"/>
      <c r="I29" s="53">
        <v>11420868</v>
      </c>
      <c r="J29" s="53"/>
      <c r="K29" s="53">
        <f t="shared" si="8"/>
        <v>331586</v>
      </c>
      <c r="L29" s="53"/>
      <c r="M29" s="53">
        <v>4174209</v>
      </c>
      <c r="N29" s="53"/>
      <c r="O29" s="53">
        <v>4505795</v>
      </c>
      <c r="P29" s="53"/>
      <c r="Q29" s="53">
        <v>6530342</v>
      </c>
      <c r="R29" s="53"/>
      <c r="S29" s="53">
        <v>0</v>
      </c>
      <c r="T29" s="53"/>
      <c r="U29" s="53">
        <v>384731</v>
      </c>
      <c r="V29" s="53"/>
      <c r="W29" s="53">
        <f t="shared" si="9"/>
        <v>6915073</v>
      </c>
      <c r="X29" s="53"/>
      <c r="Y29" s="35" t="s">
        <v>41</v>
      </c>
      <c r="AA29" s="35" t="s">
        <v>27</v>
      </c>
      <c r="AB29" s="35"/>
      <c r="AC29" s="53">
        <v>645057</v>
      </c>
      <c r="AD29" s="53"/>
      <c r="AE29" s="53">
        <f>719136-272086</f>
        <v>447050</v>
      </c>
      <c r="AF29" s="53"/>
      <c r="AG29" s="53">
        <v>272086</v>
      </c>
      <c r="AH29" s="53"/>
      <c r="AI29" s="45">
        <f t="shared" si="10"/>
        <v>-74079</v>
      </c>
      <c r="AJ29" s="45"/>
      <c r="AK29" s="53">
        <v>-77807</v>
      </c>
      <c r="AL29" s="45"/>
      <c r="AM29" s="53">
        <v>177200</v>
      </c>
      <c r="AN29" s="53"/>
      <c r="AO29" s="53">
        <v>0</v>
      </c>
      <c r="AP29" s="53"/>
      <c r="AQ29" s="53">
        <v>0</v>
      </c>
      <c r="AR29" s="53"/>
      <c r="AS29" s="45">
        <f t="shared" si="11"/>
        <v>25314</v>
      </c>
      <c r="AT29" s="45"/>
      <c r="AU29" s="53">
        <v>0</v>
      </c>
      <c r="AV29" s="53"/>
      <c r="AW29" s="53">
        <v>0</v>
      </c>
      <c r="AX29" s="53"/>
      <c r="AY29" s="53">
        <f t="shared" si="12"/>
        <v>145322</v>
      </c>
      <c r="AZ29" s="53"/>
      <c r="BA29" s="35" t="s">
        <v>41</v>
      </c>
      <c r="BC29" s="35" t="s">
        <v>27</v>
      </c>
      <c r="BD29" s="53"/>
      <c r="BE29" s="53">
        <v>0</v>
      </c>
      <c r="BF29" s="53"/>
      <c r="BG29" s="53">
        <v>0</v>
      </c>
      <c r="BH29" s="53"/>
      <c r="BI29" s="53">
        <f>128517+53504+2842088+944051</f>
        <v>3968160</v>
      </c>
      <c r="BJ29" s="53"/>
      <c r="BK29" s="53">
        <f>57388+388070</f>
        <v>445458</v>
      </c>
      <c r="BL29" s="53"/>
      <c r="BM29" s="53">
        <f t="shared" si="13"/>
        <v>4413618</v>
      </c>
      <c r="BN29" s="54" t="s">
        <v>347</v>
      </c>
      <c r="BR29" s="65"/>
      <c r="BS29" s="53"/>
      <c r="BT29" s="53"/>
      <c r="BU29" s="53"/>
      <c r="BV29" s="53"/>
      <c r="BW29" s="53"/>
      <c r="BX29" s="45"/>
      <c r="BY29" s="45"/>
      <c r="BZ29" s="53"/>
      <c r="CA29" s="53"/>
      <c r="CB29" s="53"/>
      <c r="CC29" s="53"/>
      <c r="CD29" s="53"/>
      <c r="CE29" s="53"/>
      <c r="CF29" s="35"/>
      <c r="CH29" s="35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4"/>
    </row>
    <row r="30" spans="1:97" s="55" customFormat="1" ht="12.75" customHeight="1">
      <c r="A30" s="35" t="s">
        <v>42</v>
      </c>
      <c r="B30" s="65"/>
      <c r="C30" s="35" t="s">
        <v>43</v>
      </c>
      <c r="D30" s="44"/>
      <c r="E30" s="53">
        <f t="shared" si="14"/>
        <v>1743268</v>
      </c>
      <c r="F30" s="53"/>
      <c r="G30" s="53">
        <v>3132708</v>
      </c>
      <c r="H30" s="53"/>
      <c r="I30" s="53">
        <v>4875976</v>
      </c>
      <c r="J30" s="53"/>
      <c r="K30" s="53">
        <f t="shared" si="8"/>
        <v>467560</v>
      </c>
      <c r="L30" s="53"/>
      <c r="M30" s="53">
        <v>1178515</v>
      </c>
      <c r="N30" s="53"/>
      <c r="O30" s="53">
        <v>1646075</v>
      </c>
      <c r="P30" s="53"/>
      <c r="Q30" s="53">
        <v>1908108</v>
      </c>
      <c r="R30" s="53"/>
      <c r="S30" s="53">
        <v>0</v>
      </c>
      <c r="T30" s="53"/>
      <c r="U30" s="53">
        <v>1321803</v>
      </c>
      <c r="V30" s="53"/>
      <c r="W30" s="53">
        <f t="shared" si="9"/>
        <v>3229911</v>
      </c>
      <c r="X30" s="53"/>
      <c r="Y30" s="35" t="s">
        <v>42</v>
      </c>
      <c r="AA30" s="35" t="s">
        <v>43</v>
      </c>
      <c r="AB30" s="35"/>
      <c r="AC30" s="53">
        <v>2316082</v>
      </c>
      <c r="AD30" s="53"/>
      <c r="AE30" s="53">
        <f>2000528+114869</f>
        <v>2115397</v>
      </c>
      <c r="AF30" s="53"/>
      <c r="AG30" s="53">
        <v>114869</v>
      </c>
      <c r="AH30" s="53"/>
      <c r="AI30" s="45">
        <f t="shared" si="10"/>
        <v>85816</v>
      </c>
      <c r="AJ30" s="45"/>
      <c r="AK30" s="53">
        <v>-30703</v>
      </c>
      <c r="AL30" s="45"/>
      <c r="AM30" s="53">
        <v>0</v>
      </c>
      <c r="AN30" s="53"/>
      <c r="AO30" s="53">
        <v>0</v>
      </c>
      <c r="AP30" s="53"/>
      <c r="AQ30" s="53">
        <v>0</v>
      </c>
      <c r="AR30" s="53"/>
      <c r="AS30" s="45">
        <f t="shared" si="11"/>
        <v>55113</v>
      </c>
      <c r="AT30" s="45"/>
      <c r="AU30" s="53">
        <v>0</v>
      </c>
      <c r="AV30" s="53"/>
      <c r="AW30" s="53">
        <v>0</v>
      </c>
      <c r="AX30" s="53"/>
      <c r="AY30" s="53">
        <f t="shared" si="12"/>
        <v>1275708</v>
      </c>
      <c r="AZ30" s="53"/>
      <c r="BA30" s="35" t="s">
        <v>42</v>
      </c>
      <c r="BC30" s="35" t="s">
        <v>43</v>
      </c>
      <c r="BD30" s="53"/>
      <c r="BE30" s="53">
        <f>35000+810000</f>
        <v>845000</v>
      </c>
      <c r="BF30" s="53"/>
      <c r="BG30" s="53">
        <v>0</v>
      </c>
      <c r="BH30" s="53"/>
      <c r="BI30" s="53">
        <f>23725+355875</f>
        <v>379600</v>
      </c>
      <c r="BJ30" s="53"/>
      <c r="BK30" s="53">
        <f>373+12640</f>
        <v>13013</v>
      </c>
      <c r="BL30" s="53"/>
      <c r="BM30" s="53">
        <f t="shared" si="13"/>
        <v>1237613</v>
      </c>
      <c r="BN30" s="54" t="s">
        <v>347</v>
      </c>
      <c r="BR30" s="65"/>
      <c r="BS30" s="53"/>
      <c r="BT30" s="53"/>
      <c r="BU30" s="53"/>
      <c r="BV30" s="53"/>
      <c r="BW30" s="53"/>
      <c r="BX30" s="45"/>
      <c r="BY30" s="45"/>
      <c r="BZ30" s="53"/>
      <c r="CA30" s="53"/>
      <c r="CB30" s="53"/>
      <c r="CC30" s="53"/>
      <c r="CD30" s="53"/>
      <c r="CE30" s="53"/>
      <c r="CF30" s="35"/>
      <c r="CH30" s="35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4"/>
    </row>
    <row r="31" spans="1:97" s="55" customFormat="1" ht="12.75" hidden="1" customHeight="1">
      <c r="A31" s="35" t="s">
        <v>44</v>
      </c>
      <c r="B31" s="65"/>
      <c r="C31" s="35" t="s">
        <v>45</v>
      </c>
      <c r="D31" s="44"/>
      <c r="E31" s="53">
        <f t="shared" si="14"/>
        <v>0</v>
      </c>
      <c r="F31" s="53"/>
      <c r="G31" s="53">
        <v>0</v>
      </c>
      <c r="H31" s="53"/>
      <c r="I31" s="53">
        <v>0</v>
      </c>
      <c r="J31" s="53"/>
      <c r="K31" s="53">
        <f t="shared" si="8"/>
        <v>0</v>
      </c>
      <c r="L31" s="53"/>
      <c r="M31" s="53">
        <v>0</v>
      </c>
      <c r="N31" s="53"/>
      <c r="O31" s="53">
        <v>0</v>
      </c>
      <c r="P31" s="53"/>
      <c r="Q31" s="53">
        <v>0</v>
      </c>
      <c r="R31" s="53"/>
      <c r="S31" s="53">
        <v>0</v>
      </c>
      <c r="T31" s="53"/>
      <c r="U31" s="53">
        <v>0</v>
      </c>
      <c r="V31" s="53"/>
      <c r="W31" s="53">
        <f t="shared" si="9"/>
        <v>0</v>
      </c>
      <c r="X31" s="53"/>
      <c r="Y31" s="35" t="s">
        <v>44</v>
      </c>
      <c r="AA31" s="35" t="s">
        <v>45</v>
      </c>
      <c r="AB31" s="35"/>
      <c r="AC31" s="53">
        <v>0</v>
      </c>
      <c r="AD31" s="53"/>
      <c r="AE31" s="53">
        <v>0</v>
      </c>
      <c r="AF31" s="53"/>
      <c r="AG31" s="53">
        <v>0</v>
      </c>
      <c r="AH31" s="53"/>
      <c r="AI31" s="45">
        <f t="shared" si="10"/>
        <v>0</v>
      </c>
      <c r="AJ31" s="45"/>
      <c r="AK31" s="53">
        <v>0</v>
      </c>
      <c r="AL31" s="45"/>
      <c r="AM31" s="53">
        <v>0</v>
      </c>
      <c r="AN31" s="53"/>
      <c r="AO31" s="53">
        <v>0</v>
      </c>
      <c r="AP31" s="53"/>
      <c r="AQ31" s="53">
        <v>0</v>
      </c>
      <c r="AR31" s="53"/>
      <c r="AS31" s="45">
        <f t="shared" si="11"/>
        <v>0</v>
      </c>
      <c r="AT31" s="45"/>
      <c r="AU31" s="53">
        <v>0</v>
      </c>
      <c r="AV31" s="53"/>
      <c r="AW31" s="53">
        <v>0</v>
      </c>
      <c r="AX31" s="53"/>
      <c r="AY31" s="53">
        <f t="shared" si="12"/>
        <v>0</v>
      </c>
      <c r="AZ31" s="53"/>
      <c r="BA31" s="35" t="s">
        <v>44</v>
      </c>
      <c r="BC31" s="35" t="s">
        <v>45</v>
      </c>
      <c r="BD31" s="53"/>
      <c r="BE31" s="53">
        <v>0</v>
      </c>
      <c r="BF31" s="53"/>
      <c r="BG31" s="53">
        <v>0</v>
      </c>
      <c r="BH31" s="53"/>
      <c r="BI31" s="53">
        <v>0</v>
      </c>
      <c r="BJ31" s="53"/>
      <c r="BK31" s="53">
        <v>0</v>
      </c>
      <c r="BL31" s="53"/>
      <c r="BM31" s="53">
        <f t="shared" si="13"/>
        <v>0</v>
      </c>
      <c r="BN31" s="54" t="s">
        <v>347</v>
      </c>
      <c r="BR31" s="65"/>
      <c r="BS31" s="53"/>
      <c r="BT31" s="53"/>
      <c r="BU31" s="53"/>
      <c r="BV31" s="53"/>
      <c r="BW31" s="53"/>
      <c r="BX31" s="45"/>
      <c r="BY31" s="45"/>
      <c r="BZ31" s="53"/>
      <c r="CA31" s="53"/>
      <c r="CB31" s="53"/>
      <c r="CC31" s="53"/>
      <c r="CD31" s="53"/>
      <c r="CE31" s="53"/>
      <c r="CF31" s="35"/>
      <c r="CH31" s="35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4"/>
    </row>
    <row r="32" spans="1:97" s="55" customFormat="1" ht="12.75" customHeight="1">
      <c r="A32" s="35" t="s">
        <v>46</v>
      </c>
      <c r="B32" s="65"/>
      <c r="C32" s="35" t="s">
        <v>47</v>
      </c>
      <c r="D32" s="44"/>
      <c r="E32" s="53">
        <f t="shared" si="14"/>
        <v>3194287</v>
      </c>
      <c r="F32" s="53"/>
      <c r="G32" s="53">
        <v>45406533</v>
      </c>
      <c r="H32" s="53"/>
      <c r="I32" s="53">
        <v>48600820</v>
      </c>
      <c r="J32" s="53"/>
      <c r="K32" s="53">
        <f t="shared" si="8"/>
        <v>587798</v>
      </c>
      <c r="L32" s="53"/>
      <c r="M32" s="53">
        <v>3208303</v>
      </c>
      <c r="N32" s="53"/>
      <c r="O32" s="53">
        <v>3796101</v>
      </c>
      <c r="P32" s="53"/>
      <c r="Q32" s="53">
        <v>42134592</v>
      </c>
      <c r="R32" s="53"/>
      <c r="S32" s="53">
        <v>0</v>
      </c>
      <c r="T32" s="53"/>
      <c r="U32" s="53">
        <v>2670127</v>
      </c>
      <c r="V32" s="53"/>
      <c r="W32" s="53">
        <f t="shared" si="9"/>
        <v>44804719</v>
      </c>
      <c r="X32" s="53"/>
      <c r="Y32" s="35" t="s">
        <v>46</v>
      </c>
      <c r="AA32" s="35" t="s">
        <v>47</v>
      </c>
      <c r="AB32" s="35"/>
      <c r="AC32" s="53">
        <v>3833165</v>
      </c>
      <c r="AD32" s="53"/>
      <c r="AE32" s="53">
        <f>4945044-1218198</f>
        <v>3726846</v>
      </c>
      <c r="AF32" s="53"/>
      <c r="AG32" s="53">
        <v>1218198</v>
      </c>
      <c r="AH32" s="53"/>
      <c r="AI32" s="45">
        <f t="shared" si="10"/>
        <v>-1111879</v>
      </c>
      <c r="AJ32" s="45"/>
      <c r="AK32" s="53">
        <v>-102973</v>
      </c>
      <c r="AL32" s="45"/>
      <c r="AM32" s="53">
        <v>0</v>
      </c>
      <c r="AN32" s="53"/>
      <c r="AO32" s="53">
        <v>0</v>
      </c>
      <c r="AP32" s="53"/>
      <c r="AQ32" s="53">
        <v>3557176</v>
      </c>
      <c r="AR32" s="53"/>
      <c r="AS32" s="45">
        <f t="shared" si="11"/>
        <v>2342324</v>
      </c>
      <c r="AT32" s="45"/>
      <c r="AU32" s="53">
        <v>0</v>
      </c>
      <c r="AV32" s="53"/>
      <c r="AW32" s="53">
        <v>0</v>
      </c>
      <c r="AX32" s="53"/>
      <c r="AY32" s="53">
        <f t="shared" si="12"/>
        <v>2606489</v>
      </c>
      <c r="AZ32" s="53"/>
      <c r="BA32" s="35" t="s">
        <v>46</v>
      </c>
      <c r="BC32" s="35" t="s">
        <v>47</v>
      </c>
      <c r="BD32" s="53"/>
      <c r="BE32" s="53">
        <f>180000+3061155</f>
        <v>3241155</v>
      </c>
      <c r="BF32" s="53"/>
      <c r="BG32" s="53">
        <v>0</v>
      </c>
      <c r="BH32" s="53"/>
      <c r="BI32" s="53">
        <v>0</v>
      </c>
      <c r="BJ32" s="53"/>
      <c r="BK32" s="53">
        <f>95978+30756+147148</f>
        <v>273882</v>
      </c>
      <c r="BL32" s="53"/>
      <c r="BM32" s="53">
        <f t="shared" si="13"/>
        <v>3515037</v>
      </c>
      <c r="BN32" s="54" t="s">
        <v>347</v>
      </c>
      <c r="BR32" s="65"/>
      <c r="BS32" s="53"/>
      <c r="BT32" s="53"/>
      <c r="BU32" s="53"/>
      <c r="BV32" s="53"/>
      <c r="BW32" s="53"/>
      <c r="BX32" s="45"/>
      <c r="BY32" s="45"/>
      <c r="BZ32" s="53"/>
      <c r="CA32" s="53"/>
      <c r="CB32" s="53"/>
      <c r="CC32" s="53"/>
      <c r="CD32" s="53"/>
      <c r="CE32" s="53"/>
      <c r="CF32" s="35"/>
      <c r="CH32" s="35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4"/>
    </row>
    <row r="33" spans="1:97" s="55" customFormat="1" ht="12.75" hidden="1" customHeight="1">
      <c r="A33" s="35" t="s">
        <v>48</v>
      </c>
      <c r="B33" s="65"/>
      <c r="C33" s="35" t="s">
        <v>27</v>
      </c>
      <c r="D33" s="44"/>
      <c r="E33" s="53">
        <f t="shared" si="14"/>
        <v>0</v>
      </c>
      <c r="F33" s="53"/>
      <c r="G33" s="53">
        <v>0</v>
      </c>
      <c r="H33" s="53"/>
      <c r="I33" s="53">
        <v>0</v>
      </c>
      <c r="J33" s="53"/>
      <c r="K33" s="53">
        <f t="shared" si="8"/>
        <v>0</v>
      </c>
      <c r="L33" s="53"/>
      <c r="M33" s="53">
        <v>0</v>
      </c>
      <c r="N33" s="53"/>
      <c r="O33" s="53">
        <v>0</v>
      </c>
      <c r="P33" s="53"/>
      <c r="Q33" s="53">
        <v>0</v>
      </c>
      <c r="R33" s="53"/>
      <c r="S33" s="53">
        <v>0</v>
      </c>
      <c r="T33" s="53"/>
      <c r="U33" s="53">
        <v>0</v>
      </c>
      <c r="V33" s="53"/>
      <c r="W33" s="53">
        <f t="shared" si="9"/>
        <v>0</v>
      </c>
      <c r="X33" s="53"/>
      <c r="Y33" s="35" t="s">
        <v>48</v>
      </c>
      <c r="AA33" s="35" t="s">
        <v>27</v>
      </c>
      <c r="AB33" s="35"/>
      <c r="AC33" s="53">
        <v>0</v>
      </c>
      <c r="AD33" s="53"/>
      <c r="AE33" s="53">
        <v>0</v>
      </c>
      <c r="AF33" s="53"/>
      <c r="AG33" s="53">
        <v>0</v>
      </c>
      <c r="AH33" s="53"/>
      <c r="AI33" s="45">
        <f t="shared" si="10"/>
        <v>0</v>
      </c>
      <c r="AJ33" s="45"/>
      <c r="AK33" s="53">
        <v>0</v>
      </c>
      <c r="AL33" s="45"/>
      <c r="AM33" s="53">
        <v>0</v>
      </c>
      <c r="AN33" s="53"/>
      <c r="AO33" s="53">
        <v>0</v>
      </c>
      <c r="AP33" s="53"/>
      <c r="AQ33" s="53">
        <v>0</v>
      </c>
      <c r="AR33" s="53"/>
      <c r="AS33" s="45">
        <f t="shared" si="11"/>
        <v>0</v>
      </c>
      <c r="AT33" s="45"/>
      <c r="AU33" s="53">
        <v>0</v>
      </c>
      <c r="AV33" s="53"/>
      <c r="AW33" s="53">
        <v>0</v>
      </c>
      <c r="AX33" s="53"/>
      <c r="AY33" s="53">
        <f t="shared" si="12"/>
        <v>0</v>
      </c>
      <c r="AZ33" s="53"/>
      <c r="BA33" s="35" t="s">
        <v>48</v>
      </c>
      <c r="BC33" s="35" t="s">
        <v>27</v>
      </c>
      <c r="BD33" s="53"/>
      <c r="BE33" s="53">
        <v>0</v>
      </c>
      <c r="BF33" s="53"/>
      <c r="BG33" s="53">
        <v>0</v>
      </c>
      <c r="BH33" s="53"/>
      <c r="BI33" s="53">
        <v>0</v>
      </c>
      <c r="BJ33" s="53"/>
      <c r="BK33" s="53">
        <v>0</v>
      </c>
      <c r="BL33" s="53"/>
      <c r="BM33" s="53">
        <f t="shared" si="13"/>
        <v>0</v>
      </c>
      <c r="BN33" s="54" t="s">
        <v>347</v>
      </c>
      <c r="BR33" s="65"/>
      <c r="BS33" s="53"/>
      <c r="BT33" s="53"/>
      <c r="BU33" s="53"/>
      <c r="BV33" s="53"/>
      <c r="BW33" s="53"/>
      <c r="BX33" s="45"/>
      <c r="BY33" s="45"/>
      <c r="BZ33" s="53"/>
      <c r="CA33" s="53"/>
      <c r="CB33" s="53"/>
      <c r="CC33" s="53"/>
      <c r="CD33" s="53"/>
      <c r="CE33" s="53"/>
      <c r="CF33" s="35"/>
      <c r="CH33" s="35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4"/>
    </row>
    <row r="34" spans="1:97" s="55" customFormat="1" ht="12.75" customHeight="1">
      <c r="A34" s="35" t="s">
        <v>49</v>
      </c>
      <c r="B34" s="65"/>
      <c r="C34" s="35" t="s">
        <v>27</v>
      </c>
      <c r="D34" s="44"/>
      <c r="E34" s="53">
        <f t="shared" si="14"/>
        <v>1523024</v>
      </c>
      <c r="F34" s="53"/>
      <c r="G34" s="53">
        <v>4061013</v>
      </c>
      <c r="H34" s="53"/>
      <c r="I34" s="53">
        <v>5584037</v>
      </c>
      <c r="J34" s="53"/>
      <c r="K34" s="53">
        <f t="shared" si="8"/>
        <v>18565</v>
      </c>
      <c r="L34" s="53"/>
      <c r="M34" s="53">
        <v>23069</v>
      </c>
      <c r="N34" s="53"/>
      <c r="O34" s="53">
        <v>41634</v>
      </c>
      <c r="P34" s="53"/>
      <c r="Q34" s="53">
        <v>4061013</v>
      </c>
      <c r="R34" s="53"/>
      <c r="S34" s="53">
        <v>0</v>
      </c>
      <c r="T34" s="53"/>
      <c r="U34" s="53">
        <v>1481390</v>
      </c>
      <c r="V34" s="53"/>
      <c r="W34" s="53">
        <f t="shared" si="9"/>
        <v>5542403</v>
      </c>
      <c r="X34" s="53"/>
      <c r="Y34" s="35" t="s">
        <v>49</v>
      </c>
      <c r="AA34" s="35" t="s">
        <v>27</v>
      </c>
      <c r="AB34" s="35"/>
      <c r="AC34" s="53">
        <v>1330636</v>
      </c>
      <c r="AD34" s="53"/>
      <c r="AE34" s="53">
        <f>1826562-580752</f>
        <v>1245810</v>
      </c>
      <c r="AF34" s="53"/>
      <c r="AG34" s="53">
        <v>580572</v>
      </c>
      <c r="AH34" s="53"/>
      <c r="AI34" s="45">
        <f t="shared" si="10"/>
        <v>-495746</v>
      </c>
      <c r="AJ34" s="45"/>
      <c r="AK34" s="53">
        <v>1582</v>
      </c>
      <c r="AL34" s="45"/>
      <c r="AM34" s="53">
        <v>0</v>
      </c>
      <c r="AN34" s="53"/>
      <c r="AO34" s="53">
        <v>0</v>
      </c>
      <c r="AP34" s="53"/>
      <c r="AQ34" s="53">
        <v>0</v>
      </c>
      <c r="AR34" s="53"/>
      <c r="AS34" s="45">
        <f t="shared" si="11"/>
        <v>-494164</v>
      </c>
      <c r="AT34" s="45"/>
      <c r="AU34" s="53">
        <v>0</v>
      </c>
      <c r="AV34" s="53"/>
      <c r="AW34" s="53">
        <v>0</v>
      </c>
      <c r="AX34" s="53"/>
      <c r="AY34" s="53">
        <f t="shared" si="12"/>
        <v>1504459</v>
      </c>
      <c r="AZ34" s="53"/>
      <c r="BA34" s="35" t="s">
        <v>49</v>
      </c>
      <c r="BC34" s="35" t="s">
        <v>27</v>
      </c>
      <c r="BD34" s="53"/>
      <c r="BE34" s="53">
        <v>0</v>
      </c>
      <c r="BF34" s="53"/>
      <c r="BG34" s="53">
        <v>0</v>
      </c>
      <c r="BH34" s="53"/>
      <c r="BI34" s="53">
        <v>0</v>
      </c>
      <c r="BJ34" s="53"/>
      <c r="BK34" s="53">
        <f>4741+23069</f>
        <v>27810</v>
      </c>
      <c r="BL34" s="53"/>
      <c r="BM34" s="53">
        <f t="shared" si="13"/>
        <v>27810</v>
      </c>
      <c r="BN34" s="54" t="s">
        <v>347</v>
      </c>
      <c r="BR34" s="65"/>
      <c r="BS34" s="53"/>
      <c r="BT34" s="53"/>
      <c r="BU34" s="53"/>
      <c r="BV34" s="53"/>
      <c r="BW34" s="53"/>
      <c r="BX34" s="45"/>
      <c r="BY34" s="45"/>
      <c r="BZ34" s="53"/>
      <c r="CA34" s="53"/>
      <c r="CB34" s="53"/>
      <c r="CC34" s="53"/>
      <c r="CD34" s="53"/>
      <c r="CE34" s="53"/>
      <c r="CF34" s="35"/>
      <c r="CH34" s="35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4"/>
    </row>
    <row r="35" spans="1:97" s="55" customFormat="1" ht="12.75" hidden="1" customHeight="1">
      <c r="A35" s="35" t="s">
        <v>50</v>
      </c>
      <c r="B35" s="65"/>
      <c r="C35" s="35" t="s">
        <v>27</v>
      </c>
      <c r="D35" s="44"/>
      <c r="E35" s="53">
        <f t="shared" si="14"/>
        <v>0</v>
      </c>
      <c r="F35" s="53"/>
      <c r="G35" s="53">
        <v>0</v>
      </c>
      <c r="H35" s="53"/>
      <c r="I35" s="53">
        <v>0</v>
      </c>
      <c r="J35" s="53"/>
      <c r="K35" s="53">
        <f t="shared" si="8"/>
        <v>0</v>
      </c>
      <c r="L35" s="53"/>
      <c r="M35" s="53">
        <v>0</v>
      </c>
      <c r="N35" s="53"/>
      <c r="O35" s="53">
        <v>0</v>
      </c>
      <c r="P35" s="53"/>
      <c r="Q35" s="53">
        <v>0</v>
      </c>
      <c r="R35" s="53"/>
      <c r="S35" s="53">
        <v>0</v>
      </c>
      <c r="T35" s="53"/>
      <c r="U35" s="53">
        <v>0</v>
      </c>
      <c r="V35" s="53"/>
      <c r="W35" s="53">
        <f t="shared" si="9"/>
        <v>0</v>
      </c>
      <c r="X35" s="53"/>
      <c r="Y35" s="35" t="s">
        <v>50</v>
      </c>
      <c r="AA35" s="35" t="s">
        <v>27</v>
      </c>
      <c r="AB35" s="35"/>
      <c r="AC35" s="53">
        <v>0</v>
      </c>
      <c r="AD35" s="53"/>
      <c r="AE35" s="53">
        <v>0</v>
      </c>
      <c r="AF35" s="53"/>
      <c r="AG35" s="53">
        <v>0</v>
      </c>
      <c r="AH35" s="53"/>
      <c r="AI35" s="45">
        <f t="shared" si="10"/>
        <v>0</v>
      </c>
      <c r="AJ35" s="45"/>
      <c r="AK35" s="53">
        <v>0</v>
      </c>
      <c r="AL35" s="45"/>
      <c r="AM35" s="53">
        <v>0</v>
      </c>
      <c r="AN35" s="53"/>
      <c r="AO35" s="53">
        <v>0</v>
      </c>
      <c r="AP35" s="53"/>
      <c r="AQ35" s="53">
        <v>0</v>
      </c>
      <c r="AR35" s="53"/>
      <c r="AS35" s="45">
        <f t="shared" si="11"/>
        <v>0</v>
      </c>
      <c r="AT35" s="45"/>
      <c r="AU35" s="53">
        <v>0</v>
      </c>
      <c r="AV35" s="53"/>
      <c r="AW35" s="53">
        <v>0</v>
      </c>
      <c r="AX35" s="53"/>
      <c r="AY35" s="53">
        <f t="shared" si="12"/>
        <v>0</v>
      </c>
      <c r="AZ35" s="53"/>
      <c r="BA35" s="35" t="s">
        <v>50</v>
      </c>
      <c r="BC35" s="35" t="s">
        <v>27</v>
      </c>
      <c r="BD35" s="53"/>
      <c r="BE35" s="53">
        <v>0</v>
      </c>
      <c r="BF35" s="53"/>
      <c r="BG35" s="53">
        <v>0</v>
      </c>
      <c r="BH35" s="53"/>
      <c r="BI35" s="53">
        <v>0</v>
      </c>
      <c r="BJ35" s="53"/>
      <c r="BK35" s="53">
        <v>0</v>
      </c>
      <c r="BL35" s="53"/>
      <c r="BM35" s="53">
        <f t="shared" si="13"/>
        <v>0</v>
      </c>
      <c r="BN35" s="54" t="s">
        <v>347</v>
      </c>
      <c r="BR35" s="65"/>
      <c r="BS35" s="53"/>
      <c r="BT35" s="53"/>
      <c r="BU35" s="53"/>
      <c r="BV35" s="53"/>
      <c r="BW35" s="53"/>
      <c r="BX35" s="45"/>
      <c r="BY35" s="45"/>
      <c r="BZ35" s="53"/>
      <c r="CA35" s="53"/>
      <c r="CB35" s="53"/>
      <c r="CC35" s="53"/>
      <c r="CD35" s="53"/>
      <c r="CE35" s="53"/>
      <c r="CF35" s="35"/>
      <c r="CH35" s="35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4"/>
    </row>
    <row r="36" spans="1:97" s="55" customFormat="1" ht="12.75" hidden="1" customHeight="1">
      <c r="A36" s="35" t="s">
        <v>51</v>
      </c>
      <c r="B36" s="65"/>
      <c r="C36" s="35" t="s">
        <v>27</v>
      </c>
      <c r="D36" s="44"/>
      <c r="E36" s="53">
        <f t="shared" si="14"/>
        <v>0</v>
      </c>
      <c r="F36" s="53"/>
      <c r="G36" s="53">
        <v>0</v>
      </c>
      <c r="H36" s="53"/>
      <c r="I36" s="53">
        <v>0</v>
      </c>
      <c r="J36" s="53"/>
      <c r="K36" s="53">
        <f t="shared" si="8"/>
        <v>0</v>
      </c>
      <c r="L36" s="53"/>
      <c r="M36" s="53">
        <v>0</v>
      </c>
      <c r="N36" s="53"/>
      <c r="O36" s="53">
        <v>0</v>
      </c>
      <c r="P36" s="53"/>
      <c r="Q36" s="53">
        <v>0</v>
      </c>
      <c r="R36" s="53"/>
      <c r="S36" s="53">
        <v>0</v>
      </c>
      <c r="T36" s="53"/>
      <c r="U36" s="53">
        <v>0</v>
      </c>
      <c r="V36" s="53"/>
      <c r="W36" s="53">
        <f t="shared" si="9"/>
        <v>0</v>
      </c>
      <c r="X36" s="53"/>
      <c r="Y36" s="35" t="s">
        <v>51</v>
      </c>
      <c r="AA36" s="35" t="s">
        <v>27</v>
      </c>
      <c r="AB36" s="35"/>
      <c r="AC36" s="53">
        <v>0</v>
      </c>
      <c r="AD36" s="53"/>
      <c r="AE36" s="53">
        <v>0</v>
      </c>
      <c r="AF36" s="53"/>
      <c r="AG36" s="53">
        <v>0</v>
      </c>
      <c r="AH36" s="53"/>
      <c r="AI36" s="45">
        <f t="shared" si="10"/>
        <v>0</v>
      </c>
      <c r="AJ36" s="45"/>
      <c r="AK36" s="53">
        <v>0</v>
      </c>
      <c r="AL36" s="45"/>
      <c r="AM36" s="53">
        <v>0</v>
      </c>
      <c r="AN36" s="53"/>
      <c r="AO36" s="53">
        <v>0</v>
      </c>
      <c r="AP36" s="53"/>
      <c r="AQ36" s="53">
        <v>0</v>
      </c>
      <c r="AR36" s="53"/>
      <c r="AS36" s="45">
        <f t="shared" si="11"/>
        <v>0</v>
      </c>
      <c r="AT36" s="45"/>
      <c r="AU36" s="53">
        <v>0</v>
      </c>
      <c r="AV36" s="53"/>
      <c r="AW36" s="53">
        <v>0</v>
      </c>
      <c r="AX36" s="53"/>
      <c r="AY36" s="53">
        <f t="shared" si="12"/>
        <v>0</v>
      </c>
      <c r="AZ36" s="53"/>
      <c r="BA36" s="35" t="s">
        <v>51</v>
      </c>
      <c r="BC36" s="35" t="s">
        <v>27</v>
      </c>
      <c r="BD36" s="53"/>
      <c r="BE36" s="53">
        <v>0</v>
      </c>
      <c r="BF36" s="53"/>
      <c r="BG36" s="53">
        <v>0</v>
      </c>
      <c r="BH36" s="53"/>
      <c r="BI36" s="53">
        <v>0</v>
      </c>
      <c r="BJ36" s="53"/>
      <c r="BK36" s="53">
        <v>0</v>
      </c>
      <c r="BL36" s="53"/>
      <c r="BM36" s="53">
        <f t="shared" si="13"/>
        <v>0</v>
      </c>
      <c r="BN36" s="54" t="s">
        <v>347</v>
      </c>
      <c r="BO36" s="55" t="s">
        <v>404</v>
      </c>
      <c r="BR36" s="65"/>
      <c r="BS36" s="53"/>
      <c r="BT36" s="53"/>
      <c r="BU36" s="53"/>
      <c r="BV36" s="53"/>
      <c r="BW36" s="53"/>
      <c r="BX36" s="45"/>
      <c r="BY36" s="45"/>
      <c r="BZ36" s="53"/>
      <c r="CA36" s="53"/>
      <c r="CB36" s="53"/>
      <c r="CC36" s="53"/>
      <c r="CD36" s="53"/>
      <c r="CE36" s="53"/>
      <c r="CF36" s="35"/>
      <c r="CH36" s="35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4"/>
    </row>
    <row r="37" spans="1:97" s="55" customFormat="1" ht="12.75" customHeight="1">
      <c r="A37" s="35" t="s">
        <v>462</v>
      </c>
      <c r="B37" s="65"/>
      <c r="C37" s="35" t="s">
        <v>66</v>
      </c>
      <c r="D37" s="44"/>
      <c r="E37" s="53">
        <f t="shared" si="14"/>
        <v>307370</v>
      </c>
      <c r="F37" s="53"/>
      <c r="G37" s="53">
        <v>3159568</v>
      </c>
      <c r="H37" s="53"/>
      <c r="I37" s="53">
        <v>3466938</v>
      </c>
      <c r="J37" s="53"/>
      <c r="K37" s="53">
        <f t="shared" si="8"/>
        <v>110573</v>
      </c>
      <c r="L37" s="53"/>
      <c r="M37" s="53">
        <v>333029</v>
      </c>
      <c r="N37" s="53"/>
      <c r="O37" s="53">
        <v>443602</v>
      </c>
      <c r="P37" s="53"/>
      <c r="Q37" s="53">
        <v>2739461</v>
      </c>
      <c r="R37" s="53"/>
      <c r="S37" s="53">
        <v>0</v>
      </c>
      <c r="T37" s="53"/>
      <c r="U37" s="53">
        <v>283875</v>
      </c>
      <c r="V37" s="53"/>
      <c r="W37" s="53">
        <f t="shared" si="9"/>
        <v>3023336</v>
      </c>
      <c r="X37" s="53"/>
      <c r="Y37" s="35" t="s">
        <v>462</v>
      </c>
      <c r="AA37" s="35" t="s">
        <v>66</v>
      </c>
      <c r="AB37" s="35"/>
      <c r="AC37" s="53">
        <v>430515</v>
      </c>
      <c r="AD37" s="53"/>
      <c r="AE37" s="53">
        <f>652516-347071</f>
        <v>305445</v>
      </c>
      <c r="AF37" s="53"/>
      <c r="AG37" s="53">
        <v>347071</v>
      </c>
      <c r="AH37" s="53"/>
      <c r="AI37" s="45">
        <f t="shared" si="10"/>
        <v>-222001</v>
      </c>
      <c r="AJ37" s="45"/>
      <c r="AK37" s="53">
        <v>-5479</v>
      </c>
      <c r="AL37" s="45"/>
      <c r="AM37" s="53">
        <v>0</v>
      </c>
      <c r="AN37" s="53"/>
      <c r="AO37" s="53">
        <v>0</v>
      </c>
      <c r="AP37" s="53"/>
      <c r="AQ37" s="53">
        <v>0</v>
      </c>
      <c r="AR37" s="53"/>
      <c r="AS37" s="45">
        <f t="shared" si="11"/>
        <v>-227480</v>
      </c>
      <c r="AT37" s="45"/>
      <c r="AU37" s="53">
        <v>0</v>
      </c>
      <c r="AV37" s="53"/>
      <c r="AW37" s="53">
        <v>0</v>
      </c>
      <c r="AX37" s="53"/>
      <c r="AY37" s="53">
        <f t="shared" si="12"/>
        <v>196797</v>
      </c>
      <c r="AZ37" s="53"/>
      <c r="BA37" s="35" t="s">
        <v>462</v>
      </c>
      <c r="BC37" s="35" t="s">
        <v>66</v>
      </c>
      <c r="BD37" s="53"/>
      <c r="BE37" s="53">
        <v>0</v>
      </c>
      <c r="BF37" s="53"/>
      <c r="BG37" s="53">
        <v>0</v>
      </c>
      <c r="BH37" s="53"/>
      <c r="BI37" s="53">
        <f>47694+44711+327702</f>
        <v>420107</v>
      </c>
      <c r="BJ37" s="53"/>
      <c r="BK37" s="53">
        <f>7022+5327</f>
        <v>12349</v>
      </c>
      <c r="BL37" s="53"/>
      <c r="BM37" s="53">
        <f t="shared" si="13"/>
        <v>432456</v>
      </c>
      <c r="BN37" s="53">
        <f>SUM(BF37:BL37)</f>
        <v>432456</v>
      </c>
      <c r="BR37" s="65"/>
      <c r="BS37" s="53"/>
      <c r="BT37" s="53"/>
      <c r="BU37" s="53"/>
      <c r="BV37" s="53"/>
      <c r="BW37" s="53"/>
      <c r="BX37" s="45"/>
      <c r="BY37" s="45"/>
      <c r="BZ37" s="53"/>
      <c r="CA37" s="53"/>
      <c r="CB37" s="53"/>
      <c r="CC37" s="53"/>
      <c r="CD37" s="53"/>
      <c r="CE37" s="53"/>
      <c r="CF37" s="35"/>
      <c r="CH37" s="35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4"/>
    </row>
    <row r="38" spans="1:97" s="55" customFormat="1" ht="12.75" hidden="1" customHeight="1">
      <c r="A38" s="35" t="s">
        <v>52</v>
      </c>
      <c r="B38" s="65"/>
      <c r="C38" s="35" t="s">
        <v>53</v>
      </c>
      <c r="D38" s="44"/>
      <c r="E38" s="53">
        <f t="shared" si="14"/>
        <v>0</v>
      </c>
      <c r="F38" s="53"/>
      <c r="G38" s="53">
        <v>0</v>
      </c>
      <c r="H38" s="53"/>
      <c r="I38" s="53">
        <v>0</v>
      </c>
      <c r="J38" s="53"/>
      <c r="K38" s="53">
        <f t="shared" si="8"/>
        <v>0</v>
      </c>
      <c r="L38" s="53"/>
      <c r="M38" s="53">
        <v>0</v>
      </c>
      <c r="N38" s="53"/>
      <c r="O38" s="53">
        <v>0</v>
      </c>
      <c r="P38" s="53"/>
      <c r="Q38" s="53">
        <v>0</v>
      </c>
      <c r="R38" s="53"/>
      <c r="S38" s="53">
        <v>0</v>
      </c>
      <c r="T38" s="53"/>
      <c r="U38" s="53">
        <v>0</v>
      </c>
      <c r="V38" s="53"/>
      <c r="W38" s="53">
        <f t="shared" si="9"/>
        <v>0</v>
      </c>
      <c r="X38" s="53"/>
      <c r="Y38" s="35" t="s">
        <v>52</v>
      </c>
      <c r="AA38" s="35" t="s">
        <v>53</v>
      </c>
      <c r="AB38" s="35"/>
      <c r="AC38" s="53">
        <v>0</v>
      </c>
      <c r="AD38" s="53"/>
      <c r="AE38" s="53">
        <v>0</v>
      </c>
      <c r="AF38" s="53"/>
      <c r="AG38" s="53">
        <v>0</v>
      </c>
      <c r="AH38" s="53"/>
      <c r="AI38" s="45">
        <f t="shared" si="10"/>
        <v>0</v>
      </c>
      <c r="AJ38" s="45"/>
      <c r="AK38" s="53">
        <v>0</v>
      </c>
      <c r="AL38" s="45"/>
      <c r="AM38" s="53">
        <v>0</v>
      </c>
      <c r="AN38" s="53"/>
      <c r="AO38" s="53">
        <v>0</v>
      </c>
      <c r="AP38" s="53"/>
      <c r="AQ38" s="53">
        <v>0</v>
      </c>
      <c r="AR38" s="53"/>
      <c r="AS38" s="45">
        <f t="shared" si="11"/>
        <v>0</v>
      </c>
      <c r="AT38" s="45"/>
      <c r="AU38" s="53">
        <v>0</v>
      </c>
      <c r="AV38" s="53"/>
      <c r="AW38" s="53">
        <v>0</v>
      </c>
      <c r="AX38" s="53"/>
      <c r="AY38" s="53">
        <f t="shared" si="12"/>
        <v>0</v>
      </c>
      <c r="AZ38" s="53"/>
      <c r="BA38" s="35" t="s">
        <v>52</v>
      </c>
      <c r="BC38" s="35" t="s">
        <v>53</v>
      </c>
      <c r="BD38" s="53"/>
      <c r="BE38" s="53">
        <v>0</v>
      </c>
      <c r="BF38" s="53"/>
      <c r="BG38" s="53">
        <v>0</v>
      </c>
      <c r="BH38" s="53"/>
      <c r="BI38" s="53">
        <v>0</v>
      </c>
      <c r="BJ38" s="53"/>
      <c r="BK38" s="53">
        <v>0</v>
      </c>
      <c r="BL38" s="53"/>
      <c r="BM38" s="53">
        <f t="shared" si="13"/>
        <v>0</v>
      </c>
      <c r="BN38" s="54" t="s">
        <v>347</v>
      </c>
      <c r="BR38" s="65"/>
      <c r="BS38" s="53"/>
      <c r="BT38" s="53"/>
      <c r="BU38" s="53"/>
      <c r="BV38" s="53"/>
      <c r="BW38" s="53"/>
      <c r="BX38" s="45"/>
      <c r="BY38" s="45"/>
      <c r="BZ38" s="53"/>
      <c r="CA38" s="53"/>
      <c r="CB38" s="53"/>
      <c r="CC38" s="53"/>
      <c r="CD38" s="53"/>
      <c r="CE38" s="53"/>
      <c r="CF38" s="35"/>
      <c r="CH38" s="35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4"/>
    </row>
    <row r="39" spans="1:97" s="55" customFormat="1" ht="12.75" customHeight="1">
      <c r="A39" s="35" t="s">
        <v>54</v>
      </c>
      <c r="B39" s="65"/>
      <c r="C39" s="35" t="s">
        <v>55</v>
      </c>
      <c r="D39" s="44"/>
      <c r="E39" s="53">
        <f t="shared" si="14"/>
        <v>1069956</v>
      </c>
      <c r="F39" s="53"/>
      <c r="G39" s="53">
        <v>12596992</v>
      </c>
      <c r="H39" s="53"/>
      <c r="I39" s="53">
        <v>13666948</v>
      </c>
      <c r="J39" s="53"/>
      <c r="K39" s="53">
        <f t="shared" si="8"/>
        <v>166263</v>
      </c>
      <c r="L39" s="53"/>
      <c r="M39" s="53">
        <v>574271</v>
      </c>
      <c r="N39" s="53"/>
      <c r="O39" s="53">
        <v>740534</v>
      </c>
      <c r="P39" s="53"/>
      <c r="Q39" s="53">
        <v>11983204</v>
      </c>
      <c r="R39" s="53"/>
      <c r="S39" s="53">
        <v>0</v>
      </c>
      <c r="T39" s="53"/>
      <c r="U39" s="53">
        <v>943210</v>
      </c>
      <c r="V39" s="53"/>
      <c r="W39" s="53">
        <f t="shared" si="9"/>
        <v>12926414</v>
      </c>
      <c r="X39" s="53"/>
      <c r="Y39" s="35" t="s">
        <v>54</v>
      </c>
      <c r="AA39" s="35" t="s">
        <v>55</v>
      </c>
      <c r="AB39" s="35"/>
      <c r="AC39" s="53">
        <v>790632</v>
      </c>
      <c r="AD39" s="53"/>
      <c r="AE39" s="53">
        <f>1378518-469196</f>
        <v>909322</v>
      </c>
      <c r="AF39" s="53"/>
      <c r="AG39" s="53">
        <v>469196</v>
      </c>
      <c r="AH39" s="53"/>
      <c r="AI39" s="45">
        <f t="shared" si="10"/>
        <v>-587886</v>
      </c>
      <c r="AJ39" s="45"/>
      <c r="AK39" s="53">
        <v>-8419</v>
      </c>
      <c r="AL39" s="45"/>
      <c r="AM39" s="53">
        <v>475117</v>
      </c>
      <c r="AN39" s="53"/>
      <c r="AO39" s="53">
        <v>0</v>
      </c>
      <c r="AP39" s="53"/>
      <c r="AQ39" s="53">
        <v>915193</v>
      </c>
      <c r="AR39" s="53"/>
      <c r="AS39" s="45">
        <f t="shared" si="11"/>
        <v>794005</v>
      </c>
      <c r="AT39" s="45"/>
      <c r="AU39" s="53">
        <v>0</v>
      </c>
      <c r="AV39" s="53"/>
      <c r="AW39" s="53">
        <v>0</v>
      </c>
      <c r="AX39" s="53"/>
      <c r="AY39" s="53">
        <f t="shared" si="12"/>
        <v>903693</v>
      </c>
      <c r="AZ39" s="53"/>
      <c r="BA39" s="35" t="s">
        <v>54</v>
      </c>
      <c r="BC39" s="35" t="s">
        <v>55</v>
      </c>
      <c r="BD39" s="53"/>
      <c r="BE39" s="53">
        <v>1750</v>
      </c>
      <c r="BF39" s="53"/>
      <c r="BG39" s="53">
        <v>0</v>
      </c>
      <c r="BH39" s="53"/>
      <c r="BI39" s="53">
        <f>120461+491577</f>
        <v>612038</v>
      </c>
      <c r="BJ39" s="53"/>
      <c r="BK39" s="53">
        <f>80944+20780</f>
        <v>101724</v>
      </c>
      <c r="BL39" s="53"/>
      <c r="BM39" s="53">
        <f t="shared" si="13"/>
        <v>715512</v>
      </c>
      <c r="BN39" s="54" t="s">
        <v>347</v>
      </c>
      <c r="BR39" s="65"/>
      <c r="BS39" s="53"/>
      <c r="BT39" s="53"/>
      <c r="BU39" s="53"/>
      <c r="BV39" s="53"/>
      <c r="BW39" s="53"/>
      <c r="BX39" s="45"/>
      <c r="BY39" s="45"/>
      <c r="BZ39" s="53"/>
      <c r="CA39" s="53"/>
      <c r="CB39" s="53"/>
      <c r="CC39" s="53"/>
      <c r="CD39" s="53"/>
      <c r="CE39" s="53"/>
      <c r="CF39" s="35"/>
      <c r="CH39" s="35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4"/>
    </row>
    <row r="40" spans="1:97" s="55" customFormat="1" ht="12.75" customHeight="1">
      <c r="A40" s="35" t="s">
        <v>56</v>
      </c>
      <c r="B40" s="65"/>
      <c r="C40" s="35" t="s">
        <v>57</v>
      </c>
      <c r="D40" s="44"/>
      <c r="E40" s="53">
        <f t="shared" si="14"/>
        <v>385661</v>
      </c>
      <c r="F40" s="53"/>
      <c r="G40" s="53">
        <v>5770723</v>
      </c>
      <c r="H40" s="53"/>
      <c r="I40" s="53">
        <v>6156384</v>
      </c>
      <c r="J40" s="53"/>
      <c r="K40" s="53">
        <f t="shared" si="8"/>
        <v>755823</v>
      </c>
      <c r="L40" s="53"/>
      <c r="M40" s="53">
        <v>3868790</v>
      </c>
      <c r="N40" s="53"/>
      <c r="O40" s="53">
        <v>4624613</v>
      </c>
      <c r="P40" s="53"/>
      <c r="Q40" s="53">
        <v>1325247</v>
      </c>
      <c r="R40" s="53"/>
      <c r="S40" s="53">
        <v>0</v>
      </c>
      <c r="T40" s="53"/>
      <c r="U40" s="53">
        <v>206524</v>
      </c>
      <c r="V40" s="53"/>
      <c r="W40" s="53">
        <f t="shared" si="9"/>
        <v>1531771</v>
      </c>
      <c r="X40" s="53"/>
      <c r="Y40" s="35" t="s">
        <v>56</v>
      </c>
      <c r="AA40" s="35" t="s">
        <v>57</v>
      </c>
      <c r="AB40" s="35"/>
      <c r="AC40" s="53">
        <v>1715750</v>
      </c>
      <c r="AD40" s="53"/>
      <c r="AE40" s="53">
        <f>1361226-418633</f>
        <v>942593</v>
      </c>
      <c r="AF40" s="53"/>
      <c r="AG40" s="53">
        <v>418633</v>
      </c>
      <c r="AH40" s="53"/>
      <c r="AI40" s="45">
        <f t="shared" si="10"/>
        <v>354524</v>
      </c>
      <c r="AJ40" s="45"/>
      <c r="AK40" s="53">
        <v>-290927</v>
      </c>
      <c r="AL40" s="45"/>
      <c r="AM40" s="53">
        <v>0</v>
      </c>
      <c r="AN40" s="53"/>
      <c r="AO40" s="53">
        <v>3400</v>
      </c>
      <c r="AP40" s="53"/>
      <c r="AQ40" s="53">
        <v>11466</v>
      </c>
      <c r="AR40" s="53"/>
      <c r="AS40" s="45">
        <f t="shared" si="11"/>
        <v>71663</v>
      </c>
      <c r="AT40" s="45"/>
      <c r="AU40" s="53">
        <v>0</v>
      </c>
      <c r="AV40" s="53"/>
      <c r="AW40" s="53">
        <v>0</v>
      </c>
      <c r="AX40" s="53"/>
      <c r="AY40" s="53">
        <f t="shared" si="12"/>
        <v>-370162</v>
      </c>
      <c r="AZ40" s="53"/>
      <c r="BA40" s="35" t="s">
        <v>56</v>
      </c>
      <c r="BC40" s="35" t="s">
        <v>57</v>
      </c>
      <c r="BD40" s="53"/>
      <c r="BE40" s="53">
        <f>295000+375841</f>
        <v>670841</v>
      </c>
      <c r="BF40" s="53"/>
      <c r="BG40" s="53">
        <v>0</v>
      </c>
      <c r="BH40" s="53"/>
      <c r="BI40" s="53">
        <f>276053+3458582</f>
        <v>3734635</v>
      </c>
      <c r="BJ40" s="53"/>
      <c r="BK40" s="53">
        <f>6466+34367</f>
        <v>40833</v>
      </c>
      <c r="BL40" s="53"/>
      <c r="BM40" s="53">
        <f t="shared" si="13"/>
        <v>4446309</v>
      </c>
      <c r="BN40" s="54" t="s">
        <v>347</v>
      </c>
      <c r="BO40" s="55" t="s">
        <v>404</v>
      </c>
      <c r="BR40" s="65"/>
      <c r="BS40" s="53"/>
      <c r="BT40" s="53"/>
      <c r="BU40" s="53"/>
      <c r="BV40" s="53"/>
      <c r="BW40" s="53"/>
      <c r="BX40" s="45"/>
      <c r="BY40" s="45"/>
      <c r="BZ40" s="53"/>
      <c r="CA40" s="53"/>
      <c r="CB40" s="53"/>
      <c r="CC40" s="53"/>
      <c r="CD40" s="53"/>
      <c r="CE40" s="53"/>
      <c r="CF40" s="35"/>
      <c r="CH40" s="35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4"/>
    </row>
    <row r="41" spans="1:97" s="55" customFormat="1" ht="12.75" hidden="1" customHeight="1">
      <c r="A41" s="35" t="s">
        <v>58</v>
      </c>
      <c r="B41" s="65"/>
      <c r="C41" s="35" t="s">
        <v>59</v>
      </c>
      <c r="D41" s="44"/>
      <c r="E41" s="53">
        <f t="shared" si="14"/>
        <v>0</v>
      </c>
      <c r="F41" s="53"/>
      <c r="G41" s="53">
        <v>0</v>
      </c>
      <c r="H41" s="53"/>
      <c r="I41" s="53">
        <v>0</v>
      </c>
      <c r="J41" s="53"/>
      <c r="K41" s="53">
        <f>O41-M41</f>
        <v>0</v>
      </c>
      <c r="L41" s="53"/>
      <c r="M41" s="53">
        <v>0</v>
      </c>
      <c r="N41" s="53"/>
      <c r="O41" s="53">
        <v>0</v>
      </c>
      <c r="P41" s="53"/>
      <c r="Q41" s="53">
        <v>0</v>
      </c>
      <c r="R41" s="53"/>
      <c r="S41" s="53">
        <v>0</v>
      </c>
      <c r="T41" s="53"/>
      <c r="U41" s="53">
        <v>0</v>
      </c>
      <c r="V41" s="53"/>
      <c r="W41" s="53">
        <f t="shared" si="9"/>
        <v>0</v>
      </c>
      <c r="X41" s="53"/>
      <c r="Y41" s="35" t="s">
        <v>58</v>
      </c>
      <c r="AA41" s="35" t="s">
        <v>59</v>
      </c>
      <c r="AB41" s="35"/>
      <c r="AC41" s="53">
        <v>0</v>
      </c>
      <c r="AD41" s="53"/>
      <c r="AE41" s="53">
        <v>0</v>
      </c>
      <c r="AF41" s="53"/>
      <c r="AG41" s="53">
        <v>0</v>
      </c>
      <c r="AH41" s="53"/>
      <c r="AI41" s="45">
        <f>+AC41-AE41-AG41</f>
        <v>0</v>
      </c>
      <c r="AJ41" s="45"/>
      <c r="AK41" s="53">
        <v>0</v>
      </c>
      <c r="AL41" s="45"/>
      <c r="AM41" s="53">
        <v>0</v>
      </c>
      <c r="AN41" s="53"/>
      <c r="AO41" s="53">
        <v>0</v>
      </c>
      <c r="AP41" s="53"/>
      <c r="AQ41" s="53">
        <v>0</v>
      </c>
      <c r="AR41" s="53"/>
      <c r="AS41" s="45">
        <f t="shared" si="11"/>
        <v>0</v>
      </c>
      <c r="AT41" s="45"/>
      <c r="AU41" s="53">
        <v>0</v>
      </c>
      <c r="AV41" s="53"/>
      <c r="AW41" s="53">
        <v>0</v>
      </c>
      <c r="AX41" s="53"/>
      <c r="AY41" s="53">
        <f>+E41-K41</f>
        <v>0</v>
      </c>
      <c r="AZ41" s="53"/>
      <c r="BA41" s="35" t="s">
        <v>58</v>
      </c>
      <c r="BC41" s="35" t="s">
        <v>59</v>
      </c>
      <c r="BD41" s="53"/>
      <c r="BE41" s="53">
        <v>0</v>
      </c>
      <c r="BF41" s="53"/>
      <c r="BG41" s="53">
        <v>0</v>
      </c>
      <c r="BH41" s="53"/>
      <c r="BI41" s="53">
        <v>0</v>
      </c>
      <c r="BJ41" s="53"/>
      <c r="BK41" s="53">
        <v>0</v>
      </c>
      <c r="BL41" s="53"/>
      <c r="BM41" s="53">
        <f t="shared" si="13"/>
        <v>0</v>
      </c>
      <c r="BN41" s="54" t="s">
        <v>347</v>
      </c>
      <c r="BR41" s="65"/>
      <c r="BS41" s="53"/>
      <c r="BT41" s="53"/>
      <c r="BU41" s="53"/>
      <c r="BV41" s="53"/>
      <c r="BW41" s="53"/>
      <c r="BX41" s="45"/>
      <c r="BY41" s="45"/>
      <c r="BZ41" s="53"/>
      <c r="CA41" s="53"/>
      <c r="CB41" s="53"/>
      <c r="CC41" s="53"/>
      <c r="CD41" s="53"/>
      <c r="CE41" s="53"/>
      <c r="CF41" s="35"/>
      <c r="CH41" s="35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4"/>
    </row>
    <row r="42" spans="1:97" s="55" customFormat="1" ht="12.75" customHeight="1">
      <c r="A42" s="44" t="s">
        <v>476</v>
      </c>
      <c r="B42" s="65"/>
      <c r="C42" s="35" t="s">
        <v>15</v>
      </c>
      <c r="D42" s="44"/>
      <c r="E42" s="53">
        <f t="shared" si="14"/>
        <v>851679</v>
      </c>
      <c r="F42" s="53"/>
      <c r="G42" s="53">
        <v>4182661</v>
      </c>
      <c r="H42" s="53"/>
      <c r="I42" s="53">
        <v>5034340</v>
      </c>
      <c r="J42" s="53"/>
      <c r="K42" s="53">
        <f t="shared" si="8"/>
        <v>81300</v>
      </c>
      <c r="L42" s="53"/>
      <c r="M42" s="53">
        <v>587681</v>
      </c>
      <c r="N42" s="53"/>
      <c r="O42" s="53">
        <v>668981</v>
      </c>
      <c r="P42" s="53"/>
      <c r="Q42" s="53">
        <v>3583799</v>
      </c>
      <c r="R42" s="53"/>
      <c r="S42" s="53">
        <v>0</v>
      </c>
      <c r="T42" s="53"/>
      <c r="U42" s="53">
        <v>781560</v>
      </c>
      <c r="V42" s="53"/>
      <c r="W42" s="53">
        <f t="shared" ref="W42:W50" si="15">SUM(Q42:U42)</f>
        <v>4365359</v>
      </c>
      <c r="X42" s="53"/>
      <c r="Y42" s="44" t="s">
        <v>476</v>
      </c>
      <c r="AA42" s="35" t="s">
        <v>15</v>
      </c>
      <c r="AB42" s="35"/>
      <c r="AC42" s="53">
        <v>749691</v>
      </c>
      <c r="AD42" s="53"/>
      <c r="AE42" s="53">
        <f>81371-149297</f>
        <v>-67926</v>
      </c>
      <c r="AF42" s="53"/>
      <c r="AG42" s="53">
        <v>149297</v>
      </c>
      <c r="AH42" s="53"/>
      <c r="AI42" s="45">
        <f t="shared" si="10"/>
        <v>668320</v>
      </c>
      <c r="AJ42" s="45"/>
      <c r="AK42" s="53">
        <v>-43861</v>
      </c>
      <c r="AL42" s="45"/>
      <c r="AM42" s="53">
        <v>0</v>
      </c>
      <c r="AN42" s="53"/>
      <c r="AO42" s="53">
        <v>0</v>
      </c>
      <c r="AP42" s="53"/>
      <c r="AQ42" s="53">
        <v>0</v>
      </c>
      <c r="AR42" s="53"/>
      <c r="AS42" s="45">
        <f t="shared" si="11"/>
        <v>624459</v>
      </c>
      <c r="AT42" s="45"/>
      <c r="AU42" s="53">
        <v>0</v>
      </c>
      <c r="AV42" s="53"/>
      <c r="AW42" s="53">
        <v>0</v>
      </c>
      <c r="AX42" s="53"/>
      <c r="AY42" s="53">
        <f t="shared" si="12"/>
        <v>770379</v>
      </c>
      <c r="AZ42" s="53"/>
      <c r="BA42" s="44" t="s">
        <v>476</v>
      </c>
      <c r="BC42" s="35" t="s">
        <v>15</v>
      </c>
      <c r="BD42" s="53"/>
      <c r="BE42" s="53">
        <v>0</v>
      </c>
      <c r="BF42" s="53"/>
      <c r="BG42" s="53">
        <v>0</v>
      </c>
      <c r="BH42" s="53"/>
      <c r="BI42" s="53">
        <f>39665+559197</f>
        <v>598862</v>
      </c>
      <c r="BJ42" s="53"/>
      <c r="BK42" s="53">
        <v>28484</v>
      </c>
      <c r="BL42" s="53"/>
      <c r="BM42" s="53">
        <f t="shared" si="13"/>
        <v>627346</v>
      </c>
      <c r="BN42" s="54" t="s">
        <v>347</v>
      </c>
      <c r="BR42" s="65"/>
      <c r="BS42" s="53"/>
      <c r="BT42" s="53"/>
      <c r="BU42" s="53"/>
      <c r="BV42" s="53"/>
      <c r="BW42" s="45"/>
      <c r="BX42" s="45"/>
      <c r="BY42" s="53"/>
      <c r="BZ42" s="53"/>
      <c r="CA42" s="53"/>
      <c r="CB42" s="53"/>
      <c r="CC42" s="53"/>
      <c r="CD42" s="53"/>
      <c r="CE42" s="53"/>
      <c r="CF42" s="35"/>
      <c r="CH42" s="35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4"/>
    </row>
    <row r="43" spans="1:97" s="55" customFormat="1" ht="12.75" customHeight="1">
      <c r="A43" s="35" t="s">
        <v>60</v>
      </c>
      <c r="C43" s="35" t="s">
        <v>61</v>
      </c>
      <c r="D43" s="44"/>
      <c r="E43" s="53">
        <f t="shared" si="14"/>
        <v>1478010</v>
      </c>
      <c r="F43" s="53"/>
      <c r="G43" s="53">
        <v>3855845</v>
      </c>
      <c r="H43" s="53"/>
      <c r="I43" s="53">
        <v>5333855</v>
      </c>
      <c r="J43" s="53"/>
      <c r="K43" s="53">
        <f>O43-M43</f>
        <v>55984</v>
      </c>
      <c r="L43" s="53"/>
      <c r="M43" s="53">
        <v>490129</v>
      </c>
      <c r="N43" s="53"/>
      <c r="O43" s="53">
        <v>546113</v>
      </c>
      <c r="P43" s="53"/>
      <c r="Q43" s="53">
        <v>3324550</v>
      </c>
      <c r="R43" s="53"/>
      <c r="S43" s="53">
        <v>0</v>
      </c>
      <c r="T43" s="53"/>
      <c r="U43" s="53">
        <v>1463192</v>
      </c>
      <c r="V43" s="53"/>
      <c r="W43" s="53">
        <f>SUM(Q43:U43)</f>
        <v>4787742</v>
      </c>
      <c r="X43" s="53"/>
      <c r="Y43" s="35" t="s">
        <v>60</v>
      </c>
      <c r="AA43" s="35" t="s">
        <v>61</v>
      </c>
      <c r="AB43" s="35"/>
      <c r="AC43" s="53">
        <v>1435624</v>
      </c>
      <c r="AD43" s="53"/>
      <c r="AE43" s="53">
        <f>1176334-131551</f>
        <v>1044783</v>
      </c>
      <c r="AF43" s="53"/>
      <c r="AG43" s="53">
        <v>131551</v>
      </c>
      <c r="AH43" s="53"/>
      <c r="AI43" s="45">
        <f>+AC43-AE43-AG43</f>
        <v>259290</v>
      </c>
      <c r="AJ43" s="45"/>
      <c r="AK43" s="53">
        <v>-10650</v>
      </c>
      <c r="AL43" s="45"/>
      <c r="AM43" s="53">
        <v>207361</v>
      </c>
      <c r="AN43" s="53"/>
      <c r="AO43" s="53">
        <v>207361</v>
      </c>
      <c r="AP43" s="53"/>
      <c r="AQ43" s="53">
        <v>0</v>
      </c>
      <c r="AR43" s="53"/>
      <c r="AS43" s="45">
        <f t="shared" si="11"/>
        <v>248640</v>
      </c>
      <c r="AT43" s="45"/>
      <c r="AU43" s="53">
        <v>0</v>
      </c>
      <c r="AV43" s="53"/>
      <c r="AW43" s="53">
        <v>0</v>
      </c>
      <c r="AX43" s="53"/>
      <c r="AY43" s="53">
        <f>+E43-K43</f>
        <v>1422026</v>
      </c>
      <c r="AZ43" s="53"/>
      <c r="BA43" s="35" t="s">
        <v>60</v>
      </c>
      <c r="BC43" s="35" t="s">
        <v>61</v>
      </c>
      <c r="BD43" s="53"/>
      <c r="BE43" s="53">
        <v>0</v>
      </c>
      <c r="BF43" s="53"/>
      <c r="BG43" s="53">
        <v>0</v>
      </c>
      <c r="BH43" s="53"/>
      <c r="BI43" s="53">
        <f>41166+490129</f>
        <v>531295</v>
      </c>
      <c r="BJ43" s="53"/>
      <c r="BK43" s="53">
        <v>0</v>
      </c>
      <c r="BL43" s="53"/>
      <c r="BM43" s="53">
        <f t="shared" ref="BM43" si="16">SUM(BE43:BK43)</f>
        <v>531295</v>
      </c>
      <c r="BN43" s="54" t="s">
        <v>347</v>
      </c>
      <c r="BR43" s="65"/>
      <c r="BS43" s="53"/>
      <c r="BT43" s="53"/>
      <c r="BU43" s="53"/>
      <c r="BV43" s="53"/>
      <c r="BW43" s="53"/>
      <c r="BX43" s="45"/>
      <c r="BY43" s="45"/>
      <c r="BZ43" s="53"/>
      <c r="CA43" s="53"/>
      <c r="CB43" s="53"/>
      <c r="CC43" s="53"/>
      <c r="CD43" s="53"/>
      <c r="CE43" s="53"/>
      <c r="CF43" s="35"/>
      <c r="CH43" s="35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4"/>
    </row>
    <row r="44" spans="1:97" s="55" customFormat="1" ht="12.75" customHeight="1">
      <c r="A44" s="44" t="s">
        <v>62</v>
      </c>
      <c r="B44" s="65"/>
      <c r="C44" s="35" t="s">
        <v>15</v>
      </c>
      <c r="D44" s="44"/>
      <c r="E44" s="53">
        <f t="shared" si="14"/>
        <v>11097385</v>
      </c>
      <c r="F44" s="53"/>
      <c r="G44" s="53">
        <v>45845592</v>
      </c>
      <c r="H44" s="53"/>
      <c r="I44" s="53">
        <v>56942977</v>
      </c>
      <c r="J44" s="53"/>
      <c r="K44" s="53">
        <f t="shared" si="8"/>
        <v>1498322</v>
      </c>
      <c r="L44" s="53"/>
      <c r="M44" s="53">
        <v>9256037</v>
      </c>
      <c r="N44" s="53"/>
      <c r="O44" s="53">
        <v>10754359</v>
      </c>
      <c r="P44" s="53"/>
      <c r="Q44" s="53">
        <v>35608646</v>
      </c>
      <c r="R44" s="53"/>
      <c r="S44" s="53">
        <v>0</v>
      </c>
      <c r="T44" s="53"/>
      <c r="U44" s="53">
        <v>10579972</v>
      </c>
      <c r="V44" s="53"/>
      <c r="W44" s="53">
        <f t="shared" si="15"/>
        <v>46188618</v>
      </c>
      <c r="X44" s="53"/>
      <c r="Y44" s="44" t="s">
        <v>62</v>
      </c>
      <c r="AA44" s="35" t="s">
        <v>15</v>
      </c>
      <c r="AB44" s="35"/>
      <c r="AC44" s="53">
        <v>11713312</v>
      </c>
      <c r="AD44" s="53"/>
      <c r="AE44" s="53">
        <f>11263984-2496055</f>
        <v>8767929</v>
      </c>
      <c r="AF44" s="53"/>
      <c r="AG44" s="53">
        <v>2496055</v>
      </c>
      <c r="AH44" s="53"/>
      <c r="AI44" s="45">
        <f t="shared" si="10"/>
        <v>449328</v>
      </c>
      <c r="AJ44" s="45"/>
      <c r="AK44" s="53">
        <v>-320174</v>
      </c>
      <c r="AL44" s="45"/>
      <c r="AM44" s="53">
        <v>0</v>
      </c>
      <c r="AN44" s="53"/>
      <c r="AO44" s="53">
        <v>0</v>
      </c>
      <c r="AP44" s="53"/>
      <c r="AQ44" s="53">
        <f>22262+1057953</f>
        <v>1080215</v>
      </c>
      <c r="AR44" s="53"/>
      <c r="AS44" s="45">
        <f t="shared" si="11"/>
        <v>1209369</v>
      </c>
      <c r="AT44" s="45"/>
      <c r="AU44" s="53">
        <v>0</v>
      </c>
      <c r="AV44" s="53"/>
      <c r="AW44" s="53">
        <v>0</v>
      </c>
      <c r="AX44" s="53"/>
      <c r="AY44" s="53">
        <f t="shared" si="12"/>
        <v>9599063</v>
      </c>
      <c r="AZ44" s="53"/>
      <c r="BA44" s="44" t="s">
        <v>62</v>
      </c>
      <c r="BC44" s="35" t="s">
        <v>15</v>
      </c>
      <c r="BD44" s="53"/>
      <c r="BE44" s="53">
        <v>1600258</v>
      </c>
      <c r="BF44" s="53"/>
      <c r="BG44" s="53">
        <v>0</v>
      </c>
      <c r="BH44" s="53"/>
      <c r="BI44" s="53">
        <f>8054653+497536</f>
        <v>8552189</v>
      </c>
      <c r="BJ44" s="53"/>
      <c r="BK44" s="53">
        <f>1303742/2+12113.5</f>
        <v>663984.5</v>
      </c>
      <c r="BL44" s="53"/>
      <c r="BM44" s="53">
        <f t="shared" si="13"/>
        <v>10816431.5</v>
      </c>
      <c r="BN44" s="54" t="s">
        <v>347</v>
      </c>
      <c r="BR44" s="65"/>
      <c r="BS44" s="53"/>
      <c r="BT44" s="53"/>
      <c r="BU44" s="53"/>
      <c r="BV44" s="53"/>
      <c r="BW44" s="45"/>
      <c r="BX44" s="45"/>
      <c r="BY44" s="53"/>
      <c r="BZ44" s="53"/>
      <c r="CA44" s="53"/>
      <c r="CB44" s="53"/>
      <c r="CC44" s="53"/>
      <c r="CD44" s="53"/>
      <c r="CE44" s="53"/>
      <c r="CF44" s="35"/>
      <c r="CH44" s="35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4"/>
    </row>
    <row r="45" spans="1:97" s="55" customFormat="1" ht="12.75" customHeight="1">
      <c r="A45" s="35" t="s">
        <v>485</v>
      </c>
      <c r="B45" s="65"/>
      <c r="C45" s="35" t="s">
        <v>111</v>
      </c>
      <c r="D45" s="44"/>
      <c r="E45" s="53">
        <f t="shared" si="14"/>
        <v>1451259</v>
      </c>
      <c r="F45" s="53"/>
      <c r="G45" s="53">
        <v>4043179</v>
      </c>
      <c r="H45" s="53"/>
      <c r="I45" s="53">
        <v>5494438</v>
      </c>
      <c r="J45" s="53"/>
      <c r="K45" s="53">
        <f>O45-M45</f>
        <v>85412</v>
      </c>
      <c r="L45" s="53"/>
      <c r="M45" s="53">
        <v>915</v>
      </c>
      <c r="N45" s="53"/>
      <c r="O45" s="53">
        <v>86327</v>
      </c>
      <c r="P45" s="53"/>
      <c r="Q45" s="53">
        <v>4043179</v>
      </c>
      <c r="R45" s="53"/>
      <c r="S45" s="53">
        <v>0</v>
      </c>
      <c r="T45" s="53"/>
      <c r="U45" s="53">
        <v>1364932</v>
      </c>
      <c r="V45" s="53"/>
      <c r="W45" s="53">
        <f>SUM(Q45:U45)</f>
        <v>5408111</v>
      </c>
      <c r="X45" s="53"/>
      <c r="Y45" s="35" t="s">
        <v>485</v>
      </c>
      <c r="AA45" s="35" t="s">
        <v>111</v>
      </c>
      <c r="AB45" s="35"/>
      <c r="AC45" s="53">
        <v>1436126</v>
      </c>
      <c r="AD45" s="53"/>
      <c r="AE45" s="53">
        <f>1528992-289657</f>
        <v>1239335</v>
      </c>
      <c r="AF45" s="53"/>
      <c r="AG45" s="53">
        <v>289657</v>
      </c>
      <c r="AH45" s="53"/>
      <c r="AI45" s="45">
        <f>+AC45-AE45-AG45</f>
        <v>-92866</v>
      </c>
      <c r="AJ45" s="45"/>
      <c r="AK45" s="53">
        <v>0</v>
      </c>
      <c r="AL45" s="45"/>
      <c r="AM45" s="53">
        <v>15338</v>
      </c>
      <c r="AN45" s="53"/>
      <c r="AO45" s="53">
        <v>0</v>
      </c>
      <c r="AP45" s="53"/>
      <c r="AQ45" s="53">
        <v>0</v>
      </c>
      <c r="AR45" s="53"/>
      <c r="AS45" s="45">
        <f t="shared" si="11"/>
        <v>-77528</v>
      </c>
      <c r="AT45" s="45"/>
      <c r="AU45" s="53">
        <v>0</v>
      </c>
      <c r="AV45" s="53"/>
      <c r="AW45" s="53">
        <v>0</v>
      </c>
      <c r="AX45" s="53"/>
      <c r="AY45" s="53">
        <f>+E45-K45</f>
        <v>1365847</v>
      </c>
      <c r="AZ45" s="53"/>
      <c r="BA45" s="35" t="s">
        <v>485</v>
      </c>
      <c r="BB45" s="65"/>
      <c r="BC45" s="35" t="s">
        <v>111</v>
      </c>
      <c r="BD45" s="53"/>
      <c r="BE45" s="53">
        <v>0</v>
      </c>
      <c r="BF45" s="53"/>
      <c r="BG45" s="53">
        <v>0</v>
      </c>
      <c r="BH45" s="53"/>
      <c r="BI45" s="53">
        <v>0</v>
      </c>
      <c r="BJ45" s="53"/>
      <c r="BK45" s="53">
        <f>2260+915</f>
        <v>3175</v>
      </c>
      <c r="BL45" s="53"/>
      <c r="BM45" s="53">
        <f t="shared" si="13"/>
        <v>3175</v>
      </c>
      <c r="BN45" s="54" t="s">
        <v>347</v>
      </c>
      <c r="BO45" s="55" t="s">
        <v>405</v>
      </c>
      <c r="BR45" s="65"/>
      <c r="BS45" s="53"/>
      <c r="BT45" s="53"/>
      <c r="BU45" s="53"/>
      <c r="BV45" s="53"/>
      <c r="BW45" s="45"/>
      <c r="BX45" s="45"/>
      <c r="BY45" s="53"/>
      <c r="BZ45" s="53"/>
      <c r="CA45" s="53"/>
      <c r="CB45" s="53"/>
      <c r="CC45" s="53"/>
      <c r="CD45" s="53"/>
      <c r="CE45" s="53"/>
      <c r="CF45" s="35"/>
      <c r="CH45" s="35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4"/>
    </row>
    <row r="46" spans="1:97" s="55" customFormat="1" ht="12.75" customHeight="1">
      <c r="A46" s="35" t="s">
        <v>63</v>
      </c>
      <c r="B46" s="65"/>
      <c r="C46" s="35" t="s">
        <v>64</v>
      </c>
      <c r="D46" s="44"/>
      <c r="E46" s="53">
        <f t="shared" si="14"/>
        <v>1493868</v>
      </c>
      <c r="F46" s="53"/>
      <c r="G46" s="53">
        <v>4869444</v>
      </c>
      <c r="H46" s="53"/>
      <c r="I46" s="53">
        <v>6363312</v>
      </c>
      <c r="J46" s="53"/>
      <c r="K46" s="53">
        <f t="shared" si="8"/>
        <v>625612</v>
      </c>
      <c r="L46" s="53"/>
      <c r="M46" s="53">
        <v>2840360</v>
      </c>
      <c r="N46" s="53"/>
      <c r="O46" s="53">
        <v>3465972</v>
      </c>
      <c r="P46" s="53"/>
      <c r="Q46" s="53">
        <v>1647292</v>
      </c>
      <c r="R46" s="53"/>
      <c r="S46" s="53">
        <f>47206+325363+486730</f>
        <v>859299</v>
      </c>
      <c r="T46" s="53"/>
      <c r="U46" s="53">
        <v>390749</v>
      </c>
      <c r="V46" s="53"/>
      <c r="W46" s="53">
        <f t="shared" si="15"/>
        <v>2897340</v>
      </c>
      <c r="X46" s="53"/>
      <c r="Y46" s="35" t="s">
        <v>63</v>
      </c>
      <c r="AA46" s="35" t="s">
        <v>64</v>
      </c>
      <c r="AB46" s="35"/>
      <c r="AC46" s="53">
        <v>1843440</v>
      </c>
      <c r="AD46" s="53"/>
      <c r="AE46" s="53">
        <f>1565781-326067</f>
        <v>1239714</v>
      </c>
      <c r="AF46" s="53"/>
      <c r="AG46" s="53">
        <v>326067</v>
      </c>
      <c r="AH46" s="53"/>
      <c r="AI46" s="45">
        <f t="shared" si="10"/>
        <v>277659</v>
      </c>
      <c r="AJ46" s="45"/>
      <c r="AK46" s="53">
        <v>-396571</v>
      </c>
      <c r="AL46" s="45"/>
      <c r="AM46" s="53">
        <v>0</v>
      </c>
      <c r="AN46" s="53"/>
      <c r="AO46" s="53">
        <v>0</v>
      </c>
      <c r="AP46" s="53"/>
      <c r="AQ46" s="53">
        <v>57121</v>
      </c>
      <c r="AR46" s="53"/>
      <c r="AS46" s="45">
        <f t="shared" si="11"/>
        <v>-61791</v>
      </c>
      <c r="AT46" s="45"/>
      <c r="AU46" s="53">
        <v>0</v>
      </c>
      <c r="AV46" s="53"/>
      <c r="AW46" s="53">
        <v>0</v>
      </c>
      <c r="AX46" s="53"/>
      <c r="AY46" s="53">
        <f t="shared" si="12"/>
        <v>868256</v>
      </c>
      <c r="AZ46" s="53"/>
      <c r="BA46" s="35" t="s">
        <v>63</v>
      </c>
      <c r="BC46" s="35" t="s">
        <v>64</v>
      </c>
      <c r="BD46" s="53"/>
      <c r="BE46" s="53">
        <f>105000+920282</f>
        <v>1025282</v>
      </c>
      <c r="BF46" s="53"/>
      <c r="BG46" s="53">
        <f>300000+1896870</f>
        <v>2196870</v>
      </c>
      <c r="BH46" s="53"/>
      <c r="BI46" s="53">
        <v>0</v>
      </c>
      <c r="BJ46" s="53"/>
      <c r="BK46" s="53">
        <v>23208</v>
      </c>
      <c r="BL46" s="53"/>
      <c r="BM46" s="53">
        <f t="shared" si="13"/>
        <v>3245360</v>
      </c>
      <c r="BN46" s="54" t="s">
        <v>347</v>
      </c>
      <c r="BO46" s="55" t="s">
        <v>405</v>
      </c>
      <c r="BR46" s="65"/>
      <c r="BS46" s="53"/>
      <c r="BT46" s="53"/>
      <c r="BU46" s="53"/>
      <c r="BV46" s="53"/>
      <c r="BW46" s="45"/>
      <c r="BX46" s="45"/>
      <c r="BY46" s="53"/>
      <c r="BZ46" s="53"/>
      <c r="CA46" s="53"/>
      <c r="CB46" s="53"/>
      <c r="CC46" s="53"/>
      <c r="CD46" s="53"/>
      <c r="CE46" s="53"/>
      <c r="CF46" s="35"/>
      <c r="CH46" s="35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4"/>
    </row>
    <row r="47" spans="1:97" s="55" customFormat="1" ht="12.75" hidden="1" customHeight="1">
      <c r="A47" s="35" t="s">
        <v>65</v>
      </c>
      <c r="B47" s="65"/>
      <c r="C47" s="35" t="s">
        <v>66</v>
      </c>
      <c r="D47" s="44"/>
      <c r="E47" s="53">
        <f t="shared" si="14"/>
        <v>0</v>
      </c>
      <c r="F47" s="53"/>
      <c r="G47" s="53">
        <v>0</v>
      </c>
      <c r="H47" s="53"/>
      <c r="I47" s="53">
        <v>0</v>
      </c>
      <c r="J47" s="53"/>
      <c r="K47" s="53">
        <f t="shared" si="8"/>
        <v>0</v>
      </c>
      <c r="L47" s="53"/>
      <c r="M47" s="53">
        <v>0</v>
      </c>
      <c r="N47" s="53"/>
      <c r="O47" s="53">
        <v>0</v>
      </c>
      <c r="P47" s="53"/>
      <c r="Q47" s="53">
        <v>0</v>
      </c>
      <c r="R47" s="53"/>
      <c r="S47" s="53">
        <v>0</v>
      </c>
      <c r="T47" s="53"/>
      <c r="U47" s="53">
        <v>0</v>
      </c>
      <c r="V47" s="53"/>
      <c r="W47" s="53">
        <f t="shared" si="15"/>
        <v>0</v>
      </c>
      <c r="X47" s="53"/>
      <c r="Y47" s="35" t="s">
        <v>65</v>
      </c>
      <c r="AA47" s="35" t="s">
        <v>66</v>
      </c>
      <c r="AB47" s="35"/>
      <c r="AC47" s="53">
        <v>0</v>
      </c>
      <c r="AD47" s="53"/>
      <c r="AE47" s="53">
        <v>0</v>
      </c>
      <c r="AF47" s="53"/>
      <c r="AG47" s="53">
        <v>0</v>
      </c>
      <c r="AH47" s="53"/>
      <c r="AI47" s="45">
        <f t="shared" si="10"/>
        <v>0</v>
      </c>
      <c r="AJ47" s="45"/>
      <c r="AK47" s="53">
        <v>0</v>
      </c>
      <c r="AL47" s="45"/>
      <c r="AM47" s="53">
        <v>0</v>
      </c>
      <c r="AN47" s="53"/>
      <c r="AO47" s="53">
        <v>0</v>
      </c>
      <c r="AP47" s="53"/>
      <c r="AQ47" s="53">
        <v>0</v>
      </c>
      <c r="AR47" s="53"/>
      <c r="AS47" s="45">
        <f t="shared" si="11"/>
        <v>0</v>
      </c>
      <c r="AT47" s="45"/>
      <c r="AU47" s="53">
        <v>0</v>
      </c>
      <c r="AV47" s="53"/>
      <c r="AW47" s="53">
        <v>0</v>
      </c>
      <c r="AX47" s="53"/>
      <c r="AY47" s="53">
        <f t="shared" si="12"/>
        <v>0</v>
      </c>
      <c r="AZ47" s="53"/>
      <c r="BA47" s="35" t="s">
        <v>65</v>
      </c>
      <c r="BC47" s="35" t="s">
        <v>66</v>
      </c>
      <c r="BD47" s="53"/>
      <c r="BE47" s="53">
        <v>0</v>
      </c>
      <c r="BF47" s="53"/>
      <c r="BG47" s="53">
        <v>0</v>
      </c>
      <c r="BH47" s="53"/>
      <c r="BI47" s="53">
        <v>0</v>
      </c>
      <c r="BJ47" s="53"/>
      <c r="BK47" s="53">
        <v>0</v>
      </c>
      <c r="BL47" s="53"/>
      <c r="BM47" s="53">
        <f>SUM(BE47:BL47)</f>
        <v>0</v>
      </c>
      <c r="BN47" s="54" t="s">
        <v>347</v>
      </c>
      <c r="BR47" s="65"/>
      <c r="BS47" s="53"/>
      <c r="BT47" s="53"/>
      <c r="BU47" s="53"/>
      <c r="BV47" s="53"/>
      <c r="BW47" s="45"/>
      <c r="BX47" s="45"/>
      <c r="BY47" s="53"/>
      <c r="BZ47" s="53"/>
      <c r="CA47" s="53"/>
      <c r="CB47" s="53"/>
      <c r="CC47" s="53"/>
      <c r="CD47" s="53"/>
      <c r="CE47" s="53"/>
      <c r="CF47" s="35"/>
      <c r="CH47" s="35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4"/>
    </row>
    <row r="48" spans="1:97" s="55" customFormat="1" ht="12.75" customHeight="1">
      <c r="A48" s="35" t="s">
        <v>67</v>
      </c>
      <c r="B48" s="65"/>
      <c r="C48" s="35" t="s">
        <v>375</v>
      </c>
      <c r="D48" s="44"/>
      <c r="E48" s="53">
        <f t="shared" si="14"/>
        <v>1047928</v>
      </c>
      <c r="F48" s="53"/>
      <c r="G48" s="53">
        <v>17747836</v>
      </c>
      <c r="H48" s="53"/>
      <c r="I48" s="53">
        <v>18795764</v>
      </c>
      <c r="J48" s="53"/>
      <c r="K48" s="53">
        <f t="shared" si="8"/>
        <v>813161</v>
      </c>
      <c r="L48" s="53"/>
      <c r="M48" s="53">
        <v>10286548</v>
      </c>
      <c r="N48" s="53"/>
      <c r="O48" s="53">
        <v>11099709</v>
      </c>
      <c r="P48" s="53"/>
      <c r="Q48" s="53">
        <v>6770667</v>
      </c>
      <c r="R48" s="53"/>
      <c r="S48" s="53">
        <v>0</v>
      </c>
      <c r="T48" s="53"/>
      <c r="U48" s="53">
        <v>925388</v>
      </c>
      <c r="V48" s="53"/>
      <c r="W48" s="53">
        <f t="shared" si="15"/>
        <v>7696055</v>
      </c>
      <c r="X48" s="53"/>
      <c r="Y48" s="35" t="s">
        <v>67</v>
      </c>
      <c r="AA48" s="35" t="s">
        <v>375</v>
      </c>
      <c r="AB48" s="35"/>
      <c r="AC48" s="53">
        <v>1401639</v>
      </c>
      <c r="AD48" s="53"/>
      <c r="AE48" s="53">
        <f>1529560-502459</f>
        <v>1027101</v>
      </c>
      <c r="AF48" s="53"/>
      <c r="AG48" s="53">
        <v>502459</v>
      </c>
      <c r="AH48" s="53"/>
      <c r="AI48" s="45">
        <f t="shared" si="10"/>
        <v>-127921</v>
      </c>
      <c r="AJ48" s="45"/>
      <c r="AK48" s="53">
        <v>-365944</v>
      </c>
      <c r="AL48" s="45"/>
      <c r="AM48" s="53">
        <v>640000</v>
      </c>
      <c r="AN48" s="53"/>
      <c r="AO48" s="53">
        <v>0</v>
      </c>
      <c r="AP48" s="53"/>
      <c r="AQ48" s="53">
        <v>0</v>
      </c>
      <c r="AR48" s="53"/>
      <c r="AS48" s="45">
        <f t="shared" si="11"/>
        <v>146135</v>
      </c>
      <c r="AT48" s="45"/>
      <c r="AU48" s="53">
        <v>0</v>
      </c>
      <c r="AV48" s="53"/>
      <c r="AW48" s="53">
        <v>0</v>
      </c>
      <c r="AX48" s="53"/>
      <c r="AY48" s="53">
        <f t="shared" si="12"/>
        <v>234767</v>
      </c>
      <c r="AZ48" s="53"/>
      <c r="BA48" s="35" t="s">
        <v>67</v>
      </c>
      <c r="BC48" s="35" t="s">
        <v>375</v>
      </c>
      <c r="BD48" s="53"/>
      <c r="BE48" s="53">
        <v>0</v>
      </c>
      <c r="BF48" s="53"/>
      <c r="BG48" s="53">
        <v>0</v>
      </c>
      <c r="BH48" s="53"/>
      <c r="BI48" s="53">
        <f>735957+10241212</f>
        <v>10977169</v>
      </c>
      <c r="BJ48" s="53"/>
      <c r="BK48" s="53">
        <f>21362+45336</f>
        <v>66698</v>
      </c>
      <c r="BL48" s="53"/>
      <c r="BM48" s="53">
        <f t="shared" ref="BM48:BM53" si="17">SUM(BE48:BK48)</f>
        <v>11043867</v>
      </c>
      <c r="BN48" s="54" t="s">
        <v>347</v>
      </c>
      <c r="BR48" s="65"/>
      <c r="BS48" s="53"/>
      <c r="BT48" s="53"/>
      <c r="BU48" s="53"/>
      <c r="BV48" s="53"/>
      <c r="BW48" s="45"/>
      <c r="BX48" s="45"/>
      <c r="BY48" s="53"/>
      <c r="BZ48" s="53"/>
      <c r="CA48" s="53"/>
      <c r="CB48" s="53"/>
      <c r="CC48" s="53"/>
      <c r="CD48" s="53"/>
      <c r="CE48" s="53"/>
      <c r="CF48" s="35"/>
      <c r="CH48" s="35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4"/>
    </row>
    <row r="49" spans="1:98" s="55" customFormat="1" ht="12.75" hidden="1" customHeight="1">
      <c r="A49" s="35" t="s">
        <v>68</v>
      </c>
      <c r="B49" s="65"/>
      <c r="C49" s="35" t="s">
        <v>45</v>
      </c>
      <c r="D49" s="44"/>
      <c r="E49" s="53">
        <f t="shared" si="14"/>
        <v>0</v>
      </c>
      <c r="F49" s="53"/>
      <c r="G49" s="53">
        <v>0</v>
      </c>
      <c r="H49" s="53"/>
      <c r="I49" s="53">
        <v>0</v>
      </c>
      <c r="J49" s="53"/>
      <c r="K49" s="53">
        <f t="shared" si="8"/>
        <v>0</v>
      </c>
      <c r="L49" s="53"/>
      <c r="M49" s="53">
        <v>0</v>
      </c>
      <c r="N49" s="53"/>
      <c r="O49" s="53">
        <v>0</v>
      </c>
      <c r="P49" s="53"/>
      <c r="Q49" s="53">
        <v>0</v>
      </c>
      <c r="R49" s="53"/>
      <c r="S49" s="53">
        <v>0</v>
      </c>
      <c r="T49" s="53"/>
      <c r="U49" s="53">
        <v>0</v>
      </c>
      <c r="V49" s="53"/>
      <c r="W49" s="53">
        <f t="shared" si="15"/>
        <v>0</v>
      </c>
      <c r="X49" s="53"/>
      <c r="Y49" s="35" t="s">
        <v>68</v>
      </c>
      <c r="AA49" s="35" t="s">
        <v>45</v>
      </c>
      <c r="AB49" s="35"/>
      <c r="AC49" s="53">
        <v>0</v>
      </c>
      <c r="AD49" s="53"/>
      <c r="AE49" s="53">
        <v>0</v>
      </c>
      <c r="AF49" s="53"/>
      <c r="AG49" s="53">
        <v>0</v>
      </c>
      <c r="AH49" s="53"/>
      <c r="AI49" s="45">
        <f t="shared" si="10"/>
        <v>0</v>
      </c>
      <c r="AJ49" s="45"/>
      <c r="AK49" s="53">
        <v>0</v>
      </c>
      <c r="AL49" s="45"/>
      <c r="AM49" s="53">
        <v>0</v>
      </c>
      <c r="AN49" s="53"/>
      <c r="AO49" s="53">
        <v>0</v>
      </c>
      <c r="AP49" s="53"/>
      <c r="AQ49" s="53">
        <v>0</v>
      </c>
      <c r="AR49" s="53"/>
      <c r="AS49" s="45">
        <f t="shared" si="11"/>
        <v>0</v>
      </c>
      <c r="AT49" s="45"/>
      <c r="AU49" s="53">
        <v>0</v>
      </c>
      <c r="AV49" s="53"/>
      <c r="AW49" s="53">
        <v>0</v>
      </c>
      <c r="AX49" s="53"/>
      <c r="AY49" s="53">
        <f t="shared" si="12"/>
        <v>0</v>
      </c>
      <c r="AZ49" s="53"/>
      <c r="BA49" s="35" t="s">
        <v>68</v>
      </c>
      <c r="BC49" s="35" t="s">
        <v>45</v>
      </c>
      <c r="BD49" s="53"/>
      <c r="BE49" s="53">
        <v>0</v>
      </c>
      <c r="BF49" s="53"/>
      <c r="BG49" s="53">
        <v>0</v>
      </c>
      <c r="BH49" s="53"/>
      <c r="BI49" s="53">
        <v>0</v>
      </c>
      <c r="BJ49" s="53"/>
      <c r="BK49" s="53">
        <v>0</v>
      </c>
      <c r="BL49" s="53"/>
      <c r="BM49" s="53">
        <f t="shared" si="17"/>
        <v>0</v>
      </c>
      <c r="BN49" s="54" t="s">
        <v>347</v>
      </c>
      <c r="BR49" s="65"/>
      <c r="BS49" s="53"/>
      <c r="BT49" s="53"/>
      <c r="BU49" s="53"/>
      <c r="BV49" s="53"/>
      <c r="BW49" s="53"/>
      <c r="BX49" s="45"/>
      <c r="BY49" s="45"/>
      <c r="BZ49" s="53"/>
      <c r="CA49" s="53"/>
      <c r="CB49" s="53"/>
      <c r="CC49" s="53"/>
      <c r="CD49" s="53"/>
      <c r="CE49" s="53"/>
      <c r="CF49" s="35"/>
      <c r="CH49" s="35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4"/>
    </row>
    <row r="50" spans="1:98" s="55" customFormat="1" ht="12.75" customHeight="1">
      <c r="A50" s="35" t="s">
        <v>69</v>
      </c>
      <c r="B50" s="65"/>
      <c r="C50" s="35" t="s">
        <v>70</v>
      </c>
      <c r="D50" s="44"/>
      <c r="E50" s="53">
        <f t="shared" si="14"/>
        <v>3841522</v>
      </c>
      <c r="F50" s="53"/>
      <c r="G50" s="53">
        <v>17924520</v>
      </c>
      <c r="H50" s="53"/>
      <c r="I50" s="53">
        <v>21766042</v>
      </c>
      <c r="J50" s="53"/>
      <c r="K50" s="53">
        <f t="shared" si="8"/>
        <v>449882</v>
      </c>
      <c r="L50" s="53"/>
      <c r="M50" s="53">
        <v>1677595</v>
      </c>
      <c r="N50" s="53"/>
      <c r="O50" s="53">
        <v>2127477</v>
      </c>
      <c r="P50" s="53"/>
      <c r="Q50" s="53">
        <v>15711053</v>
      </c>
      <c r="R50" s="53"/>
      <c r="S50" s="53">
        <v>618467</v>
      </c>
      <c r="T50" s="53"/>
      <c r="U50" s="53">
        <v>3309045</v>
      </c>
      <c r="V50" s="53"/>
      <c r="W50" s="53">
        <f t="shared" si="15"/>
        <v>19638565</v>
      </c>
      <c r="X50" s="53"/>
      <c r="Y50" s="35" t="s">
        <v>69</v>
      </c>
      <c r="AA50" s="35" t="s">
        <v>70</v>
      </c>
      <c r="AB50" s="35"/>
      <c r="AC50" s="53">
        <v>3177077</v>
      </c>
      <c r="AD50" s="53"/>
      <c r="AE50" s="53">
        <f>3182268-659405</f>
        <v>2522863</v>
      </c>
      <c r="AF50" s="53"/>
      <c r="AG50" s="53">
        <v>659405</v>
      </c>
      <c r="AH50" s="53"/>
      <c r="AI50" s="45">
        <f t="shared" si="10"/>
        <v>-5191</v>
      </c>
      <c r="AJ50" s="45"/>
      <c r="AK50" s="53">
        <v>-65971</v>
      </c>
      <c r="AL50" s="45"/>
      <c r="AM50" s="53">
        <v>39294</v>
      </c>
      <c r="AN50" s="53"/>
      <c r="AO50" s="53">
        <v>4415</v>
      </c>
      <c r="AP50" s="53"/>
      <c r="AQ50" s="53">
        <v>0</v>
      </c>
      <c r="AR50" s="53"/>
      <c r="AS50" s="45">
        <f t="shared" si="11"/>
        <v>-36283</v>
      </c>
      <c r="AT50" s="45"/>
      <c r="AU50" s="53">
        <v>0</v>
      </c>
      <c r="AV50" s="53"/>
      <c r="AW50" s="53">
        <v>0</v>
      </c>
      <c r="AX50" s="53"/>
      <c r="AY50" s="53">
        <f t="shared" si="12"/>
        <v>3391640</v>
      </c>
      <c r="AZ50" s="53"/>
      <c r="BA50" s="35" t="s">
        <v>69</v>
      </c>
      <c r="BC50" s="35" t="s">
        <v>70</v>
      </c>
      <c r="BD50" s="53"/>
      <c r="BE50" s="53">
        <f>85000+1510000</f>
        <v>1595000</v>
      </c>
      <c r="BF50" s="53"/>
      <c r="BG50" s="53">
        <v>0</v>
      </c>
      <c r="BH50" s="53"/>
      <c r="BI50" s="53">
        <v>0</v>
      </c>
      <c r="BJ50" s="53"/>
      <c r="BK50" s="53">
        <f>254203+167595</f>
        <v>421798</v>
      </c>
      <c r="BL50" s="53"/>
      <c r="BM50" s="53">
        <f t="shared" si="17"/>
        <v>2016798</v>
      </c>
      <c r="BN50" s="54" t="s">
        <v>347</v>
      </c>
      <c r="BR50" s="65"/>
      <c r="BS50" s="53"/>
      <c r="BT50" s="53"/>
      <c r="BU50" s="53"/>
      <c r="BV50" s="53"/>
      <c r="BW50" s="53"/>
      <c r="BX50" s="45"/>
      <c r="BY50" s="45"/>
      <c r="BZ50" s="53"/>
      <c r="CA50" s="53"/>
      <c r="CB50" s="53"/>
      <c r="CC50" s="53"/>
      <c r="CD50" s="53"/>
      <c r="CE50" s="53"/>
      <c r="CF50" s="35"/>
      <c r="CH50" s="35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4"/>
    </row>
    <row r="51" spans="1:98" s="55" customFormat="1" ht="11.25" hidden="1" customHeight="1">
      <c r="A51" s="35" t="s">
        <v>71</v>
      </c>
      <c r="B51" s="65"/>
      <c r="C51" s="35" t="s">
        <v>45</v>
      </c>
      <c r="D51" s="44"/>
      <c r="E51" s="53">
        <f t="shared" si="14"/>
        <v>0</v>
      </c>
      <c r="F51" s="53"/>
      <c r="G51" s="53">
        <v>0</v>
      </c>
      <c r="H51" s="53"/>
      <c r="I51" s="53">
        <v>0</v>
      </c>
      <c r="J51" s="53"/>
      <c r="K51" s="53">
        <f t="shared" si="8"/>
        <v>0</v>
      </c>
      <c r="L51" s="53"/>
      <c r="M51" s="53">
        <v>0</v>
      </c>
      <c r="N51" s="53"/>
      <c r="O51" s="53">
        <v>0</v>
      </c>
      <c r="P51" s="53"/>
      <c r="Q51" s="53">
        <v>0</v>
      </c>
      <c r="R51" s="53"/>
      <c r="S51" s="53">
        <v>0</v>
      </c>
      <c r="T51" s="53"/>
      <c r="U51" s="53">
        <v>0</v>
      </c>
      <c r="V51" s="53"/>
      <c r="W51" s="53">
        <v>0</v>
      </c>
      <c r="X51" s="53"/>
      <c r="Y51" s="35" t="s">
        <v>71</v>
      </c>
      <c r="AA51" s="35" t="s">
        <v>45</v>
      </c>
      <c r="AB51" s="35"/>
      <c r="AC51" s="53">
        <v>0</v>
      </c>
      <c r="AD51" s="53"/>
      <c r="AE51" s="53">
        <v>0</v>
      </c>
      <c r="AF51" s="53"/>
      <c r="AG51" s="53">
        <v>0</v>
      </c>
      <c r="AH51" s="53"/>
      <c r="AI51" s="45">
        <f t="shared" si="10"/>
        <v>0</v>
      </c>
      <c r="AJ51" s="45"/>
      <c r="AK51" s="53">
        <v>0</v>
      </c>
      <c r="AL51" s="45"/>
      <c r="AM51" s="53">
        <v>0</v>
      </c>
      <c r="AN51" s="53"/>
      <c r="AO51" s="53">
        <v>0</v>
      </c>
      <c r="AP51" s="53"/>
      <c r="AQ51" s="53">
        <v>0</v>
      </c>
      <c r="AR51" s="53"/>
      <c r="AS51" s="45">
        <f t="shared" si="11"/>
        <v>0</v>
      </c>
      <c r="AT51" s="45"/>
      <c r="AU51" s="53">
        <v>0</v>
      </c>
      <c r="AV51" s="53"/>
      <c r="AW51" s="53">
        <v>0</v>
      </c>
      <c r="AX51" s="53"/>
      <c r="AY51" s="53">
        <f t="shared" si="12"/>
        <v>0</v>
      </c>
      <c r="AZ51" s="53"/>
      <c r="BA51" s="35" t="s">
        <v>71</v>
      </c>
      <c r="BC51" s="35" t="s">
        <v>45</v>
      </c>
      <c r="BD51" s="53"/>
      <c r="BE51" s="53">
        <v>0</v>
      </c>
      <c r="BF51" s="53"/>
      <c r="BG51" s="53">
        <v>0</v>
      </c>
      <c r="BH51" s="53"/>
      <c r="BI51" s="53">
        <v>0</v>
      </c>
      <c r="BJ51" s="53"/>
      <c r="BK51" s="53">
        <v>0</v>
      </c>
      <c r="BL51" s="53"/>
      <c r="BM51" s="53">
        <f t="shared" si="17"/>
        <v>0</v>
      </c>
      <c r="BN51" s="54" t="s">
        <v>347</v>
      </c>
      <c r="BO51" s="55" t="s">
        <v>403</v>
      </c>
      <c r="BR51" s="65"/>
      <c r="BS51" s="53"/>
      <c r="BT51" s="53"/>
      <c r="BU51" s="53"/>
      <c r="BV51" s="53"/>
      <c r="BW51" s="53"/>
      <c r="BX51" s="45"/>
      <c r="BY51" s="45"/>
      <c r="BZ51" s="53"/>
      <c r="CA51" s="53"/>
      <c r="CB51" s="53"/>
      <c r="CC51" s="53"/>
      <c r="CD51" s="53"/>
      <c r="CE51" s="53"/>
      <c r="CF51" s="35"/>
      <c r="CH51" s="35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4"/>
    </row>
    <row r="52" spans="1:98" s="55" customFormat="1" ht="12.75" customHeight="1">
      <c r="A52" s="44" t="s">
        <v>463</v>
      </c>
      <c r="C52" s="44" t="s">
        <v>464</v>
      </c>
      <c r="D52" s="44"/>
      <c r="E52" s="53">
        <f t="shared" si="14"/>
        <v>2791652</v>
      </c>
      <c r="F52" s="53"/>
      <c r="G52" s="53">
        <v>12709258</v>
      </c>
      <c r="H52" s="53"/>
      <c r="I52" s="53">
        <v>15500910</v>
      </c>
      <c r="J52" s="53"/>
      <c r="K52" s="53">
        <f t="shared" si="8"/>
        <v>173478</v>
      </c>
      <c r="L52" s="53"/>
      <c r="M52" s="53">
        <v>1623969</v>
      </c>
      <c r="N52" s="53"/>
      <c r="O52" s="53">
        <v>1797447</v>
      </c>
      <c r="P52" s="53"/>
      <c r="Q52" s="53">
        <v>11049735</v>
      </c>
      <c r="R52" s="53"/>
      <c r="S52" s="53">
        <v>0</v>
      </c>
      <c r="T52" s="53"/>
      <c r="U52" s="53">
        <v>2653728</v>
      </c>
      <c r="V52" s="53"/>
      <c r="W52" s="53">
        <f>SUM(Q52:U52)</f>
        <v>13703463</v>
      </c>
      <c r="X52" s="53"/>
      <c r="Y52" s="44" t="s">
        <v>463</v>
      </c>
      <c r="AA52" s="44" t="s">
        <v>464</v>
      </c>
      <c r="AB52" s="44"/>
      <c r="AC52" s="53">
        <v>1799781</v>
      </c>
      <c r="AD52" s="53"/>
      <c r="AE52" s="53">
        <f>1995146-404871</f>
        <v>1590275</v>
      </c>
      <c r="AF52" s="53"/>
      <c r="AG52" s="53">
        <v>404871</v>
      </c>
      <c r="AH52" s="53"/>
      <c r="AI52" s="45">
        <f t="shared" si="10"/>
        <v>-195365</v>
      </c>
      <c r="AJ52" s="45"/>
      <c r="AK52" s="53">
        <v>-71055</v>
      </c>
      <c r="AL52" s="45"/>
      <c r="AM52" s="53">
        <v>0</v>
      </c>
      <c r="AN52" s="53"/>
      <c r="AO52" s="53">
        <v>0</v>
      </c>
      <c r="AP52" s="53"/>
      <c r="AQ52" s="53">
        <v>0</v>
      </c>
      <c r="AR52" s="53"/>
      <c r="AS52" s="45">
        <f t="shared" si="11"/>
        <v>-266420</v>
      </c>
      <c r="AT52" s="45"/>
      <c r="AU52" s="53">
        <v>0</v>
      </c>
      <c r="AV52" s="53"/>
      <c r="AW52" s="53">
        <v>0</v>
      </c>
      <c r="AX52" s="53"/>
      <c r="AY52" s="53">
        <f t="shared" si="12"/>
        <v>2618174</v>
      </c>
      <c r="AZ52" s="53"/>
      <c r="BA52" s="44" t="s">
        <v>463</v>
      </c>
      <c r="BC52" s="44" t="s">
        <v>464</v>
      </c>
      <c r="BD52" s="53"/>
      <c r="BE52" s="53">
        <f>65000+1590000</f>
        <v>1655000</v>
      </c>
      <c r="BF52" s="53"/>
      <c r="BG52" s="53">
        <v>0</v>
      </c>
      <c r="BH52" s="53"/>
      <c r="BI52" s="53">
        <v>0</v>
      </c>
      <c r="BJ52" s="53"/>
      <c r="BK52" s="53">
        <f>3468+30124+1055+32914</f>
        <v>67561</v>
      </c>
      <c r="BL52" s="53"/>
      <c r="BM52" s="53">
        <f t="shared" si="17"/>
        <v>1722561</v>
      </c>
      <c r="BN52" s="54" t="s">
        <v>347</v>
      </c>
      <c r="BR52" s="65"/>
      <c r="BS52" s="53"/>
      <c r="BT52" s="53"/>
      <c r="BU52" s="53"/>
      <c r="BV52" s="53"/>
      <c r="BW52" s="53"/>
      <c r="BX52" s="45"/>
      <c r="BY52" s="45"/>
      <c r="BZ52" s="53"/>
      <c r="CA52" s="53"/>
      <c r="CB52" s="53"/>
      <c r="CC52" s="53"/>
      <c r="CD52" s="53"/>
      <c r="CE52" s="53"/>
      <c r="CF52" s="35"/>
      <c r="CH52" s="35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4"/>
    </row>
    <row r="53" spans="1:98" s="55" customFormat="1" ht="12.75" customHeight="1">
      <c r="A53" s="35" t="s">
        <v>72</v>
      </c>
      <c r="B53" s="65"/>
      <c r="C53" s="35" t="s">
        <v>66</v>
      </c>
      <c r="D53" s="44"/>
      <c r="E53" s="53">
        <f t="shared" si="14"/>
        <v>87240</v>
      </c>
      <c r="F53" s="53"/>
      <c r="G53" s="53">
        <v>3558506</v>
      </c>
      <c r="H53" s="53"/>
      <c r="I53" s="53">
        <v>3645746</v>
      </c>
      <c r="J53" s="53"/>
      <c r="K53" s="53">
        <f t="shared" si="8"/>
        <v>72565</v>
      </c>
      <c r="L53" s="53"/>
      <c r="M53" s="53">
        <v>3161107</v>
      </c>
      <c r="N53" s="53"/>
      <c r="O53" s="53">
        <v>3233672</v>
      </c>
      <c r="P53" s="53"/>
      <c r="Q53" s="53">
        <v>324834</v>
      </c>
      <c r="R53" s="53"/>
      <c r="S53" s="53">
        <v>0</v>
      </c>
      <c r="T53" s="53"/>
      <c r="U53" s="53">
        <v>84240</v>
      </c>
      <c r="V53" s="53"/>
      <c r="W53" s="53">
        <f>SUM(Q53:U53)</f>
        <v>409074</v>
      </c>
      <c r="X53" s="53"/>
      <c r="Y53" s="35" t="s">
        <v>72</v>
      </c>
      <c r="AA53" s="35" t="s">
        <v>66</v>
      </c>
      <c r="AB53" s="35"/>
      <c r="AC53" s="53">
        <v>828</v>
      </c>
      <c r="AD53" s="53"/>
      <c r="AE53" s="53">
        <f>101838-90211</f>
        <v>11627</v>
      </c>
      <c r="AF53" s="53"/>
      <c r="AG53" s="53">
        <v>90211</v>
      </c>
      <c r="AH53" s="53"/>
      <c r="AI53" s="45">
        <f t="shared" si="10"/>
        <v>-101010</v>
      </c>
      <c r="AJ53" s="45"/>
      <c r="AK53" s="53">
        <v>-131788</v>
      </c>
      <c r="AL53" s="45"/>
      <c r="AM53" s="53">
        <v>185622</v>
      </c>
      <c r="AN53" s="53"/>
      <c r="AO53" s="53">
        <v>0</v>
      </c>
      <c r="AP53" s="53"/>
      <c r="AQ53" s="53">
        <v>0</v>
      </c>
      <c r="AR53" s="53"/>
      <c r="AS53" s="45">
        <f t="shared" si="11"/>
        <v>-47176</v>
      </c>
      <c r="AT53" s="45"/>
      <c r="AU53" s="53">
        <v>0</v>
      </c>
      <c r="AV53" s="53"/>
      <c r="AW53" s="53">
        <v>0</v>
      </c>
      <c r="AX53" s="53"/>
      <c r="AY53" s="53">
        <f t="shared" si="12"/>
        <v>14675</v>
      </c>
      <c r="AZ53" s="53"/>
      <c r="BA53" s="35" t="s">
        <v>72</v>
      </c>
      <c r="BC53" s="35" t="s">
        <v>66</v>
      </c>
      <c r="BD53" s="53"/>
      <c r="BE53" s="53">
        <v>0</v>
      </c>
      <c r="BF53" s="53"/>
      <c r="BG53" s="53">
        <v>0</v>
      </c>
      <c r="BH53" s="53"/>
      <c r="BI53" s="53">
        <f>72565+3161107</f>
        <v>3233672</v>
      </c>
      <c r="BJ53" s="53"/>
      <c r="BK53" s="53">
        <v>0</v>
      </c>
      <c r="BL53" s="53"/>
      <c r="BM53" s="53">
        <f t="shared" si="17"/>
        <v>3233672</v>
      </c>
      <c r="BN53" s="54" t="s">
        <v>347</v>
      </c>
      <c r="BO53" s="35"/>
      <c r="BR53" s="65"/>
      <c r="BS53" s="53"/>
      <c r="BT53" s="53"/>
      <c r="BU53" s="53"/>
      <c r="BV53" s="53"/>
      <c r="BW53" s="45"/>
      <c r="BX53" s="45"/>
      <c r="BY53" s="53"/>
      <c r="BZ53" s="53"/>
      <c r="CA53" s="53"/>
      <c r="CB53" s="53"/>
      <c r="CC53" s="53"/>
      <c r="CD53" s="53"/>
      <c r="CE53" s="53"/>
      <c r="CF53" s="35"/>
      <c r="CH53" s="35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4"/>
      <c r="CT53" s="35"/>
    </row>
    <row r="54" spans="1:98" s="55" customFormat="1" ht="12.75" hidden="1" customHeight="1">
      <c r="A54" s="35" t="s">
        <v>342</v>
      </c>
      <c r="C54" s="35" t="s">
        <v>27</v>
      </c>
      <c r="D54" s="44"/>
      <c r="E54" s="53">
        <f t="shared" si="14"/>
        <v>0</v>
      </c>
      <c r="F54" s="53"/>
      <c r="G54" s="53">
        <v>0</v>
      </c>
      <c r="H54" s="53"/>
      <c r="I54" s="53">
        <v>0</v>
      </c>
      <c r="J54" s="53"/>
      <c r="K54" s="53">
        <f t="shared" si="1"/>
        <v>0</v>
      </c>
      <c r="L54" s="53"/>
      <c r="M54" s="53">
        <v>0</v>
      </c>
      <c r="N54" s="53"/>
      <c r="O54" s="53">
        <v>0</v>
      </c>
      <c r="P54" s="53"/>
      <c r="Q54" s="53">
        <v>0</v>
      </c>
      <c r="R54" s="53"/>
      <c r="S54" s="53">
        <v>0</v>
      </c>
      <c r="T54" s="53"/>
      <c r="U54" s="53">
        <v>0</v>
      </c>
      <c r="V54" s="53"/>
      <c r="W54" s="53">
        <f t="shared" ref="W54:W71" si="18">SUM(Q54:U54)</f>
        <v>0</v>
      </c>
      <c r="X54" s="53"/>
      <c r="Y54" s="35" t="s">
        <v>342</v>
      </c>
      <c r="AA54" s="35" t="s">
        <v>27</v>
      </c>
      <c r="AB54" s="35"/>
      <c r="AC54" s="53">
        <v>0</v>
      </c>
      <c r="AD54" s="53"/>
      <c r="AE54" s="53">
        <v>0</v>
      </c>
      <c r="AF54" s="53"/>
      <c r="AG54" s="53">
        <v>0</v>
      </c>
      <c r="AH54" s="53"/>
      <c r="AI54" s="45">
        <f t="shared" si="3"/>
        <v>0</v>
      </c>
      <c r="AJ54" s="45"/>
      <c r="AK54" s="53">
        <v>0</v>
      </c>
      <c r="AL54" s="45"/>
      <c r="AM54" s="53">
        <v>0</v>
      </c>
      <c r="AN54" s="53"/>
      <c r="AO54" s="53">
        <v>0</v>
      </c>
      <c r="AP54" s="53"/>
      <c r="AQ54" s="53">
        <v>0</v>
      </c>
      <c r="AR54" s="53"/>
      <c r="AS54" s="45">
        <f t="shared" si="4"/>
        <v>0</v>
      </c>
      <c r="AT54" s="45"/>
      <c r="AU54" s="53">
        <v>0</v>
      </c>
      <c r="AV54" s="53"/>
      <c r="AW54" s="53">
        <v>0</v>
      </c>
      <c r="AX54" s="53"/>
      <c r="AY54" s="53">
        <f t="shared" si="5"/>
        <v>0</v>
      </c>
      <c r="AZ54" s="53"/>
      <c r="BA54" s="35" t="s">
        <v>342</v>
      </c>
      <c r="BC54" s="35" t="s">
        <v>27</v>
      </c>
      <c r="BD54" s="53"/>
      <c r="BE54" s="53">
        <v>0</v>
      </c>
      <c r="BF54" s="53"/>
      <c r="BG54" s="53">
        <v>0</v>
      </c>
      <c r="BH54" s="53"/>
      <c r="BI54" s="53">
        <v>0</v>
      </c>
      <c r="BJ54" s="53"/>
      <c r="BK54" s="53">
        <v>0</v>
      </c>
      <c r="BL54" s="53"/>
      <c r="BM54" s="53">
        <f t="shared" ref="BM54:BM72" si="19">SUM(BE54:BK54)</f>
        <v>0</v>
      </c>
      <c r="BN54" s="54" t="s">
        <v>347</v>
      </c>
      <c r="BR54" s="65"/>
      <c r="BS54" s="53"/>
      <c r="BT54" s="53"/>
      <c r="BU54" s="53"/>
      <c r="BV54" s="53"/>
      <c r="BW54" s="53"/>
      <c r="BX54" s="45"/>
      <c r="BY54" s="45"/>
      <c r="BZ54" s="53"/>
      <c r="CA54" s="53"/>
      <c r="CB54" s="53"/>
      <c r="CC54" s="53"/>
      <c r="CD54" s="53"/>
      <c r="CE54" s="53"/>
      <c r="CF54" s="35"/>
      <c r="CH54" s="35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4"/>
    </row>
    <row r="55" spans="1:98" s="55" customFormat="1" ht="12.75" hidden="1" customHeight="1">
      <c r="A55" s="35" t="s">
        <v>74</v>
      </c>
      <c r="B55" s="65"/>
      <c r="C55" s="35" t="s">
        <v>27</v>
      </c>
      <c r="D55" s="44"/>
      <c r="E55" s="53">
        <f t="shared" si="14"/>
        <v>0</v>
      </c>
      <c r="F55" s="53"/>
      <c r="G55" s="53">
        <v>0</v>
      </c>
      <c r="H55" s="53"/>
      <c r="I55" s="53">
        <v>0</v>
      </c>
      <c r="J55" s="53"/>
      <c r="K55" s="53">
        <f t="shared" si="1"/>
        <v>0</v>
      </c>
      <c r="L55" s="53"/>
      <c r="M55" s="53">
        <v>0</v>
      </c>
      <c r="N55" s="53"/>
      <c r="O55" s="53">
        <v>0</v>
      </c>
      <c r="P55" s="53"/>
      <c r="Q55" s="53">
        <v>0</v>
      </c>
      <c r="R55" s="53"/>
      <c r="S55" s="53">
        <v>0</v>
      </c>
      <c r="T55" s="53"/>
      <c r="U55" s="53">
        <v>0</v>
      </c>
      <c r="V55" s="53"/>
      <c r="W55" s="53">
        <v>0</v>
      </c>
      <c r="X55" s="53"/>
      <c r="Y55" s="35" t="s">
        <v>74</v>
      </c>
      <c r="AA55" s="35" t="s">
        <v>27</v>
      </c>
      <c r="AB55" s="35"/>
      <c r="AC55" s="53">
        <v>0</v>
      </c>
      <c r="AD55" s="53"/>
      <c r="AE55" s="53">
        <v>0</v>
      </c>
      <c r="AF55" s="53"/>
      <c r="AG55" s="53">
        <v>0</v>
      </c>
      <c r="AH55" s="53"/>
      <c r="AI55" s="45">
        <f t="shared" si="3"/>
        <v>0</v>
      </c>
      <c r="AJ55" s="45"/>
      <c r="AK55" s="53">
        <v>0</v>
      </c>
      <c r="AL55" s="45"/>
      <c r="AM55" s="53">
        <v>0</v>
      </c>
      <c r="AN55" s="53"/>
      <c r="AO55" s="53">
        <v>0</v>
      </c>
      <c r="AP55" s="53"/>
      <c r="AQ55" s="53">
        <v>0</v>
      </c>
      <c r="AR55" s="53"/>
      <c r="AS55" s="45">
        <f t="shared" si="4"/>
        <v>0</v>
      </c>
      <c r="AT55" s="45"/>
      <c r="AU55" s="53">
        <v>0</v>
      </c>
      <c r="AV55" s="53"/>
      <c r="AW55" s="53">
        <v>0</v>
      </c>
      <c r="AX55" s="53"/>
      <c r="AY55" s="53">
        <f t="shared" si="5"/>
        <v>0</v>
      </c>
      <c r="AZ55" s="53"/>
      <c r="BA55" s="35" t="s">
        <v>74</v>
      </c>
      <c r="BC55" s="35" t="s">
        <v>27</v>
      </c>
      <c r="BD55" s="53"/>
      <c r="BE55" s="53">
        <v>0</v>
      </c>
      <c r="BF55" s="53"/>
      <c r="BG55" s="53">
        <v>0</v>
      </c>
      <c r="BH55" s="53"/>
      <c r="BI55" s="53">
        <v>0</v>
      </c>
      <c r="BJ55" s="53"/>
      <c r="BK55" s="53">
        <v>0</v>
      </c>
      <c r="BL55" s="53"/>
      <c r="BM55" s="53">
        <f t="shared" si="19"/>
        <v>0</v>
      </c>
      <c r="BN55" s="54" t="s">
        <v>347</v>
      </c>
      <c r="BR55" s="65"/>
      <c r="BS55" s="53"/>
      <c r="BT55" s="53"/>
      <c r="BU55" s="53"/>
      <c r="BV55" s="53"/>
      <c r="BW55" s="53"/>
      <c r="BX55" s="45"/>
      <c r="BY55" s="45"/>
      <c r="BZ55" s="53"/>
      <c r="CA55" s="53"/>
      <c r="CB55" s="53"/>
      <c r="CC55" s="53"/>
      <c r="CD55" s="53"/>
      <c r="CE55" s="53"/>
      <c r="CF55" s="35"/>
      <c r="CH55" s="35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4"/>
    </row>
    <row r="56" spans="1:98" s="55" customFormat="1" ht="12.75" customHeight="1">
      <c r="A56" s="35" t="s">
        <v>75</v>
      </c>
      <c r="B56" s="65"/>
      <c r="C56" s="35" t="s">
        <v>76</v>
      </c>
      <c r="D56" s="44"/>
      <c r="E56" s="53">
        <f t="shared" si="14"/>
        <v>998856</v>
      </c>
      <c r="F56" s="53"/>
      <c r="G56" s="53">
        <v>6674245</v>
      </c>
      <c r="H56" s="53"/>
      <c r="I56" s="53">
        <v>7673101</v>
      </c>
      <c r="J56" s="53"/>
      <c r="K56" s="53">
        <f t="shared" si="1"/>
        <v>163805</v>
      </c>
      <c r="L56" s="53"/>
      <c r="M56" s="53">
        <v>853515</v>
      </c>
      <c r="N56" s="53"/>
      <c r="O56" s="53">
        <v>1017320</v>
      </c>
      <c r="P56" s="53"/>
      <c r="Q56" s="53">
        <v>5809037</v>
      </c>
      <c r="R56" s="53"/>
      <c r="S56" s="53">
        <v>0</v>
      </c>
      <c r="T56" s="53"/>
      <c r="U56" s="53">
        <v>846744</v>
      </c>
      <c r="V56" s="53"/>
      <c r="W56" s="53">
        <f t="shared" ref="W56:W62" si="20">SUM(Q56:U56)</f>
        <v>6655781</v>
      </c>
      <c r="X56" s="53"/>
      <c r="Y56" s="35" t="s">
        <v>75</v>
      </c>
      <c r="AA56" s="35" t="s">
        <v>76</v>
      </c>
      <c r="AB56" s="35"/>
      <c r="AC56" s="53">
        <v>1748577</v>
      </c>
      <c r="AD56" s="53"/>
      <c r="AE56" s="53">
        <f>1896010-265456</f>
        <v>1630554</v>
      </c>
      <c r="AF56" s="53"/>
      <c r="AG56" s="53">
        <v>265456</v>
      </c>
      <c r="AH56" s="53"/>
      <c r="AI56" s="45">
        <f t="shared" si="3"/>
        <v>-147433</v>
      </c>
      <c r="AJ56" s="45"/>
      <c r="AK56" s="53">
        <v>-40120</v>
      </c>
      <c r="AL56" s="45"/>
      <c r="AM56" s="53">
        <v>0</v>
      </c>
      <c r="AN56" s="53"/>
      <c r="AO56" s="53">
        <v>24000</v>
      </c>
      <c r="AP56" s="53"/>
      <c r="AQ56" s="53">
        <v>10332</v>
      </c>
      <c r="AR56" s="53"/>
      <c r="AS56" s="45">
        <f t="shared" si="4"/>
        <v>-201221</v>
      </c>
      <c r="AT56" s="45"/>
      <c r="AU56" s="53">
        <v>0</v>
      </c>
      <c r="AV56" s="53"/>
      <c r="AW56" s="53">
        <v>0</v>
      </c>
      <c r="AX56" s="53"/>
      <c r="AY56" s="53">
        <f t="shared" si="5"/>
        <v>835051</v>
      </c>
      <c r="AZ56" s="53"/>
      <c r="BA56" s="35" t="s">
        <v>75</v>
      </c>
      <c r="BC56" s="35" t="s">
        <v>76</v>
      </c>
      <c r="BD56" s="53"/>
      <c r="BE56" s="53">
        <v>0</v>
      </c>
      <c r="BF56" s="53"/>
      <c r="BG56" s="53">
        <v>0</v>
      </c>
      <c r="BH56" s="53"/>
      <c r="BI56" s="53">
        <f>47050+818158</f>
        <v>865208</v>
      </c>
      <c r="BJ56" s="53"/>
      <c r="BK56" s="53">
        <f>11239+35357</f>
        <v>46596</v>
      </c>
      <c r="BL56" s="53"/>
      <c r="BM56" s="53">
        <f t="shared" si="19"/>
        <v>911804</v>
      </c>
      <c r="BN56" s="54" t="s">
        <v>347</v>
      </c>
      <c r="BR56" s="65"/>
      <c r="BS56" s="53"/>
      <c r="BT56" s="53"/>
      <c r="BU56" s="53"/>
      <c r="BV56" s="53"/>
      <c r="BW56" s="53"/>
      <c r="BX56" s="45"/>
      <c r="BY56" s="45"/>
      <c r="BZ56" s="53"/>
      <c r="CA56" s="53"/>
      <c r="CB56" s="53"/>
      <c r="CC56" s="53"/>
      <c r="CD56" s="53"/>
      <c r="CE56" s="53"/>
      <c r="CF56" s="35"/>
      <c r="CH56" s="35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4"/>
    </row>
    <row r="57" spans="1:98" s="55" customFormat="1" ht="12.75" customHeight="1">
      <c r="A57" s="35" t="s">
        <v>77</v>
      </c>
      <c r="B57" s="65"/>
      <c r="C57" s="35" t="s">
        <v>43</v>
      </c>
      <c r="D57" s="44"/>
      <c r="E57" s="53">
        <f t="shared" si="14"/>
        <v>411335000</v>
      </c>
      <c r="F57" s="53"/>
      <c r="G57" s="53">
        <v>1843624000</v>
      </c>
      <c r="H57" s="53"/>
      <c r="I57" s="53">
        <v>2254959000</v>
      </c>
      <c r="J57" s="53"/>
      <c r="K57" s="53">
        <f t="shared" si="1"/>
        <v>106949000</v>
      </c>
      <c r="L57" s="53"/>
      <c r="M57" s="53">
        <v>1457547000</v>
      </c>
      <c r="N57" s="53"/>
      <c r="O57" s="53">
        <v>1564496000</v>
      </c>
      <c r="P57" s="53"/>
      <c r="Q57" s="53">
        <v>517219000</v>
      </c>
      <c r="R57" s="53"/>
      <c r="S57" s="53">
        <v>0</v>
      </c>
      <c r="T57" s="53"/>
      <c r="U57" s="53">
        <v>173244000</v>
      </c>
      <c r="V57" s="53"/>
      <c r="W57" s="53">
        <f t="shared" si="20"/>
        <v>690463000</v>
      </c>
      <c r="X57" s="53"/>
      <c r="Y57" s="35" t="s">
        <v>77</v>
      </c>
      <c r="AA57" s="35" t="s">
        <v>43</v>
      </c>
      <c r="AB57" s="35"/>
      <c r="AC57" s="53">
        <v>213989000</v>
      </c>
      <c r="AD57" s="53"/>
      <c r="AE57" s="53">
        <f>130575000-44279000</f>
        <v>86296000</v>
      </c>
      <c r="AF57" s="53"/>
      <c r="AG57" s="53">
        <v>44279000</v>
      </c>
      <c r="AH57" s="53"/>
      <c r="AI57" s="45">
        <f t="shared" si="3"/>
        <v>83414000</v>
      </c>
      <c r="AJ57" s="45"/>
      <c r="AK57" s="53">
        <v>-47215000</v>
      </c>
      <c r="AL57" s="45"/>
      <c r="AM57" s="53">
        <v>0</v>
      </c>
      <c r="AN57" s="53"/>
      <c r="AO57" s="53">
        <v>0</v>
      </c>
      <c r="AP57" s="53"/>
      <c r="AQ57" s="53">
        <v>0</v>
      </c>
      <c r="AR57" s="53"/>
      <c r="AS57" s="45">
        <f t="shared" si="4"/>
        <v>36199000</v>
      </c>
      <c r="AT57" s="45"/>
      <c r="AU57" s="53">
        <v>0</v>
      </c>
      <c r="AV57" s="53"/>
      <c r="AW57" s="53">
        <v>0</v>
      </c>
      <c r="AX57" s="53"/>
      <c r="AY57" s="53">
        <f t="shared" si="5"/>
        <v>304386000</v>
      </c>
      <c r="AZ57" s="53"/>
      <c r="BA57" s="35" t="s">
        <v>77</v>
      </c>
      <c r="BC57" s="35" t="s">
        <v>43</v>
      </c>
      <c r="BD57" s="53"/>
      <c r="BE57" s="53">
        <f>58981000+1457547000</f>
        <v>1516528000</v>
      </c>
      <c r="BF57" s="53"/>
      <c r="BG57" s="53">
        <v>0</v>
      </c>
      <c r="BH57" s="53"/>
      <c r="BI57" s="53">
        <v>0</v>
      </c>
      <c r="BJ57" s="53"/>
      <c r="BK57" s="53">
        <v>0</v>
      </c>
      <c r="BL57" s="53"/>
      <c r="BM57" s="53">
        <f t="shared" si="19"/>
        <v>1516528000</v>
      </c>
      <c r="BN57" s="54" t="s">
        <v>347</v>
      </c>
      <c r="BR57" s="65"/>
      <c r="BS57" s="53"/>
      <c r="BT57" s="53"/>
      <c r="BU57" s="53"/>
      <c r="BV57" s="53"/>
      <c r="BW57" s="53"/>
      <c r="BX57" s="45"/>
      <c r="BY57" s="45"/>
      <c r="BZ57" s="53"/>
      <c r="CA57" s="53"/>
      <c r="CB57" s="53"/>
      <c r="CC57" s="53"/>
      <c r="CD57" s="53"/>
      <c r="CE57" s="53"/>
      <c r="CF57" s="35"/>
      <c r="CH57" s="35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4"/>
    </row>
    <row r="58" spans="1:98" s="55" customFormat="1" ht="12.75" customHeight="1">
      <c r="A58" s="35" t="s">
        <v>94</v>
      </c>
      <c r="B58" s="51"/>
      <c r="C58" s="35" t="s">
        <v>94</v>
      </c>
      <c r="D58" s="44"/>
      <c r="E58" s="53">
        <f t="shared" si="14"/>
        <v>6936117</v>
      </c>
      <c r="F58" s="53"/>
      <c r="G58" s="53">
        <v>15413739</v>
      </c>
      <c r="H58" s="53"/>
      <c r="I58" s="53">
        <v>22349856</v>
      </c>
      <c r="J58" s="53"/>
      <c r="K58" s="53">
        <f>O58-M58</f>
        <v>627057</v>
      </c>
      <c r="L58" s="53"/>
      <c r="M58" s="53">
        <v>11614713</v>
      </c>
      <c r="N58" s="53"/>
      <c r="O58" s="53">
        <v>12241770</v>
      </c>
      <c r="P58" s="53"/>
      <c r="Q58" s="53">
        <v>3506529</v>
      </c>
      <c r="R58" s="53"/>
      <c r="S58" s="53">
        <v>0</v>
      </c>
      <c r="T58" s="53"/>
      <c r="U58" s="53">
        <v>6601557</v>
      </c>
      <c r="V58" s="53"/>
      <c r="W58" s="53">
        <f>SUM(Q58:U58)</f>
        <v>10108086</v>
      </c>
      <c r="X58" s="53"/>
      <c r="Y58" s="35" t="str">
        <f>+A58</f>
        <v>Columbiana</v>
      </c>
      <c r="AA58" s="35" t="s">
        <v>94</v>
      </c>
      <c r="AB58" s="35"/>
      <c r="AC58" s="53">
        <v>1161463</v>
      </c>
      <c r="AD58" s="53"/>
      <c r="AE58" s="53">
        <f>1194504-520780</f>
        <v>673724</v>
      </c>
      <c r="AF58" s="53"/>
      <c r="AG58" s="53">
        <v>520750</v>
      </c>
      <c r="AH58" s="53"/>
      <c r="AI58" s="45">
        <f>+AC58-AE58-AG58</f>
        <v>-33011</v>
      </c>
      <c r="AJ58" s="45"/>
      <c r="AK58" s="53">
        <v>-369130</v>
      </c>
      <c r="AL58" s="45"/>
      <c r="AM58" s="53">
        <v>6115</v>
      </c>
      <c r="AN58" s="53"/>
      <c r="AO58" s="53">
        <v>0</v>
      </c>
      <c r="AP58" s="53"/>
      <c r="AQ58" s="53">
        <v>0</v>
      </c>
      <c r="AR58" s="53"/>
      <c r="AS58" s="45">
        <f t="shared" si="4"/>
        <v>-396026</v>
      </c>
      <c r="AT58" s="45"/>
      <c r="AU58" s="53">
        <v>0</v>
      </c>
      <c r="AV58" s="53"/>
      <c r="AW58" s="53">
        <v>0</v>
      </c>
      <c r="AX58" s="53"/>
      <c r="AY58" s="53">
        <f>+E58-K58</f>
        <v>6309060</v>
      </c>
      <c r="AZ58" s="53"/>
      <c r="BA58" s="35" t="str">
        <f>+Y58</f>
        <v>Columbiana</v>
      </c>
      <c r="BC58" s="35" t="s">
        <v>94</v>
      </c>
      <c r="BD58" s="53"/>
      <c r="BE58" s="53">
        <v>0</v>
      </c>
      <c r="BF58" s="53"/>
      <c r="BG58" s="53">
        <f>87000+6831600</f>
        <v>6918600</v>
      </c>
      <c r="BH58" s="53"/>
      <c r="BI58" s="53">
        <f>291465+17145</f>
        <v>308610</v>
      </c>
      <c r="BJ58" s="53"/>
      <c r="BK58" s="53">
        <f>210000+11463+4470000+21648</f>
        <v>4713111</v>
      </c>
      <c r="BL58" s="53"/>
      <c r="BM58" s="53">
        <f t="shared" si="19"/>
        <v>11940321</v>
      </c>
      <c r="BN58" s="54" t="s">
        <v>347</v>
      </c>
      <c r="BO58" s="35"/>
      <c r="BR58" s="51"/>
      <c r="BS58" s="53"/>
      <c r="BT58" s="53"/>
      <c r="BU58" s="53"/>
      <c r="BV58" s="53"/>
      <c r="BW58" s="45"/>
      <c r="BX58" s="45"/>
      <c r="BY58" s="53"/>
      <c r="BZ58" s="53"/>
      <c r="CA58" s="53"/>
      <c r="CB58" s="53"/>
      <c r="CC58" s="53"/>
      <c r="CD58" s="53"/>
      <c r="CE58" s="53"/>
      <c r="CF58" s="35"/>
      <c r="CH58" s="35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4"/>
      <c r="CT58" s="35"/>
    </row>
    <row r="59" spans="1:98" s="55" customFormat="1" ht="12.75" customHeight="1">
      <c r="A59" s="35" t="s">
        <v>78</v>
      </c>
      <c r="B59" s="51"/>
      <c r="C59" s="35" t="s">
        <v>19</v>
      </c>
      <c r="D59" s="44"/>
      <c r="E59" s="53">
        <f t="shared" si="14"/>
        <v>528653</v>
      </c>
      <c r="F59" s="53"/>
      <c r="G59" s="53">
        <v>10305101</v>
      </c>
      <c r="H59" s="53"/>
      <c r="I59" s="53">
        <v>10833754</v>
      </c>
      <c r="J59" s="53"/>
      <c r="K59" s="53">
        <f t="shared" si="1"/>
        <v>977896</v>
      </c>
      <c r="L59" s="53"/>
      <c r="M59" s="53">
        <v>4078498</v>
      </c>
      <c r="N59" s="53"/>
      <c r="O59" s="53">
        <v>5056394</v>
      </c>
      <c r="P59" s="53"/>
      <c r="Q59" s="53">
        <v>5614091</v>
      </c>
      <c r="R59" s="53"/>
      <c r="S59" s="53">
        <v>0</v>
      </c>
      <c r="T59" s="53"/>
      <c r="U59" s="53">
        <v>163266</v>
      </c>
      <c r="V59" s="53"/>
      <c r="W59" s="53">
        <f t="shared" si="20"/>
        <v>5777357</v>
      </c>
      <c r="X59" s="53"/>
      <c r="Y59" s="35" t="s">
        <v>78</v>
      </c>
      <c r="AA59" s="35" t="s">
        <v>19</v>
      </c>
      <c r="AB59" s="35"/>
      <c r="AC59" s="53">
        <v>2004078</v>
      </c>
      <c r="AD59" s="53"/>
      <c r="AE59" s="53">
        <f>1684280-311332</f>
        <v>1372948</v>
      </c>
      <c r="AF59" s="53"/>
      <c r="AG59" s="53">
        <v>311332</v>
      </c>
      <c r="AH59" s="53"/>
      <c r="AI59" s="45">
        <f t="shared" si="3"/>
        <v>319798</v>
      </c>
      <c r="AJ59" s="45"/>
      <c r="AK59" s="53">
        <v>-96530</v>
      </c>
      <c r="AL59" s="45"/>
      <c r="AM59" s="53">
        <v>0</v>
      </c>
      <c r="AN59" s="53"/>
      <c r="AO59" s="53">
        <v>0</v>
      </c>
      <c r="AP59" s="53"/>
      <c r="AQ59" s="53">
        <v>0</v>
      </c>
      <c r="AR59" s="53"/>
      <c r="AS59" s="45">
        <f t="shared" si="4"/>
        <v>223268</v>
      </c>
      <c r="AT59" s="45"/>
      <c r="AU59" s="53">
        <v>0</v>
      </c>
      <c r="AV59" s="53"/>
      <c r="AW59" s="53">
        <v>0</v>
      </c>
      <c r="AX59" s="53"/>
      <c r="AY59" s="53">
        <f t="shared" si="5"/>
        <v>-449243</v>
      </c>
      <c r="AZ59" s="53"/>
      <c r="BA59" s="35" t="s">
        <v>78</v>
      </c>
      <c r="BC59" s="35" t="s">
        <v>19</v>
      </c>
      <c r="BD59" s="53"/>
      <c r="BE59" s="53">
        <v>0</v>
      </c>
      <c r="BF59" s="53"/>
      <c r="BG59" s="53">
        <v>0</v>
      </c>
      <c r="BH59" s="53"/>
      <c r="BI59" s="53">
        <f>14282+455937+26481+3523176</f>
        <v>4019876</v>
      </c>
      <c r="BJ59" s="53"/>
      <c r="BK59" s="53">
        <f>230835+15333+54816+110841+280000+138000</f>
        <v>829825</v>
      </c>
      <c r="BL59" s="53"/>
      <c r="BM59" s="53">
        <f t="shared" si="19"/>
        <v>4849701</v>
      </c>
      <c r="BN59" s="54" t="s">
        <v>347</v>
      </c>
      <c r="BR59" s="51"/>
      <c r="BS59" s="53"/>
      <c r="BT59" s="53"/>
      <c r="BU59" s="53"/>
      <c r="BV59" s="53"/>
      <c r="BW59" s="53"/>
      <c r="BX59" s="45"/>
      <c r="BY59" s="45"/>
      <c r="BZ59" s="53"/>
      <c r="CA59" s="53"/>
      <c r="CB59" s="53"/>
      <c r="CC59" s="53"/>
      <c r="CD59" s="53"/>
      <c r="CE59" s="53"/>
      <c r="CF59" s="35"/>
      <c r="CH59" s="35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4"/>
    </row>
    <row r="60" spans="1:98" s="55" customFormat="1" ht="12.75" customHeight="1">
      <c r="A60" s="35" t="s">
        <v>79</v>
      </c>
      <c r="C60" s="35" t="s">
        <v>80</v>
      </c>
      <c r="D60" s="44"/>
      <c r="E60" s="53">
        <f t="shared" si="14"/>
        <v>1035523</v>
      </c>
      <c r="F60" s="53"/>
      <c r="G60" s="53">
        <v>5294211</v>
      </c>
      <c r="H60" s="53"/>
      <c r="I60" s="53">
        <v>6329734</v>
      </c>
      <c r="J60" s="53"/>
      <c r="K60" s="53">
        <f t="shared" si="1"/>
        <v>73498</v>
      </c>
      <c r="L60" s="53"/>
      <c r="M60" s="53">
        <v>157588</v>
      </c>
      <c r="N60" s="53"/>
      <c r="O60" s="53">
        <v>231086</v>
      </c>
      <c r="P60" s="53"/>
      <c r="Q60" s="53">
        <v>5120761</v>
      </c>
      <c r="R60" s="53"/>
      <c r="S60" s="53">
        <v>0</v>
      </c>
      <c r="T60" s="53"/>
      <c r="U60" s="53">
        <v>977887</v>
      </c>
      <c r="V60" s="53"/>
      <c r="W60" s="53">
        <f t="shared" si="20"/>
        <v>6098648</v>
      </c>
      <c r="X60" s="53"/>
      <c r="Y60" s="35" t="s">
        <v>79</v>
      </c>
      <c r="AA60" s="35" t="s">
        <v>80</v>
      </c>
      <c r="AB60" s="35"/>
      <c r="AC60" s="53">
        <v>803863</v>
      </c>
      <c r="AD60" s="53"/>
      <c r="AE60" s="53">
        <f>943022-181636</f>
        <v>761386</v>
      </c>
      <c r="AF60" s="53"/>
      <c r="AG60" s="53">
        <v>181636</v>
      </c>
      <c r="AH60" s="53"/>
      <c r="AI60" s="45">
        <f t="shared" si="3"/>
        <v>-139159</v>
      </c>
      <c r="AJ60" s="45"/>
      <c r="AK60" s="53">
        <v>0</v>
      </c>
      <c r="AL60" s="45"/>
      <c r="AM60" s="53">
        <v>0</v>
      </c>
      <c r="AN60" s="53"/>
      <c r="AO60" s="53">
        <v>0</v>
      </c>
      <c r="AP60" s="53"/>
      <c r="AQ60" s="53">
        <v>0</v>
      </c>
      <c r="AR60" s="53"/>
      <c r="AS60" s="45">
        <f t="shared" si="4"/>
        <v>-139159</v>
      </c>
      <c r="AT60" s="45"/>
      <c r="AU60" s="53">
        <v>0</v>
      </c>
      <c r="AV60" s="53"/>
      <c r="AW60" s="53">
        <v>0</v>
      </c>
      <c r="AX60" s="53"/>
      <c r="AY60" s="53">
        <f t="shared" si="5"/>
        <v>962025</v>
      </c>
      <c r="AZ60" s="53"/>
      <c r="BA60" s="35" t="s">
        <v>79</v>
      </c>
      <c r="BC60" s="35" t="s">
        <v>80</v>
      </c>
      <c r="BD60" s="53"/>
      <c r="BE60" s="53">
        <v>0</v>
      </c>
      <c r="BF60" s="53"/>
      <c r="BG60" s="53">
        <v>0</v>
      </c>
      <c r="BH60" s="53"/>
      <c r="BI60" s="53">
        <f>33893+139557</f>
        <v>173450</v>
      </c>
      <c r="BJ60" s="53"/>
      <c r="BK60" s="53">
        <f>5134+18031</f>
        <v>23165</v>
      </c>
      <c r="BL60" s="53"/>
      <c r="BM60" s="53">
        <f t="shared" si="19"/>
        <v>196615</v>
      </c>
      <c r="BN60" s="54" t="s">
        <v>347</v>
      </c>
      <c r="BR60" s="51"/>
      <c r="BS60" s="53"/>
      <c r="BT60" s="53"/>
      <c r="BU60" s="53"/>
      <c r="BV60" s="53"/>
      <c r="BW60" s="53"/>
      <c r="BX60" s="45"/>
      <c r="BY60" s="45"/>
      <c r="BZ60" s="53"/>
      <c r="CA60" s="53"/>
      <c r="CB60" s="53"/>
      <c r="CC60" s="53"/>
      <c r="CD60" s="53"/>
      <c r="CE60" s="53"/>
      <c r="CF60" s="35"/>
      <c r="CH60" s="35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4"/>
    </row>
    <row r="61" spans="1:98" s="55" customFormat="1" ht="12.75" customHeight="1">
      <c r="A61" s="35" t="s">
        <v>81</v>
      </c>
      <c r="B61" s="51"/>
      <c r="C61" s="35" t="s">
        <v>81</v>
      </c>
      <c r="D61" s="44"/>
      <c r="E61" s="53">
        <f t="shared" si="14"/>
        <v>1150047</v>
      </c>
      <c r="F61" s="53"/>
      <c r="G61" s="53">
        <v>9197502</v>
      </c>
      <c r="H61" s="53"/>
      <c r="I61" s="53">
        <v>10347549</v>
      </c>
      <c r="J61" s="53"/>
      <c r="K61" s="53">
        <f t="shared" si="1"/>
        <v>315917</v>
      </c>
      <c r="L61" s="53"/>
      <c r="M61" s="53">
        <v>8053479</v>
      </c>
      <c r="N61" s="53"/>
      <c r="O61" s="53">
        <v>8369396</v>
      </c>
      <c r="P61" s="53"/>
      <c r="Q61" s="53">
        <v>999212</v>
      </c>
      <c r="R61" s="53"/>
      <c r="S61" s="53">
        <v>0</v>
      </c>
      <c r="T61" s="53"/>
      <c r="U61" s="53">
        <v>978941</v>
      </c>
      <c r="V61" s="53"/>
      <c r="W61" s="53">
        <f t="shared" si="20"/>
        <v>1978153</v>
      </c>
      <c r="X61" s="53"/>
      <c r="Y61" s="35" t="s">
        <v>81</v>
      </c>
      <c r="AA61" s="35" t="s">
        <v>81</v>
      </c>
      <c r="AB61" s="35"/>
      <c r="AC61" s="53">
        <v>1591647</v>
      </c>
      <c r="AD61" s="53"/>
      <c r="AE61" s="53">
        <f>1352756-359830</f>
        <v>992926</v>
      </c>
      <c r="AF61" s="53"/>
      <c r="AG61" s="53">
        <v>359830</v>
      </c>
      <c r="AH61" s="53"/>
      <c r="AI61" s="45">
        <f t="shared" si="3"/>
        <v>238891</v>
      </c>
      <c r="AJ61" s="45"/>
      <c r="AK61" s="53">
        <v>-59514</v>
      </c>
      <c r="AL61" s="45"/>
      <c r="AM61" s="53">
        <v>0</v>
      </c>
      <c r="AN61" s="53"/>
      <c r="AO61" s="53">
        <v>0</v>
      </c>
      <c r="AP61" s="53"/>
      <c r="AQ61" s="53">
        <v>0</v>
      </c>
      <c r="AR61" s="53"/>
      <c r="AS61" s="45">
        <f t="shared" si="4"/>
        <v>179377</v>
      </c>
      <c r="AT61" s="45"/>
      <c r="AU61" s="53">
        <v>0</v>
      </c>
      <c r="AV61" s="53"/>
      <c r="AW61" s="53">
        <v>0</v>
      </c>
      <c r="AX61" s="53"/>
      <c r="AY61" s="53">
        <f t="shared" si="5"/>
        <v>834130</v>
      </c>
      <c r="AZ61" s="53"/>
      <c r="BA61" s="35" t="s">
        <v>81</v>
      </c>
      <c r="BC61" s="35" t="s">
        <v>81</v>
      </c>
      <c r="BD61" s="53"/>
      <c r="BE61" s="53">
        <v>0</v>
      </c>
      <c r="BF61" s="53"/>
      <c r="BG61" s="53">
        <f>240000+465405</f>
        <v>705405</v>
      </c>
      <c r="BH61" s="53"/>
      <c r="BI61" s="53">
        <v>7492885</v>
      </c>
      <c r="BJ61" s="53"/>
      <c r="BK61" s="53">
        <f>8517+95189</f>
        <v>103706</v>
      </c>
      <c r="BL61" s="53"/>
      <c r="BM61" s="53">
        <f t="shared" si="19"/>
        <v>8301996</v>
      </c>
      <c r="BN61" s="54" t="s">
        <v>347</v>
      </c>
      <c r="BR61" s="51"/>
      <c r="BS61" s="53"/>
      <c r="BT61" s="53"/>
      <c r="BU61" s="53"/>
      <c r="BV61" s="53"/>
      <c r="BW61" s="53"/>
      <c r="BX61" s="45"/>
      <c r="BY61" s="45"/>
      <c r="BZ61" s="53"/>
      <c r="CA61" s="53"/>
      <c r="CB61" s="53"/>
      <c r="CC61" s="53"/>
      <c r="CD61" s="53"/>
      <c r="CE61" s="53"/>
      <c r="CF61" s="44"/>
      <c r="CH61" s="44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4"/>
    </row>
    <row r="62" spans="1:98" s="55" customFormat="1" ht="12.75" customHeight="1">
      <c r="A62" s="47" t="s">
        <v>465</v>
      </c>
      <c r="B62" s="47"/>
      <c r="C62" s="47" t="s">
        <v>57</v>
      </c>
      <c r="D62" s="44"/>
      <c r="E62" s="53">
        <f t="shared" si="14"/>
        <v>306976</v>
      </c>
      <c r="F62" s="53"/>
      <c r="G62" s="53">
        <v>3231681</v>
      </c>
      <c r="H62" s="53"/>
      <c r="I62" s="53">
        <v>3538657</v>
      </c>
      <c r="J62" s="53"/>
      <c r="K62" s="53">
        <f t="shared" si="1"/>
        <v>291085</v>
      </c>
      <c r="L62" s="53"/>
      <c r="M62" s="53">
        <v>1327739</v>
      </c>
      <c r="N62" s="53"/>
      <c r="O62" s="53">
        <v>1618824</v>
      </c>
      <c r="P62" s="53"/>
      <c r="Q62" s="53">
        <v>1859631</v>
      </c>
      <c r="R62" s="53"/>
      <c r="S62" s="53">
        <v>0</v>
      </c>
      <c r="T62" s="53"/>
      <c r="U62" s="53">
        <v>60202</v>
      </c>
      <c r="V62" s="53"/>
      <c r="W62" s="53">
        <f t="shared" si="20"/>
        <v>1919833</v>
      </c>
      <c r="X62" s="53"/>
      <c r="Y62" s="47" t="s">
        <v>465</v>
      </c>
      <c r="Z62" s="47"/>
      <c r="AA62" s="47" t="s">
        <v>57</v>
      </c>
      <c r="AB62" s="35"/>
      <c r="AC62" s="53">
        <v>689314</v>
      </c>
      <c r="AD62" s="53"/>
      <c r="AE62" s="53">
        <f>625454-117410</f>
        <v>508044</v>
      </c>
      <c r="AF62" s="53"/>
      <c r="AG62" s="53">
        <v>117410</v>
      </c>
      <c r="AH62" s="53"/>
      <c r="AI62" s="45">
        <f t="shared" si="3"/>
        <v>63860</v>
      </c>
      <c r="AJ62" s="45"/>
      <c r="AK62" s="53">
        <v>-31552</v>
      </c>
      <c r="AL62" s="45"/>
      <c r="AM62" s="53">
        <v>0</v>
      </c>
      <c r="AN62" s="53"/>
      <c r="AO62" s="53">
        <v>0</v>
      </c>
      <c r="AP62" s="53"/>
      <c r="AQ62" s="53">
        <v>0</v>
      </c>
      <c r="AR62" s="53"/>
      <c r="AS62" s="45">
        <f t="shared" si="4"/>
        <v>32308</v>
      </c>
      <c r="AT62" s="45"/>
      <c r="AU62" s="53">
        <v>0</v>
      </c>
      <c r="AV62" s="53"/>
      <c r="AW62" s="53">
        <v>0</v>
      </c>
      <c r="AX62" s="53"/>
      <c r="AY62" s="53">
        <f t="shared" si="5"/>
        <v>15891</v>
      </c>
      <c r="AZ62" s="53"/>
      <c r="BA62" s="47" t="s">
        <v>465</v>
      </c>
      <c r="BB62" s="47"/>
      <c r="BC62" s="47" t="s">
        <v>57</v>
      </c>
      <c r="BD62" s="53"/>
      <c r="BE62" s="53">
        <v>0</v>
      </c>
      <c r="BF62" s="53"/>
      <c r="BG62" s="53">
        <v>0</v>
      </c>
      <c r="BH62" s="53"/>
      <c r="BI62" s="53">
        <f>40478+407649</f>
        <v>448127</v>
      </c>
      <c r="BJ62" s="53"/>
      <c r="BK62" s="53">
        <f>9641+302000+27119+133804+763000+23286</f>
        <v>1258850</v>
      </c>
      <c r="BL62" s="53"/>
      <c r="BM62" s="53">
        <f t="shared" si="19"/>
        <v>1706977</v>
      </c>
      <c r="BN62" s="54" t="s">
        <v>347</v>
      </c>
      <c r="BR62" s="51"/>
      <c r="BS62" s="53"/>
      <c r="BT62" s="53"/>
      <c r="BU62" s="53"/>
      <c r="BV62" s="53"/>
      <c r="BW62" s="53"/>
      <c r="BX62" s="45"/>
      <c r="BY62" s="45"/>
      <c r="BZ62" s="53"/>
      <c r="CA62" s="53"/>
      <c r="CB62" s="53"/>
      <c r="CC62" s="53"/>
      <c r="CD62" s="53"/>
      <c r="CE62" s="53"/>
      <c r="CF62" s="35"/>
      <c r="CH62" s="35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4"/>
    </row>
    <row r="63" spans="1:98" s="55" customFormat="1" ht="12.75" customHeight="1">
      <c r="A63" s="35" t="s">
        <v>82</v>
      </c>
      <c r="B63" s="51"/>
      <c r="C63" s="35" t="s">
        <v>13</v>
      </c>
      <c r="D63" s="44"/>
      <c r="E63" s="53">
        <f t="shared" si="14"/>
        <v>7475758</v>
      </c>
      <c r="F63" s="53"/>
      <c r="G63" s="53">
        <v>19221410</v>
      </c>
      <c r="H63" s="53"/>
      <c r="I63" s="53">
        <v>26697168</v>
      </c>
      <c r="J63" s="53"/>
      <c r="K63" s="53">
        <f t="shared" si="1"/>
        <v>1277558</v>
      </c>
      <c r="L63" s="53"/>
      <c r="M63" s="53">
        <v>7899018</v>
      </c>
      <c r="N63" s="53"/>
      <c r="O63" s="53">
        <v>9176576</v>
      </c>
      <c r="P63" s="53"/>
      <c r="Q63" s="53">
        <v>13630433</v>
      </c>
      <c r="R63" s="53"/>
      <c r="S63" s="53">
        <v>0</v>
      </c>
      <c r="T63" s="53"/>
      <c r="U63" s="53">
        <v>3890159</v>
      </c>
      <c r="V63" s="53"/>
      <c r="W63" s="53">
        <f t="shared" ref="W63:W64" si="21">SUM(Q63:U63)</f>
        <v>17520592</v>
      </c>
      <c r="X63" s="53"/>
      <c r="Y63" s="35" t="s">
        <v>82</v>
      </c>
      <c r="AA63" s="35" t="s">
        <v>13</v>
      </c>
      <c r="AB63" s="35"/>
      <c r="AC63" s="53">
        <v>5557010</v>
      </c>
      <c r="AD63" s="53"/>
      <c r="AE63" s="53">
        <v>4534495</v>
      </c>
      <c r="AF63" s="53"/>
      <c r="AG63" s="53">
        <v>0</v>
      </c>
      <c r="AH63" s="53"/>
      <c r="AI63" s="45">
        <f t="shared" si="3"/>
        <v>1022515</v>
      </c>
      <c r="AJ63" s="45"/>
      <c r="AK63" s="53">
        <v>91023</v>
      </c>
      <c r="AL63" s="45"/>
      <c r="AM63" s="53">
        <v>0</v>
      </c>
      <c r="AN63" s="53"/>
      <c r="AO63" s="53">
        <v>0</v>
      </c>
      <c r="AP63" s="53"/>
      <c r="AQ63" s="53">
        <v>0</v>
      </c>
      <c r="AR63" s="53"/>
      <c r="AS63" s="45">
        <f t="shared" si="4"/>
        <v>1113538</v>
      </c>
      <c r="AT63" s="45"/>
      <c r="AU63" s="53">
        <v>0</v>
      </c>
      <c r="AV63" s="53"/>
      <c r="AW63" s="53">
        <v>0</v>
      </c>
      <c r="AX63" s="53"/>
      <c r="AY63" s="53">
        <f t="shared" si="5"/>
        <v>6198200</v>
      </c>
      <c r="AZ63" s="53"/>
      <c r="BA63" s="35" t="s">
        <v>82</v>
      </c>
      <c r="BC63" s="35" t="s">
        <v>13</v>
      </c>
      <c r="BD63" s="53"/>
      <c r="BE63" s="53">
        <f>2275888+5124+251000</f>
        <v>2532012</v>
      </c>
      <c r="BF63" s="53"/>
      <c r="BG63" s="53">
        <v>0</v>
      </c>
      <c r="BH63" s="53"/>
      <c r="BI63" s="53">
        <v>0</v>
      </c>
      <c r="BJ63" s="53"/>
      <c r="BK63" s="53">
        <f>113338+5164668+340000+14385+85000</f>
        <v>5717391</v>
      </c>
      <c r="BL63" s="53"/>
      <c r="BM63" s="53">
        <f t="shared" si="19"/>
        <v>8249403</v>
      </c>
      <c r="BN63" s="54" t="s">
        <v>347</v>
      </c>
      <c r="BR63" s="51"/>
      <c r="BS63" s="53"/>
      <c r="BT63" s="53"/>
      <c r="BU63" s="53"/>
      <c r="BV63" s="53"/>
      <c r="BW63" s="53"/>
      <c r="BX63" s="45"/>
      <c r="BY63" s="45"/>
      <c r="BZ63" s="53"/>
      <c r="CA63" s="53"/>
      <c r="CB63" s="53"/>
      <c r="CC63" s="53"/>
      <c r="CD63" s="53"/>
      <c r="CE63" s="53"/>
      <c r="CF63" s="35"/>
      <c r="CH63" s="35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4"/>
    </row>
    <row r="64" spans="1:98" s="55" customFormat="1" ht="12.75" customHeight="1">
      <c r="A64" s="35" t="s">
        <v>83</v>
      </c>
      <c r="B64" s="51"/>
      <c r="C64" s="35" t="s">
        <v>66</v>
      </c>
      <c r="D64" s="44"/>
      <c r="E64" s="53">
        <f t="shared" si="14"/>
        <v>33001715</v>
      </c>
      <c r="F64" s="53"/>
      <c r="G64" s="53">
        <v>90057273</v>
      </c>
      <c r="H64" s="53"/>
      <c r="I64" s="53">
        <v>123058988</v>
      </c>
      <c r="J64" s="53"/>
      <c r="K64" s="53">
        <f t="shared" si="1"/>
        <v>6214821</v>
      </c>
      <c r="L64" s="53"/>
      <c r="M64" s="53">
        <v>11253719</v>
      </c>
      <c r="N64" s="53"/>
      <c r="O64" s="53">
        <v>17468540</v>
      </c>
      <c r="P64" s="53"/>
      <c r="Q64" s="53">
        <v>78388781</v>
      </c>
      <c r="R64" s="53"/>
      <c r="S64" s="53">
        <v>0</v>
      </c>
      <c r="T64" s="53"/>
      <c r="U64" s="53">
        <v>27201667</v>
      </c>
      <c r="V64" s="53"/>
      <c r="W64" s="53">
        <f t="shared" si="21"/>
        <v>105590448</v>
      </c>
      <c r="X64" s="53"/>
      <c r="Y64" s="35" t="s">
        <v>83</v>
      </c>
      <c r="AA64" s="35" t="s">
        <v>66</v>
      </c>
      <c r="AB64" s="35"/>
      <c r="AC64" s="53">
        <v>30998739</v>
      </c>
      <c r="AD64" s="53"/>
      <c r="AE64" s="53">
        <f>31458777-7722188</f>
        <v>23736589</v>
      </c>
      <c r="AF64" s="53"/>
      <c r="AG64" s="53">
        <v>7722188</v>
      </c>
      <c r="AH64" s="53"/>
      <c r="AI64" s="45">
        <f t="shared" si="3"/>
        <v>-460038</v>
      </c>
      <c r="AJ64" s="45"/>
      <c r="AK64" s="53">
        <v>-451675</v>
      </c>
      <c r="AL64" s="45"/>
      <c r="AM64" s="53">
        <v>104586</v>
      </c>
      <c r="AN64" s="53"/>
      <c r="AO64" s="53">
        <v>0</v>
      </c>
      <c r="AP64" s="53"/>
      <c r="AQ64" s="53">
        <v>0</v>
      </c>
      <c r="AR64" s="53"/>
      <c r="AS64" s="45">
        <f t="shared" si="4"/>
        <v>-807127</v>
      </c>
      <c r="AT64" s="45"/>
      <c r="AU64" s="53">
        <v>0</v>
      </c>
      <c r="AV64" s="53"/>
      <c r="AW64" s="53">
        <v>0</v>
      </c>
      <c r="AX64" s="53"/>
      <c r="AY64" s="53">
        <f t="shared" si="5"/>
        <v>26786894</v>
      </c>
      <c r="AZ64" s="53"/>
      <c r="BA64" s="35" t="s">
        <v>83</v>
      </c>
      <c r="BC64" s="35" t="s">
        <v>66</v>
      </c>
      <c r="BD64" s="53"/>
      <c r="BE64" s="53">
        <v>0</v>
      </c>
      <c r="BF64" s="53"/>
      <c r="BG64" s="53">
        <v>0</v>
      </c>
      <c r="BH64" s="53"/>
      <c r="BI64" s="53">
        <f>500000+10441777+50000+676715</f>
        <v>11668492</v>
      </c>
      <c r="BJ64" s="53"/>
      <c r="BK64" s="53">
        <f>311942+325155</f>
        <v>637097</v>
      </c>
      <c r="BL64" s="53"/>
      <c r="BM64" s="53">
        <f t="shared" si="19"/>
        <v>12305589</v>
      </c>
      <c r="BN64" s="54" t="s">
        <v>347</v>
      </c>
      <c r="BR64" s="51"/>
      <c r="BS64" s="53"/>
      <c r="BT64" s="53"/>
      <c r="BU64" s="53"/>
      <c r="BV64" s="53"/>
      <c r="BW64" s="45"/>
      <c r="BX64" s="45"/>
      <c r="BY64" s="53"/>
      <c r="BZ64" s="53"/>
      <c r="CA64" s="53"/>
      <c r="CB64" s="53"/>
      <c r="CC64" s="53"/>
      <c r="CD64" s="53"/>
      <c r="CE64" s="53"/>
      <c r="CF64" s="35"/>
      <c r="CH64" s="35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4"/>
    </row>
    <row r="65" spans="1:105" s="140" customFormat="1" ht="12.75" hidden="1" customHeight="1">
      <c r="A65" s="126" t="s">
        <v>84</v>
      </c>
      <c r="B65" s="124"/>
      <c r="C65" s="126" t="s">
        <v>45</v>
      </c>
      <c r="D65" s="121"/>
      <c r="E65" s="53">
        <f t="shared" si="14"/>
        <v>0</v>
      </c>
      <c r="F65" s="137"/>
      <c r="G65" s="53">
        <v>0</v>
      </c>
      <c r="H65" s="53"/>
      <c r="I65" s="53">
        <v>0</v>
      </c>
      <c r="J65" s="137"/>
      <c r="K65" s="137">
        <f t="shared" si="1"/>
        <v>0</v>
      </c>
      <c r="L65" s="137"/>
      <c r="M65" s="53">
        <v>0</v>
      </c>
      <c r="N65" s="53"/>
      <c r="O65" s="53">
        <v>0</v>
      </c>
      <c r="P65" s="53"/>
      <c r="Q65" s="53">
        <v>0</v>
      </c>
      <c r="R65" s="53"/>
      <c r="S65" s="53">
        <v>0</v>
      </c>
      <c r="T65" s="53"/>
      <c r="U65" s="53">
        <v>0</v>
      </c>
      <c r="V65" s="137"/>
      <c r="W65" s="137">
        <f t="shared" si="18"/>
        <v>0</v>
      </c>
      <c r="X65" s="137"/>
      <c r="Y65" s="126" t="s">
        <v>84</v>
      </c>
      <c r="AA65" s="126" t="s">
        <v>45</v>
      </c>
      <c r="AB65" s="126"/>
      <c r="AC65" s="53">
        <v>0</v>
      </c>
      <c r="AD65" s="53"/>
      <c r="AE65" s="53">
        <v>0</v>
      </c>
      <c r="AF65" s="53"/>
      <c r="AG65" s="53">
        <v>0</v>
      </c>
      <c r="AH65" s="137"/>
      <c r="AI65" s="127">
        <f t="shared" si="3"/>
        <v>0</v>
      </c>
      <c r="AJ65" s="127"/>
      <c r="AK65" s="53">
        <v>0</v>
      </c>
      <c r="AL65" s="45"/>
      <c r="AM65" s="53">
        <v>0</v>
      </c>
      <c r="AN65" s="53"/>
      <c r="AO65" s="53">
        <v>0</v>
      </c>
      <c r="AP65" s="53"/>
      <c r="AQ65" s="53">
        <v>0</v>
      </c>
      <c r="AR65" s="137"/>
      <c r="AS65" s="45">
        <f t="shared" si="4"/>
        <v>0</v>
      </c>
      <c r="AT65" s="127"/>
      <c r="AU65" s="137">
        <v>0</v>
      </c>
      <c r="AV65" s="137"/>
      <c r="AW65" s="137">
        <v>0</v>
      </c>
      <c r="AX65" s="137"/>
      <c r="AY65" s="137">
        <f t="shared" si="5"/>
        <v>0</v>
      </c>
      <c r="AZ65" s="137"/>
      <c r="BA65" s="126" t="s">
        <v>84</v>
      </c>
      <c r="BC65" s="126" t="s">
        <v>45</v>
      </c>
      <c r="BD65" s="137"/>
      <c r="BE65" s="53">
        <v>0</v>
      </c>
      <c r="BF65" s="53"/>
      <c r="BG65" s="53">
        <v>0</v>
      </c>
      <c r="BH65" s="53"/>
      <c r="BI65" s="53">
        <v>0</v>
      </c>
      <c r="BJ65" s="53"/>
      <c r="BK65" s="53">
        <v>0</v>
      </c>
      <c r="BL65" s="137"/>
      <c r="BM65" s="137">
        <f t="shared" si="19"/>
        <v>0</v>
      </c>
      <c r="BN65" s="139" t="s">
        <v>347</v>
      </c>
      <c r="BR65" s="124"/>
      <c r="BS65" s="137"/>
      <c r="BT65" s="137"/>
      <c r="BU65" s="137"/>
      <c r="BV65" s="137"/>
      <c r="BW65" s="127"/>
      <c r="BX65" s="127"/>
      <c r="BY65" s="137"/>
      <c r="BZ65" s="137"/>
      <c r="CA65" s="137"/>
      <c r="CB65" s="137"/>
      <c r="CC65" s="137"/>
      <c r="CD65" s="137"/>
      <c r="CE65" s="137"/>
      <c r="CF65" s="126"/>
      <c r="CH65" s="126"/>
      <c r="CI65" s="137"/>
      <c r="CJ65" s="137"/>
      <c r="CK65" s="137"/>
      <c r="CL65" s="137"/>
      <c r="CM65" s="137"/>
      <c r="CN65" s="137"/>
      <c r="CO65" s="137"/>
      <c r="CP65" s="137"/>
      <c r="CQ65" s="137"/>
      <c r="CR65" s="137"/>
      <c r="CS65" s="139"/>
    </row>
    <row r="66" spans="1:105" s="55" customFormat="1" ht="12.75" customHeight="1">
      <c r="A66" s="35" t="s">
        <v>85</v>
      </c>
      <c r="B66" s="51"/>
      <c r="C66" s="35" t="s">
        <v>85</v>
      </c>
      <c r="D66" s="44"/>
      <c r="E66" s="53">
        <f t="shared" si="14"/>
        <v>2792534</v>
      </c>
      <c r="F66" s="53"/>
      <c r="G66" s="53">
        <v>34243028</v>
      </c>
      <c r="H66" s="53"/>
      <c r="I66" s="53">
        <v>37035562</v>
      </c>
      <c r="J66" s="53"/>
      <c r="K66" s="53">
        <f t="shared" si="1"/>
        <v>6546389</v>
      </c>
      <c r="L66" s="53"/>
      <c r="M66" s="53">
        <v>21023357</v>
      </c>
      <c r="N66" s="53"/>
      <c r="O66" s="53">
        <v>27569746</v>
      </c>
      <c r="P66" s="53"/>
      <c r="Q66" s="53">
        <v>7888258</v>
      </c>
      <c r="R66" s="53"/>
      <c r="S66" s="53">
        <v>0</v>
      </c>
      <c r="T66" s="53"/>
      <c r="U66" s="53">
        <v>1577558</v>
      </c>
      <c r="V66" s="53"/>
      <c r="W66" s="53">
        <f t="shared" si="18"/>
        <v>9465816</v>
      </c>
      <c r="X66" s="53"/>
      <c r="Y66" s="35" t="s">
        <v>85</v>
      </c>
      <c r="AA66" s="35" t="s">
        <v>85</v>
      </c>
      <c r="AB66" s="35"/>
      <c r="AC66" s="53">
        <v>4942348</v>
      </c>
      <c r="AD66" s="53"/>
      <c r="AE66" s="53">
        <f>3427502-542906</f>
        <v>2884596</v>
      </c>
      <c r="AF66" s="53"/>
      <c r="AG66" s="53">
        <v>542906</v>
      </c>
      <c r="AH66" s="53"/>
      <c r="AI66" s="45">
        <f t="shared" si="3"/>
        <v>1514846</v>
      </c>
      <c r="AJ66" s="45"/>
      <c r="AK66" s="53">
        <f>-531570+437711</f>
        <v>-93859</v>
      </c>
      <c r="AL66" s="45"/>
      <c r="AM66" s="53">
        <v>4665</v>
      </c>
      <c r="AN66" s="53"/>
      <c r="AO66" s="53">
        <v>0</v>
      </c>
      <c r="AP66" s="53"/>
      <c r="AQ66" s="53">
        <v>0</v>
      </c>
      <c r="AR66" s="53"/>
      <c r="AS66" s="45">
        <f t="shared" si="4"/>
        <v>1425652</v>
      </c>
      <c r="AT66" s="45"/>
      <c r="AU66" s="53">
        <v>0</v>
      </c>
      <c r="AV66" s="53"/>
      <c r="AW66" s="53">
        <v>0</v>
      </c>
      <c r="AX66" s="53"/>
      <c r="AY66" s="53">
        <f t="shared" si="5"/>
        <v>-3753855</v>
      </c>
      <c r="AZ66" s="53"/>
      <c r="BA66" s="35" t="s">
        <v>85</v>
      </c>
      <c r="BC66" s="35" t="s">
        <v>85</v>
      </c>
      <c r="BD66" s="53"/>
      <c r="BE66" s="53">
        <v>0</v>
      </c>
      <c r="BF66" s="53"/>
      <c r="BG66" s="53">
        <v>0</v>
      </c>
      <c r="BH66" s="53"/>
      <c r="BI66" s="53">
        <f>10710+1067177+20788810</f>
        <v>21866697</v>
      </c>
      <c r="BJ66" s="53"/>
      <c r="BK66" s="53">
        <f>38402+6836+816+38626+94182+101739</f>
        <v>280601</v>
      </c>
      <c r="BL66" s="53"/>
      <c r="BM66" s="53">
        <f t="shared" si="19"/>
        <v>22147298</v>
      </c>
      <c r="BN66" s="54" t="s">
        <v>347</v>
      </c>
      <c r="BR66" s="51"/>
      <c r="BS66" s="53"/>
      <c r="BT66" s="53"/>
      <c r="BU66" s="53"/>
      <c r="BV66" s="53"/>
      <c r="BW66" s="45"/>
      <c r="BX66" s="45"/>
      <c r="BY66" s="53"/>
      <c r="BZ66" s="53"/>
      <c r="CA66" s="53"/>
      <c r="CB66" s="53"/>
      <c r="CC66" s="53"/>
      <c r="CD66" s="53"/>
      <c r="CE66" s="53"/>
      <c r="CF66" s="35"/>
      <c r="CH66" s="35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4"/>
    </row>
    <row r="67" spans="1:105" s="55" customFormat="1" ht="12.75" customHeight="1">
      <c r="A67" s="35" t="s">
        <v>86</v>
      </c>
      <c r="B67" s="51"/>
      <c r="C67" s="35" t="s">
        <v>86</v>
      </c>
      <c r="D67" s="44"/>
      <c r="E67" s="53">
        <f t="shared" si="14"/>
        <v>6286365</v>
      </c>
      <c r="F67" s="53"/>
      <c r="G67" s="53">
        <v>69476584</v>
      </c>
      <c r="H67" s="53"/>
      <c r="I67" s="53">
        <v>75762949</v>
      </c>
      <c r="J67" s="53"/>
      <c r="K67" s="53">
        <f t="shared" si="1"/>
        <v>2113166</v>
      </c>
      <c r="L67" s="53"/>
      <c r="M67" s="53">
        <v>42431454</v>
      </c>
      <c r="N67" s="53"/>
      <c r="O67" s="53">
        <v>44544620</v>
      </c>
      <c r="P67" s="53"/>
      <c r="Q67" s="53">
        <v>28718810</v>
      </c>
      <c r="R67" s="53"/>
      <c r="S67" s="53">
        <v>0</v>
      </c>
      <c r="T67" s="53"/>
      <c r="U67" s="53">
        <v>5466519</v>
      </c>
      <c r="V67" s="53"/>
      <c r="W67" s="53">
        <f t="shared" si="18"/>
        <v>34185329</v>
      </c>
      <c r="X67" s="53"/>
      <c r="Y67" s="35" t="s">
        <v>86</v>
      </c>
      <c r="AA67" s="35" t="s">
        <v>86</v>
      </c>
      <c r="AB67" s="35"/>
      <c r="AC67" s="53">
        <v>6481185</v>
      </c>
      <c r="AD67" s="53"/>
      <c r="AE67" s="53">
        <f>5516649-2515216</f>
        <v>3001433</v>
      </c>
      <c r="AF67" s="53"/>
      <c r="AG67" s="53">
        <v>2515216</v>
      </c>
      <c r="AH67" s="53"/>
      <c r="AI67" s="45">
        <f t="shared" si="3"/>
        <v>964536</v>
      </c>
      <c r="AJ67" s="45"/>
      <c r="AK67" s="53">
        <v>-1610897</v>
      </c>
      <c r="AL67" s="45"/>
      <c r="AM67" s="53">
        <v>0</v>
      </c>
      <c r="AN67" s="53"/>
      <c r="AO67" s="53">
        <v>0</v>
      </c>
      <c r="AP67" s="53"/>
      <c r="AQ67" s="53">
        <v>257870</v>
      </c>
      <c r="AR67" s="53"/>
      <c r="AS67" s="45">
        <f t="shared" si="4"/>
        <v>-388491</v>
      </c>
      <c r="AT67" s="45"/>
      <c r="AU67" s="53">
        <v>0</v>
      </c>
      <c r="AV67" s="53"/>
      <c r="AW67" s="53">
        <v>0</v>
      </c>
      <c r="AX67" s="53"/>
      <c r="AY67" s="53">
        <f t="shared" si="5"/>
        <v>4173199</v>
      </c>
      <c r="AZ67" s="53"/>
      <c r="BA67" s="35" t="s">
        <v>86</v>
      </c>
      <c r="BC67" s="35" t="s">
        <v>86</v>
      </c>
      <c r="BD67" s="53"/>
      <c r="BE67" s="53">
        <f>535000+19961274</f>
        <v>20496274</v>
      </c>
      <c r="BF67" s="53"/>
      <c r="BG67" s="53">
        <v>0</v>
      </c>
      <c r="BH67" s="53"/>
      <c r="BI67" s="53">
        <f>1006304+22238347</f>
        <v>23244651</v>
      </c>
      <c r="BJ67" s="53"/>
      <c r="BK67" s="53">
        <f>6782+214984+10067+47202</f>
        <v>279035</v>
      </c>
      <c r="BL67" s="53"/>
      <c r="BM67" s="53">
        <f t="shared" si="19"/>
        <v>44019960</v>
      </c>
      <c r="BN67" s="54" t="s">
        <v>347</v>
      </c>
      <c r="BR67" s="51"/>
      <c r="BS67" s="53"/>
      <c r="BT67" s="53"/>
      <c r="BU67" s="53"/>
      <c r="BV67" s="53"/>
      <c r="BW67" s="45"/>
      <c r="BX67" s="45"/>
      <c r="BY67" s="53"/>
      <c r="BZ67" s="53"/>
      <c r="CA67" s="53"/>
      <c r="CB67" s="53"/>
      <c r="CC67" s="53"/>
      <c r="CD67" s="53"/>
      <c r="CE67" s="53"/>
      <c r="CF67" s="35"/>
      <c r="CH67" s="35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4"/>
    </row>
    <row r="68" spans="1:105" s="55" customFormat="1" ht="12.75" customHeight="1">
      <c r="A68" s="64" t="s">
        <v>87</v>
      </c>
      <c r="B68" s="90"/>
      <c r="C68" s="64" t="s">
        <v>88</v>
      </c>
      <c r="D68" s="46"/>
      <c r="E68" s="53">
        <f t="shared" si="14"/>
        <v>2564339</v>
      </c>
      <c r="F68" s="53"/>
      <c r="G68" s="53">
        <v>33863531</v>
      </c>
      <c r="H68" s="53"/>
      <c r="I68" s="53">
        <v>36427870</v>
      </c>
      <c r="J68" s="53"/>
      <c r="K68" s="53">
        <f t="shared" si="1"/>
        <v>2172965</v>
      </c>
      <c r="L68" s="53"/>
      <c r="M68" s="53">
        <v>28999921</v>
      </c>
      <c r="N68" s="53"/>
      <c r="O68" s="53">
        <v>31172886</v>
      </c>
      <c r="P68" s="53"/>
      <c r="Q68" s="53">
        <v>2926308</v>
      </c>
      <c r="R68" s="53"/>
      <c r="S68" s="53">
        <v>0</v>
      </c>
      <c r="T68" s="53"/>
      <c r="U68" s="53">
        <v>2328676</v>
      </c>
      <c r="V68" s="53"/>
      <c r="W68" s="53">
        <f t="shared" si="18"/>
        <v>5254984</v>
      </c>
      <c r="X68" s="79"/>
      <c r="Y68" s="64" t="s">
        <v>87</v>
      </c>
      <c r="Z68" s="90"/>
      <c r="AA68" s="64" t="s">
        <v>88</v>
      </c>
      <c r="AB68" s="64"/>
      <c r="AC68" s="53">
        <v>3219219</v>
      </c>
      <c r="AD68" s="53"/>
      <c r="AE68" s="53">
        <f>3617413-1927068</f>
        <v>1690345</v>
      </c>
      <c r="AF68" s="53"/>
      <c r="AG68" s="53">
        <v>1927068</v>
      </c>
      <c r="AH68" s="53"/>
      <c r="AI68" s="45">
        <f t="shared" si="3"/>
        <v>-398194</v>
      </c>
      <c r="AJ68" s="45"/>
      <c r="AK68" s="53">
        <v>-328261</v>
      </c>
      <c r="AL68" s="45"/>
      <c r="AM68" s="53">
        <v>900000</v>
      </c>
      <c r="AN68" s="53"/>
      <c r="AO68" s="53">
        <v>0</v>
      </c>
      <c r="AP68" s="53"/>
      <c r="AQ68" s="53">
        <v>0</v>
      </c>
      <c r="AR68" s="53"/>
      <c r="AS68" s="45">
        <f t="shared" si="4"/>
        <v>173545</v>
      </c>
      <c r="AT68" s="45"/>
      <c r="AU68" s="53">
        <v>0</v>
      </c>
      <c r="AV68" s="53"/>
      <c r="AW68" s="53">
        <v>0</v>
      </c>
      <c r="AX68" s="53"/>
      <c r="AY68" s="53">
        <f t="shared" si="5"/>
        <v>391374</v>
      </c>
      <c r="AZ68" s="79"/>
      <c r="BA68" s="64" t="s">
        <v>87</v>
      </c>
      <c r="BB68" s="90"/>
      <c r="BC68" s="64" t="s">
        <v>88</v>
      </c>
      <c r="BD68" s="79"/>
      <c r="BE68" s="53">
        <v>0</v>
      </c>
      <c r="BF68" s="53"/>
      <c r="BG68" s="53">
        <v>0</v>
      </c>
      <c r="BH68" s="53"/>
      <c r="BI68" s="53">
        <f>28936178+2001045</f>
        <v>30937223</v>
      </c>
      <c r="BJ68" s="53"/>
      <c r="BK68" s="53">
        <f>29748+63743</f>
        <v>93491</v>
      </c>
      <c r="BL68" s="53"/>
      <c r="BM68" s="53">
        <f t="shared" si="19"/>
        <v>31030714</v>
      </c>
      <c r="BN68" s="54" t="s">
        <v>347</v>
      </c>
      <c r="BO68" s="35"/>
      <c r="BP68" s="35"/>
      <c r="BR68" s="51"/>
      <c r="BS68" s="53"/>
      <c r="BT68" s="53"/>
      <c r="BU68" s="53"/>
      <c r="BV68" s="53"/>
      <c r="BW68" s="45"/>
      <c r="BX68" s="45"/>
      <c r="BY68" s="53"/>
      <c r="BZ68" s="53"/>
      <c r="CA68" s="53"/>
      <c r="CB68" s="53"/>
      <c r="CC68" s="53"/>
      <c r="CD68" s="53"/>
      <c r="CE68" s="53"/>
      <c r="CF68" s="35"/>
      <c r="CH68" s="35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4"/>
      <c r="CT68" s="35"/>
      <c r="CU68" s="35"/>
    </row>
    <row r="69" spans="1:105" s="55" customFormat="1" ht="12.75" customHeight="1">
      <c r="A69" s="35" t="s">
        <v>394</v>
      </c>
      <c r="B69" s="51"/>
      <c r="C69" s="35" t="s">
        <v>89</v>
      </c>
      <c r="D69" s="44"/>
      <c r="E69" s="53">
        <f t="shared" si="14"/>
        <v>3961392</v>
      </c>
      <c r="F69" s="53"/>
      <c r="G69" s="53">
        <v>23886279</v>
      </c>
      <c r="H69" s="53"/>
      <c r="I69" s="53">
        <v>27847671</v>
      </c>
      <c r="J69" s="53"/>
      <c r="K69" s="53">
        <f t="shared" si="1"/>
        <v>271626</v>
      </c>
      <c r="L69" s="53"/>
      <c r="M69" s="53">
        <v>13107193</v>
      </c>
      <c r="N69" s="53"/>
      <c r="O69" s="53">
        <v>13378819</v>
      </c>
      <c r="P69" s="53"/>
      <c r="Q69" s="53">
        <v>11090668</v>
      </c>
      <c r="R69" s="53"/>
      <c r="S69" s="53">
        <v>0</v>
      </c>
      <c r="T69" s="53"/>
      <c r="U69" s="53">
        <v>3378184</v>
      </c>
      <c r="V69" s="53"/>
      <c r="W69" s="53">
        <f t="shared" si="18"/>
        <v>14468852</v>
      </c>
      <c r="X69" s="53"/>
      <c r="Y69" s="35" t="s">
        <v>394</v>
      </c>
      <c r="AA69" s="35" t="s">
        <v>89</v>
      </c>
      <c r="AB69" s="35"/>
      <c r="AC69" s="53">
        <v>4036756</v>
      </c>
      <c r="AD69" s="53"/>
      <c r="AE69" s="53">
        <f>3171175-388027</f>
        <v>2783148</v>
      </c>
      <c r="AF69" s="53"/>
      <c r="AG69" s="53">
        <v>388027</v>
      </c>
      <c r="AH69" s="53"/>
      <c r="AI69" s="45">
        <f t="shared" si="3"/>
        <v>865581</v>
      </c>
      <c r="AJ69" s="45"/>
      <c r="AK69" s="53">
        <v>-442512</v>
      </c>
      <c r="AL69" s="45"/>
      <c r="AM69" s="53">
        <v>0</v>
      </c>
      <c r="AN69" s="53"/>
      <c r="AO69" s="53">
        <v>0</v>
      </c>
      <c r="AP69" s="53"/>
      <c r="AQ69" s="53">
        <v>0</v>
      </c>
      <c r="AR69" s="53"/>
      <c r="AS69" s="45">
        <f t="shared" si="4"/>
        <v>423069</v>
      </c>
      <c r="AT69" s="45"/>
      <c r="AU69" s="53">
        <v>0</v>
      </c>
      <c r="AV69" s="53"/>
      <c r="AW69" s="53">
        <v>0</v>
      </c>
      <c r="AX69" s="53"/>
      <c r="AY69" s="53">
        <f t="shared" si="5"/>
        <v>3689766</v>
      </c>
      <c r="AZ69" s="53"/>
      <c r="BA69" s="35" t="s">
        <v>395</v>
      </c>
      <c r="BC69" s="35" t="s">
        <v>89</v>
      </c>
      <c r="BD69" s="53"/>
      <c r="BE69" s="53">
        <v>0</v>
      </c>
      <c r="BF69" s="53"/>
      <c r="BG69" s="53">
        <v>12795611</v>
      </c>
      <c r="BH69" s="53"/>
      <c r="BI69" s="53">
        <f>311582+44554</f>
        <v>356136</v>
      </c>
      <c r="BJ69" s="53"/>
      <c r="BK69" s="53">
        <v>0</v>
      </c>
      <c r="BL69" s="53"/>
      <c r="BM69" s="53">
        <v>0</v>
      </c>
      <c r="BN69" s="54" t="s">
        <v>347</v>
      </c>
      <c r="BR69" s="51"/>
      <c r="BS69" s="53"/>
      <c r="BT69" s="53"/>
      <c r="BU69" s="53"/>
      <c r="BV69" s="53"/>
      <c r="BW69" s="53"/>
      <c r="BX69" s="45"/>
      <c r="BY69" s="45"/>
      <c r="BZ69" s="53"/>
      <c r="CA69" s="53"/>
      <c r="CB69" s="53"/>
      <c r="CC69" s="53"/>
      <c r="CD69" s="53"/>
      <c r="CE69" s="53"/>
      <c r="CF69" s="35"/>
      <c r="CH69" s="35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4"/>
    </row>
    <row r="70" spans="1:105" s="55" customFormat="1" ht="12.75" customHeight="1">
      <c r="A70" s="35" t="s">
        <v>90</v>
      </c>
      <c r="B70" s="96"/>
      <c r="C70" s="35" t="s">
        <v>43</v>
      </c>
      <c r="D70" s="44"/>
      <c r="E70" s="53">
        <f t="shared" si="14"/>
        <v>12011800</v>
      </c>
      <c r="F70" s="53"/>
      <c r="G70" s="53">
        <v>42829248</v>
      </c>
      <c r="H70" s="53"/>
      <c r="I70" s="53">
        <v>54841048</v>
      </c>
      <c r="J70" s="53"/>
      <c r="K70" s="53">
        <f t="shared" si="1"/>
        <v>1312833</v>
      </c>
      <c r="L70" s="53"/>
      <c r="M70" s="53">
        <v>11247745</v>
      </c>
      <c r="N70" s="53"/>
      <c r="O70" s="53">
        <v>12560578</v>
      </c>
      <c r="P70" s="53"/>
      <c r="Q70" s="53">
        <v>30608791</v>
      </c>
      <c r="R70" s="53"/>
      <c r="S70" s="53">
        <v>0</v>
      </c>
      <c r="T70" s="53"/>
      <c r="U70" s="53">
        <v>11671679</v>
      </c>
      <c r="V70" s="53"/>
      <c r="W70" s="53">
        <f t="shared" si="18"/>
        <v>42280470</v>
      </c>
      <c r="X70" s="53"/>
      <c r="Y70" s="35" t="s">
        <v>90</v>
      </c>
      <c r="AA70" s="35" t="s">
        <v>43</v>
      </c>
      <c r="AB70" s="35"/>
      <c r="AC70" s="53">
        <v>1837696</v>
      </c>
      <c r="AD70" s="53"/>
      <c r="AE70" s="53">
        <f>2930555-1206544</f>
        <v>1724011</v>
      </c>
      <c r="AF70" s="53"/>
      <c r="AG70" s="53">
        <v>1206544</v>
      </c>
      <c r="AH70" s="53"/>
      <c r="AI70" s="45">
        <f t="shared" si="3"/>
        <v>-1092859</v>
      </c>
      <c r="AJ70" s="45"/>
      <c r="AK70" s="53">
        <v>-330352</v>
      </c>
      <c r="AL70" s="45"/>
      <c r="AM70" s="53">
        <v>0</v>
      </c>
      <c r="AN70" s="53"/>
      <c r="AO70" s="53">
        <v>0</v>
      </c>
      <c r="AP70" s="53"/>
      <c r="AQ70" s="53">
        <v>94707</v>
      </c>
      <c r="AR70" s="53"/>
      <c r="AS70" s="45">
        <f t="shared" si="4"/>
        <v>-1328504</v>
      </c>
      <c r="AT70" s="45"/>
      <c r="AU70" s="53">
        <v>0</v>
      </c>
      <c r="AV70" s="53"/>
      <c r="AW70" s="53">
        <v>0</v>
      </c>
      <c r="AX70" s="53"/>
      <c r="AY70" s="53">
        <f t="shared" si="5"/>
        <v>10698967</v>
      </c>
      <c r="AZ70" s="53"/>
      <c r="BA70" s="35" t="s">
        <v>90</v>
      </c>
      <c r="BC70" s="35" t="s">
        <v>43</v>
      </c>
      <c r="BD70" s="53"/>
      <c r="BE70" s="53">
        <v>0</v>
      </c>
      <c r="BF70" s="53"/>
      <c r="BG70" s="53">
        <v>0</v>
      </c>
      <c r="BH70" s="53"/>
      <c r="BI70" s="53">
        <v>9062801</v>
      </c>
      <c r="BJ70" s="53"/>
      <c r="BK70" s="53">
        <f>43481+2141474+27907+1016182</f>
        <v>3229044</v>
      </c>
      <c r="BL70" s="53"/>
      <c r="BM70" s="53">
        <f t="shared" si="19"/>
        <v>12291845</v>
      </c>
      <c r="BN70" s="54" t="s">
        <v>347</v>
      </c>
      <c r="BR70" s="96"/>
      <c r="BS70" s="53"/>
      <c r="BT70" s="53"/>
      <c r="BU70" s="53"/>
      <c r="BV70" s="53"/>
      <c r="BW70" s="53"/>
      <c r="BX70" s="45"/>
      <c r="BY70" s="45"/>
      <c r="BZ70" s="53"/>
      <c r="CA70" s="53"/>
      <c r="CB70" s="53"/>
      <c r="CC70" s="53"/>
      <c r="CD70" s="53"/>
      <c r="CE70" s="53"/>
      <c r="CF70" s="35"/>
      <c r="CH70" s="35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4"/>
    </row>
    <row r="71" spans="1:105" s="55" customFormat="1" ht="12.75" customHeight="1">
      <c r="A71" s="47" t="s">
        <v>488</v>
      </c>
      <c r="B71" s="47"/>
      <c r="C71" s="47" t="s">
        <v>27</v>
      </c>
      <c r="D71" s="44"/>
      <c r="E71" s="53">
        <f t="shared" si="14"/>
        <v>391239</v>
      </c>
      <c r="F71" s="53"/>
      <c r="G71" s="53">
        <v>463420</v>
      </c>
      <c r="H71" s="53"/>
      <c r="I71" s="53">
        <v>854659</v>
      </c>
      <c r="J71" s="53"/>
      <c r="K71" s="53">
        <f t="shared" si="1"/>
        <v>576644</v>
      </c>
      <c r="L71" s="53"/>
      <c r="M71" s="53">
        <v>8717</v>
      </c>
      <c r="N71" s="53"/>
      <c r="O71" s="53">
        <v>585361</v>
      </c>
      <c r="P71" s="53"/>
      <c r="Q71" s="53">
        <v>463420</v>
      </c>
      <c r="R71" s="53"/>
      <c r="S71" s="53">
        <v>0</v>
      </c>
      <c r="T71" s="53"/>
      <c r="U71" s="53">
        <v>-194122</v>
      </c>
      <c r="V71" s="53"/>
      <c r="W71" s="53">
        <f t="shared" si="18"/>
        <v>269298</v>
      </c>
      <c r="X71" s="53"/>
      <c r="Y71" s="47" t="s">
        <v>488</v>
      </c>
      <c r="Z71" s="47"/>
      <c r="AA71" s="47" t="s">
        <v>27</v>
      </c>
      <c r="AB71" s="35"/>
      <c r="AC71" s="53">
        <v>543928</v>
      </c>
      <c r="AD71" s="53"/>
      <c r="AE71" s="53">
        <f>484218-5048</f>
        <v>479170</v>
      </c>
      <c r="AF71" s="53"/>
      <c r="AG71" s="53">
        <v>5048</v>
      </c>
      <c r="AH71" s="53"/>
      <c r="AI71" s="45">
        <f t="shared" si="3"/>
        <v>59710</v>
      </c>
      <c r="AJ71" s="45"/>
      <c r="AK71" s="53">
        <v>34</v>
      </c>
      <c r="AL71" s="45"/>
      <c r="AM71" s="53">
        <v>0</v>
      </c>
      <c r="AN71" s="53"/>
      <c r="AO71" s="53">
        <v>0</v>
      </c>
      <c r="AP71" s="53"/>
      <c r="AQ71" s="53">
        <v>258240</v>
      </c>
      <c r="AR71" s="53"/>
      <c r="AS71" s="45">
        <f t="shared" si="4"/>
        <v>317984</v>
      </c>
      <c r="AT71" s="45"/>
      <c r="AU71" s="53">
        <v>0</v>
      </c>
      <c r="AV71" s="53"/>
      <c r="AW71" s="53">
        <v>0</v>
      </c>
      <c r="AX71" s="53"/>
      <c r="AY71" s="53">
        <f t="shared" si="5"/>
        <v>-185405</v>
      </c>
      <c r="AZ71" s="53"/>
      <c r="BA71" s="47" t="s">
        <v>488</v>
      </c>
      <c r="BB71" s="47"/>
      <c r="BC71" s="47" t="s">
        <v>27</v>
      </c>
      <c r="BD71" s="53"/>
      <c r="BE71" s="53">
        <v>0</v>
      </c>
      <c r="BF71" s="53"/>
      <c r="BG71" s="53">
        <v>0</v>
      </c>
      <c r="BH71" s="53"/>
      <c r="BI71" s="53">
        <v>0</v>
      </c>
      <c r="BJ71" s="53"/>
      <c r="BK71" s="53">
        <f>1821+8717</f>
        <v>10538</v>
      </c>
      <c r="BL71" s="53"/>
      <c r="BM71" s="53">
        <f t="shared" si="19"/>
        <v>10538</v>
      </c>
      <c r="BN71" s="54" t="s">
        <v>347</v>
      </c>
      <c r="BO71" s="35"/>
      <c r="BR71" s="51"/>
      <c r="BS71" s="53"/>
      <c r="BT71" s="53"/>
      <c r="BU71" s="53"/>
      <c r="BV71" s="53"/>
      <c r="BW71" s="45"/>
      <c r="BX71" s="45"/>
      <c r="BY71" s="53"/>
      <c r="BZ71" s="53"/>
      <c r="CA71" s="53"/>
      <c r="CB71" s="53"/>
      <c r="CC71" s="53"/>
      <c r="CD71" s="53"/>
      <c r="CE71" s="53"/>
      <c r="CF71" s="35"/>
      <c r="CH71" s="35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4"/>
      <c r="CT71" s="35"/>
    </row>
    <row r="72" spans="1:105" s="55" customFormat="1" ht="12.75" customHeight="1">
      <c r="A72" s="44" t="s">
        <v>93</v>
      </c>
      <c r="B72" s="47"/>
      <c r="C72" s="44" t="s">
        <v>94</v>
      </c>
      <c r="D72" s="44"/>
      <c r="E72" s="53">
        <f t="shared" si="14"/>
        <v>1077481</v>
      </c>
      <c r="F72" s="53"/>
      <c r="G72" s="53">
        <v>493320</v>
      </c>
      <c r="H72" s="53"/>
      <c r="I72" s="53">
        <v>1570801</v>
      </c>
      <c r="J72" s="53"/>
      <c r="K72" s="53">
        <f t="shared" si="1"/>
        <v>260498</v>
      </c>
      <c r="L72" s="53"/>
      <c r="M72" s="53">
        <v>401850</v>
      </c>
      <c r="N72" s="53"/>
      <c r="O72" s="53">
        <v>662348</v>
      </c>
      <c r="P72" s="53"/>
      <c r="Q72" s="53">
        <v>7005</v>
      </c>
      <c r="R72" s="53"/>
      <c r="S72" s="53">
        <v>0</v>
      </c>
      <c r="T72" s="53"/>
      <c r="U72" s="53">
        <v>901448</v>
      </c>
      <c r="V72" s="53"/>
      <c r="W72" s="53">
        <f>SUM(Q72:U72)</f>
        <v>908453</v>
      </c>
      <c r="X72" s="53"/>
      <c r="Y72" s="44" t="s">
        <v>93</v>
      </c>
      <c r="Z72" s="47"/>
      <c r="AA72" s="44" t="s">
        <v>94</v>
      </c>
      <c r="AB72" s="35"/>
      <c r="AC72" s="53">
        <v>1161439</v>
      </c>
      <c r="AD72" s="53"/>
      <c r="AE72" s="53">
        <f>1054543-138385</f>
        <v>916158</v>
      </c>
      <c r="AF72" s="53"/>
      <c r="AG72" s="53">
        <v>138385</v>
      </c>
      <c r="AH72" s="53"/>
      <c r="AI72" s="45">
        <f>+AC72-AE72-AG72</f>
        <v>106896</v>
      </c>
      <c r="AJ72" s="45"/>
      <c r="AK72" s="53">
        <v>-50981</v>
      </c>
      <c r="AL72" s="45"/>
      <c r="AM72" s="53">
        <v>0</v>
      </c>
      <c r="AN72" s="53"/>
      <c r="AO72" s="53">
        <v>171617</v>
      </c>
      <c r="AP72" s="53"/>
      <c r="AQ72" s="53">
        <v>0</v>
      </c>
      <c r="AR72" s="53"/>
      <c r="AS72" s="45">
        <f t="shared" si="4"/>
        <v>-115702</v>
      </c>
      <c r="AT72" s="45"/>
      <c r="AU72" s="53">
        <v>0</v>
      </c>
      <c r="AV72" s="53"/>
      <c r="AW72" s="53">
        <v>0</v>
      </c>
      <c r="AX72" s="53"/>
      <c r="AY72" s="53">
        <f>+E72-K72</f>
        <v>816983</v>
      </c>
      <c r="AZ72" s="53"/>
      <c r="BA72" s="44" t="s">
        <v>93</v>
      </c>
      <c r="BB72" s="47"/>
      <c r="BC72" s="44" t="s">
        <v>94</v>
      </c>
      <c r="BD72" s="53"/>
      <c r="BE72" s="53">
        <v>0</v>
      </c>
      <c r="BF72" s="53"/>
      <c r="BG72" s="53">
        <v>0</v>
      </c>
      <c r="BH72" s="53"/>
      <c r="BI72" s="53">
        <f>49828+335198+6103+95186</f>
        <v>486315</v>
      </c>
      <c r="BJ72" s="53"/>
      <c r="BK72" s="53">
        <v>16824</v>
      </c>
      <c r="BL72" s="53"/>
      <c r="BM72" s="53">
        <f t="shared" si="19"/>
        <v>503139</v>
      </c>
      <c r="BN72" s="54" t="s">
        <v>347</v>
      </c>
      <c r="BO72" s="35"/>
      <c r="BP72" s="35"/>
      <c r="BR72" s="51"/>
      <c r="BS72" s="53"/>
      <c r="BT72" s="53"/>
      <c r="BU72" s="53"/>
      <c r="BV72" s="53"/>
      <c r="BW72" s="45"/>
      <c r="BX72" s="45"/>
      <c r="BY72" s="53"/>
      <c r="BZ72" s="53"/>
      <c r="CA72" s="53"/>
      <c r="CB72" s="53"/>
      <c r="CC72" s="53"/>
      <c r="CD72" s="53"/>
      <c r="CE72" s="53"/>
      <c r="CF72" s="35"/>
      <c r="CH72" s="35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4"/>
      <c r="CT72" s="35"/>
      <c r="CU72" s="35"/>
    </row>
    <row r="73" spans="1:105" s="55" customFormat="1" ht="12.75" customHeight="1">
      <c r="A73" s="35" t="s">
        <v>95</v>
      </c>
      <c r="B73" s="51"/>
      <c r="C73" s="35" t="s">
        <v>94</v>
      </c>
      <c r="D73" s="44"/>
      <c r="E73" s="53">
        <f t="shared" si="14"/>
        <v>234247</v>
      </c>
      <c r="F73" s="53"/>
      <c r="G73" s="53">
        <v>7583079</v>
      </c>
      <c r="H73" s="53"/>
      <c r="I73" s="53">
        <v>7817326</v>
      </c>
      <c r="J73" s="53"/>
      <c r="K73" s="53">
        <f t="shared" ref="K73:K79" si="22">O73-M73</f>
        <v>454309</v>
      </c>
      <c r="L73" s="53"/>
      <c r="M73" s="53">
        <v>6272426</v>
      </c>
      <c r="N73" s="53"/>
      <c r="O73" s="53">
        <v>6726735</v>
      </c>
      <c r="P73" s="53"/>
      <c r="Q73" s="53">
        <v>1024031</v>
      </c>
      <c r="R73" s="53"/>
      <c r="S73" s="53">
        <v>0</v>
      </c>
      <c r="T73" s="53"/>
      <c r="U73" s="53">
        <v>66560</v>
      </c>
      <c r="V73" s="53"/>
      <c r="W73" s="53">
        <f t="shared" ref="W73:W79" si="23">SUM(Q73:U73)</f>
        <v>1090591</v>
      </c>
      <c r="X73" s="53"/>
      <c r="Y73" s="35" t="s">
        <v>95</v>
      </c>
      <c r="AA73" s="35" t="s">
        <v>94</v>
      </c>
      <c r="AB73" s="35"/>
      <c r="AC73" s="53">
        <v>1058949</v>
      </c>
      <c r="AD73" s="53"/>
      <c r="AE73" s="53">
        <f>740679-273252</f>
        <v>467427</v>
      </c>
      <c r="AF73" s="53"/>
      <c r="AG73" s="53">
        <v>273252</v>
      </c>
      <c r="AH73" s="53"/>
      <c r="AI73" s="45">
        <f t="shared" ref="AI73:AI79" si="24">+AC73-AE73-AG73</f>
        <v>318270</v>
      </c>
      <c r="AJ73" s="45"/>
      <c r="AK73" s="53">
        <v>-196653</v>
      </c>
      <c r="AL73" s="45"/>
      <c r="AM73" s="53">
        <v>16378</v>
      </c>
      <c r="AN73" s="53"/>
      <c r="AO73" s="53">
        <v>0</v>
      </c>
      <c r="AP73" s="53"/>
      <c r="AQ73" s="53">
        <v>0</v>
      </c>
      <c r="AR73" s="53"/>
      <c r="AS73" s="45">
        <f t="shared" si="4"/>
        <v>137995</v>
      </c>
      <c r="AT73" s="45"/>
      <c r="AU73" s="53">
        <v>0</v>
      </c>
      <c r="AV73" s="53"/>
      <c r="AW73" s="53">
        <v>0</v>
      </c>
      <c r="AX73" s="53"/>
      <c r="AY73" s="53">
        <f t="shared" ref="AY73:AY79" si="25">+E73-K73</f>
        <v>-220062</v>
      </c>
      <c r="AZ73" s="53"/>
      <c r="BA73" s="35" t="s">
        <v>95</v>
      </c>
      <c r="BC73" s="35" t="s">
        <v>94</v>
      </c>
      <c r="BD73" s="53"/>
      <c r="BE73" s="53">
        <f>3003185+172125</f>
        <v>3175310</v>
      </c>
      <c r="BF73" s="53"/>
      <c r="BG73" s="53">
        <v>0</v>
      </c>
      <c r="BH73" s="53"/>
      <c r="BI73" s="53">
        <f>2534783+639213+25000+174548+35194</f>
        <v>3408738</v>
      </c>
      <c r="BJ73" s="53"/>
      <c r="BK73" s="53">
        <f>70245+10417</f>
        <v>80662</v>
      </c>
      <c r="BL73" s="53"/>
      <c r="BM73" s="53">
        <f t="shared" ref="BM73:BM79" si="26">SUM(BE73:BK73)</f>
        <v>6664710</v>
      </c>
      <c r="BN73" s="54" t="s">
        <v>347</v>
      </c>
      <c r="BO73" s="35"/>
      <c r="BP73" s="35"/>
      <c r="BR73" s="51"/>
      <c r="BS73" s="53"/>
      <c r="BT73" s="53"/>
      <c r="BU73" s="53"/>
      <c r="BV73" s="53"/>
      <c r="BW73" s="45"/>
      <c r="BX73" s="45"/>
      <c r="BY73" s="53"/>
      <c r="BZ73" s="53"/>
      <c r="CA73" s="53"/>
      <c r="CB73" s="53"/>
      <c r="CC73" s="53"/>
      <c r="CD73" s="53"/>
      <c r="CE73" s="53"/>
      <c r="CF73" s="35"/>
      <c r="CH73" s="35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4"/>
      <c r="CT73" s="35"/>
      <c r="CU73" s="35"/>
    </row>
    <row r="74" spans="1:105" s="55" customFormat="1" ht="12.75" customHeight="1">
      <c r="A74" s="35" t="s">
        <v>91</v>
      </c>
      <c r="B74" s="51"/>
      <c r="C74" s="35" t="s">
        <v>92</v>
      </c>
      <c r="D74" s="44"/>
      <c r="E74" s="53">
        <f t="shared" si="14"/>
        <v>749075</v>
      </c>
      <c r="F74" s="53"/>
      <c r="G74" s="53">
        <v>3696753</v>
      </c>
      <c r="H74" s="53"/>
      <c r="I74" s="53">
        <v>4445828</v>
      </c>
      <c r="J74" s="53"/>
      <c r="K74" s="53">
        <f t="shared" si="22"/>
        <v>57700</v>
      </c>
      <c r="L74" s="53"/>
      <c r="M74" s="53">
        <v>45676</v>
      </c>
      <c r="N74" s="53"/>
      <c r="O74" s="53">
        <v>103376</v>
      </c>
      <c r="P74" s="53"/>
      <c r="Q74" s="53">
        <v>3427210</v>
      </c>
      <c r="R74" s="53"/>
      <c r="S74" s="53">
        <v>0</v>
      </c>
      <c r="T74" s="53"/>
      <c r="U74" s="53">
        <v>915242</v>
      </c>
      <c r="V74" s="53"/>
      <c r="W74" s="53">
        <f t="shared" si="23"/>
        <v>4342452</v>
      </c>
      <c r="X74" s="53"/>
      <c r="Y74" s="35" t="s">
        <v>91</v>
      </c>
      <c r="AA74" s="35" t="s">
        <v>92</v>
      </c>
      <c r="AB74" s="35"/>
      <c r="AC74" s="53">
        <v>1680982</v>
      </c>
      <c r="AD74" s="53"/>
      <c r="AE74" s="53">
        <f>1467015-190081</f>
        <v>1276934</v>
      </c>
      <c r="AF74" s="53"/>
      <c r="AG74" s="53">
        <v>190081</v>
      </c>
      <c r="AH74" s="53"/>
      <c r="AI74" s="45">
        <f t="shared" si="24"/>
        <v>213967</v>
      </c>
      <c r="AJ74" s="45"/>
      <c r="AK74" s="53">
        <v>0</v>
      </c>
      <c r="AL74" s="45"/>
      <c r="AM74" s="53">
        <v>0</v>
      </c>
      <c r="AN74" s="53"/>
      <c r="AO74" s="53">
        <v>0</v>
      </c>
      <c r="AP74" s="53"/>
      <c r="AQ74" s="53">
        <v>550054</v>
      </c>
      <c r="AR74" s="53"/>
      <c r="AS74" s="45">
        <f t="shared" ref="AS74:AS91" si="27">+AI74+AK74+AM74-AO74+AQ74</f>
        <v>764021</v>
      </c>
      <c r="AT74" s="45"/>
      <c r="AU74" s="53">
        <v>0</v>
      </c>
      <c r="AV74" s="53"/>
      <c r="AW74" s="53">
        <v>0</v>
      </c>
      <c r="AX74" s="53"/>
      <c r="AY74" s="53">
        <f t="shared" si="25"/>
        <v>691375</v>
      </c>
      <c r="AZ74" s="53"/>
      <c r="BA74" s="35" t="s">
        <v>91</v>
      </c>
      <c r="BC74" s="35" t="s">
        <v>92</v>
      </c>
      <c r="BD74" s="53"/>
      <c r="BE74" s="53">
        <v>0</v>
      </c>
      <c r="BF74" s="53"/>
      <c r="BG74" s="53">
        <v>0</v>
      </c>
      <c r="BH74" s="53"/>
      <c r="BI74" s="53">
        <v>0</v>
      </c>
      <c r="BJ74" s="53"/>
      <c r="BK74" s="53">
        <f>13351+45676</f>
        <v>59027</v>
      </c>
      <c r="BL74" s="53"/>
      <c r="BM74" s="53">
        <f t="shared" si="26"/>
        <v>59027</v>
      </c>
      <c r="BN74" s="54" t="s">
        <v>347</v>
      </c>
      <c r="BO74" s="35"/>
      <c r="BP74" s="35"/>
      <c r="BQ74" s="35"/>
      <c r="BR74" s="51"/>
      <c r="BS74" s="53"/>
      <c r="BT74" s="53"/>
      <c r="BU74" s="53"/>
      <c r="BV74" s="53"/>
      <c r="BW74" s="45"/>
      <c r="BX74" s="45"/>
      <c r="BY74" s="53"/>
      <c r="BZ74" s="53"/>
      <c r="CA74" s="53"/>
      <c r="CB74" s="53"/>
      <c r="CC74" s="53"/>
      <c r="CD74" s="53"/>
      <c r="CE74" s="53"/>
      <c r="CF74" s="35"/>
      <c r="CH74" s="35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4"/>
      <c r="CT74" s="35"/>
      <c r="CU74" s="35"/>
      <c r="CV74" s="35"/>
      <c r="CW74" s="35"/>
      <c r="CX74" s="35"/>
      <c r="CY74" s="35"/>
      <c r="CZ74" s="35"/>
      <c r="DA74" s="35"/>
    </row>
    <row r="75" spans="1:105" s="55" customFormat="1" ht="12.75" customHeight="1">
      <c r="A75" s="35" t="s">
        <v>96</v>
      </c>
      <c r="B75" s="51"/>
      <c r="C75" s="35" t="s">
        <v>97</v>
      </c>
      <c r="D75" s="44"/>
      <c r="E75" s="53">
        <f t="shared" si="14"/>
        <v>1255796</v>
      </c>
      <c r="F75" s="53"/>
      <c r="G75" s="53">
        <v>3563992</v>
      </c>
      <c r="H75" s="53"/>
      <c r="I75" s="53">
        <v>4819788</v>
      </c>
      <c r="J75" s="53"/>
      <c r="K75" s="53">
        <f t="shared" si="22"/>
        <v>158357</v>
      </c>
      <c r="L75" s="53"/>
      <c r="M75" s="53">
        <v>63321</v>
      </c>
      <c r="N75" s="53"/>
      <c r="O75" s="53">
        <v>221678</v>
      </c>
      <c r="P75" s="53"/>
      <c r="Q75" s="53">
        <v>3563992</v>
      </c>
      <c r="R75" s="53"/>
      <c r="S75" s="53">
        <v>0</v>
      </c>
      <c r="T75" s="53"/>
      <c r="U75" s="53">
        <v>1034118</v>
      </c>
      <c r="V75" s="53"/>
      <c r="W75" s="53">
        <f t="shared" si="23"/>
        <v>4598110</v>
      </c>
      <c r="X75" s="53"/>
      <c r="Y75" s="35" t="s">
        <v>96</v>
      </c>
      <c r="AA75" s="35" t="s">
        <v>97</v>
      </c>
      <c r="AB75" s="35"/>
      <c r="AC75" s="53">
        <v>11057454</v>
      </c>
      <c r="AD75" s="53"/>
      <c r="AE75" s="53">
        <f>1255315-352039</f>
        <v>903276</v>
      </c>
      <c r="AF75" s="53"/>
      <c r="AG75" s="53">
        <v>352039</v>
      </c>
      <c r="AH75" s="53"/>
      <c r="AI75" s="45">
        <f t="shared" si="24"/>
        <v>9802139</v>
      </c>
      <c r="AJ75" s="45"/>
      <c r="AK75" s="53">
        <v>30000</v>
      </c>
      <c r="AL75" s="45"/>
      <c r="AM75" s="53">
        <v>0</v>
      </c>
      <c r="AN75" s="53"/>
      <c r="AO75" s="53">
        <v>0</v>
      </c>
      <c r="AP75" s="53"/>
      <c r="AQ75" s="53">
        <v>0</v>
      </c>
      <c r="AR75" s="53"/>
      <c r="AS75" s="45">
        <f t="shared" si="27"/>
        <v>9832139</v>
      </c>
      <c r="AT75" s="45"/>
      <c r="AU75" s="53">
        <v>0</v>
      </c>
      <c r="AV75" s="53"/>
      <c r="AW75" s="53">
        <v>0</v>
      </c>
      <c r="AX75" s="53"/>
      <c r="AY75" s="53">
        <f t="shared" si="25"/>
        <v>1097439</v>
      </c>
      <c r="AZ75" s="53"/>
      <c r="BA75" s="35" t="s">
        <v>96</v>
      </c>
      <c r="BC75" s="35" t="s">
        <v>97</v>
      </c>
      <c r="BD75" s="53"/>
      <c r="BE75" s="53">
        <v>0</v>
      </c>
      <c r="BF75" s="53"/>
      <c r="BG75" s="53">
        <v>0</v>
      </c>
      <c r="BH75" s="53"/>
      <c r="BI75" s="53">
        <v>0</v>
      </c>
      <c r="BJ75" s="53"/>
      <c r="BK75" s="53">
        <v>63321</v>
      </c>
      <c r="BL75" s="53"/>
      <c r="BM75" s="53">
        <f t="shared" si="26"/>
        <v>63321</v>
      </c>
      <c r="BN75" s="54" t="s">
        <v>347</v>
      </c>
      <c r="BR75" s="51"/>
      <c r="BS75" s="53"/>
      <c r="BT75" s="53"/>
      <c r="BU75" s="53"/>
      <c r="BV75" s="53"/>
      <c r="BW75" s="53"/>
      <c r="BX75" s="45"/>
      <c r="BY75" s="45"/>
      <c r="BZ75" s="53"/>
      <c r="CA75" s="53"/>
      <c r="CB75" s="53"/>
      <c r="CC75" s="53"/>
      <c r="CD75" s="53"/>
      <c r="CE75" s="53"/>
      <c r="CF75" s="35"/>
      <c r="CH75" s="35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4"/>
    </row>
    <row r="76" spans="1:105" s="55" customFormat="1" ht="12.75" customHeight="1">
      <c r="A76" s="35" t="s">
        <v>98</v>
      </c>
      <c r="B76" s="51"/>
      <c r="C76" s="35" t="s">
        <v>17</v>
      </c>
      <c r="D76" s="44"/>
      <c r="E76" s="53">
        <f t="shared" si="14"/>
        <v>2348185</v>
      </c>
      <c r="F76" s="53"/>
      <c r="G76" s="53">
        <v>38736915</v>
      </c>
      <c r="H76" s="53"/>
      <c r="I76" s="53">
        <v>41085100</v>
      </c>
      <c r="J76" s="53"/>
      <c r="K76" s="53">
        <f t="shared" si="22"/>
        <v>2163453</v>
      </c>
      <c r="L76" s="53"/>
      <c r="M76" s="53">
        <v>13583422</v>
      </c>
      <c r="N76" s="53"/>
      <c r="O76" s="53">
        <v>15746875</v>
      </c>
      <c r="P76" s="53"/>
      <c r="Q76" s="53">
        <v>24267458</v>
      </c>
      <c r="R76" s="53"/>
      <c r="S76" s="53">
        <v>0</v>
      </c>
      <c r="T76" s="53"/>
      <c r="U76" s="53">
        <v>1070766</v>
      </c>
      <c r="V76" s="53"/>
      <c r="W76" s="53">
        <f t="shared" si="23"/>
        <v>25338224</v>
      </c>
      <c r="X76" s="53"/>
      <c r="Y76" s="35" t="s">
        <v>98</v>
      </c>
      <c r="AA76" s="35" t="s">
        <v>17</v>
      </c>
      <c r="AB76" s="35"/>
      <c r="AC76" s="53">
        <v>9752021</v>
      </c>
      <c r="AD76" s="53"/>
      <c r="AE76" s="53">
        <f>9771322-1565541</f>
        <v>8205781</v>
      </c>
      <c r="AF76" s="53"/>
      <c r="AG76" s="53">
        <v>1565541</v>
      </c>
      <c r="AH76" s="53"/>
      <c r="AI76" s="45">
        <f t="shared" si="24"/>
        <v>-19301</v>
      </c>
      <c r="AJ76" s="45"/>
      <c r="AK76" s="53">
        <v>-703318</v>
      </c>
      <c r="AL76" s="45"/>
      <c r="AM76" s="53">
        <v>0</v>
      </c>
      <c r="AN76" s="53"/>
      <c r="AO76" s="53">
        <v>0</v>
      </c>
      <c r="AP76" s="53"/>
      <c r="AQ76" s="53">
        <v>0</v>
      </c>
      <c r="AR76" s="53"/>
      <c r="AS76" s="45">
        <f t="shared" si="27"/>
        <v>-722619</v>
      </c>
      <c r="AT76" s="45"/>
      <c r="AU76" s="53">
        <v>0</v>
      </c>
      <c r="AV76" s="53"/>
      <c r="AW76" s="53">
        <v>0</v>
      </c>
      <c r="AX76" s="53"/>
      <c r="AY76" s="53">
        <f t="shared" si="25"/>
        <v>184732</v>
      </c>
      <c r="AZ76" s="53"/>
      <c r="BA76" s="35" t="s">
        <v>98</v>
      </c>
      <c r="BC76" s="35" t="s">
        <v>17</v>
      </c>
      <c r="BD76" s="53"/>
      <c r="BE76" s="53">
        <f>3159152+141509</f>
        <v>3300661</v>
      </c>
      <c r="BF76" s="53"/>
      <c r="BG76" s="53">
        <v>0</v>
      </c>
      <c r="BH76" s="53"/>
      <c r="BI76" s="53">
        <f>122956+9678318</f>
        <v>9801274</v>
      </c>
      <c r="BJ76" s="53"/>
      <c r="BK76" s="53">
        <f>32504+598199+147753</f>
        <v>778456</v>
      </c>
      <c r="BL76" s="53"/>
      <c r="BM76" s="53">
        <f t="shared" si="26"/>
        <v>13880391</v>
      </c>
      <c r="BN76" s="54" t="s">
        <v>347</v>
      </c>
      <c r="BR76" s="51"/>
      <c r="BS76" s="53"/>
      <c r="BT76" s="53"/>
      <c r="BU76" s="53"/>
      <c r="BV76" s="53"/>
      <c r="BW76" s="53"/>
      <c r="BX76" s="45"/>
      <c r="BY76" s="45"/>
      <c r="BZ76" s="53"/>
      <c r="CA76" s="53"/>
      <c r="CB76" s="53"/>
      <c r="CC76" s="53"/>
      <c r="CD76" s="53"/>
      <c r="CE76" s="53"/>
      <c r="CF76" s="35"/>
      <c r="CH76" s="35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4"/>
    </row>
    <row r="77" spans="1:105" s="55" customFormat="1" ht="12.75" customHeight="1">
      <c r="A77" s="35" t="s">
        <v>99</v>
      </c>
      <c r="B77" s="51"/>
      <c r="C77" s="35" t="s">
        <v>66</v>
      </c>
      <c r="D77" s="44"/>
      <c r="E77" s="53">
        <f t="shared" si="14"/>
        <v>1986887</v>
      </c>
      <c r="F77" s="53"/>
      <c r="G77" s="53">
        <v>9375842</v>
      </c>
      <c r="H77" s="53"/>
      <c r="I77" s="53">
        <v>11362729</v>
      </c>
      <c r="J77" s="53"/>
      <c r="K77" s="53">
        <f t="shared" si="22"/>
        <v>170750</v>
      </c>
      <c r="L77" s="53"/>
      <c r="M77" s="53">
        <v>165254</v>
      </c>
      <c r="N77" s="53"/>
      <c r="O77" s="53">
        <v>336004</v>
      </c>
      <c r="P77" s="53"/>
      <c r="Q77" s="53">
        <v>9183450</v>
      </c>
      <c r="R77" s="53"/>
      <c r="S77" s="53">
        <v>0</v>
      </c>
      <c r="T77" s="53"/>
      <c r="U77" s="53">
        <v>1843275</v>
      </c>
      <c r="V77" s="53"/>
      <c r="W77" s="53">
        <f t="shared" si="23"/>
        <v>11026725</v>
      </c>
      <c r="X77" s="53"/>
      <c r="Y77" s="35" t="s">
        <v>99</v>
      </c>
      <c r="AA77" s="35" t="s">
        <v>66</v>
      </c>
      <c r="AB77" s="35"/>
      <c r="AC77" s="53">
        <v>1370132</v>
      </c>
      <c r="AD77" s="53"/>
      <c r="AE77" s="53">
        <f>1458872-394615</f>
        <v>1064257</v>
      </c>
      <c r="AF77" s="53"/>
      <c r="AG77" s="53">
        <v>394615</v>
      </c>
      <c r="AH77" s="53"/>
      <c r="AI77" s="45">
        <f t="shared" si="24"/>
        <v>-88740</v>
      </c>
      <c r="AJ77" s="45"/>
      <c r="AK77" s="53">
        <v>15004</v>
      </c>
      <c r="AL77" s="45"/>
      <c r="AM77" s="53">
        <v>15698</v>
      </c>
      <c r="AN77" s="53"/>
      <c r="AO77" s="53">
        <v>0</v>
      </c>
      <c r="AP77" s="53"/>
      <c r="AQ77" s="53">
        <v>103545</v>
      </c>
      <c r="AR77" s="53"/>
      <c r="AS77" s="45">
        <f t="shared" si="27"/>
        <v>45507</v>
      </c>
      <c r="AT77" s="45"/>
      <c r="AU77" s="53">
        <v>0</v>
      </c>
      <c r="AV77" s="53"/>
      <c r="AW77" s="53">
        <v>0</v>
      </c>
      <c r="AX77" s="53"/>
      <c r="AY77" s="53">
        <f t="shared" si="25"/>
        <v>1816137</v>
      </c>
      <c r="AZ77" s="53"/>
      <c r="BA77" s="35" t="s">
        <v>99</v>
      </c>
      <c r="BC77" s="35" t="s">
        <v>66</v>
      </c>
      <c r="BD77" s="53"/>
      <c r="BE77" s="53">
        <v>0</v>
      </c>
      <c r="BF77" s="53"/>
      <c r="BG77" s="53">
        <v>0</v>
      </c>
      <c r="BH77" s="53"/>
      <c r="BI77" s="53">
        <f>79658+112734</f>
        <v>192392</v>
      </c>
      <c r="BJ77" s="53"/>
      <c r="BK77" s="53">
        <v>52520</v>
      </c>
      <c r="BL77" s="53"/>
      <c r="BM77" s="53">
        <f t="shared" si="26"/>
        <v>244912</v>
      </c>
      <c r="BN77" s="54" t="s">
        <v>347</v>
      </c>
      <c r="BR77" s="51"/>
      <c r="BS77" s="53"/>
      <c r="BT77" s="53"/>
      <c r="BU77" s="53"/>
      <c r="BV77" s="53"/>
      <c r="BW77" s="45"/>
      <c r="BX77" s="45"/>
      <c r="BY77" s="53"/>
      <c r="BZ77" s="53"/>
      <c r="CA77" s="53"/>
      <c r="CB77" s="53"/>
      <c r="CC77" s="53"/>
      <c r="CD77" s="53"/>
      <c r="CE77" s="53"/>
      <c r="CF77" s="35"/>
      <c r="CH77" s="44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4"/>
    </row>
    <row r="78" spans="1:105" s="55" customFormat="1" ht="12.75" customHeight="1">
      <c r="A78" s="35" t="s">
        <v>100</v>
      </c>
      <c r="C78" s="35" t="s">
        <v>27</v>
      </c>
      <c r="D78" s="44"/>
      <c r="E78" s="53">
        <f t="shared" si="14"/>
        <v>38468931</v>
      </c>
      <c r="F78" s="53"/>
      <c r="G78" s="53">
        <v>29098175</v>
      </c>
      <c r="H78" s="53"/>
      <c r="I78" s="53">
        <v>67567106</v>
      </c>
      <c r="J78" s="53"/>
      <c r="K78" s="53">
        <f t="shared" si="22"/>
        <v>5255858</v>
      </c>
      <c r="L78" s="53"/>
      <c r="M78" s="53">
        <v>11790009</v>
      </c>
      <c r="N78" s="53"/>
      <c r="O78" s="53">
        <v>17045867</v>
      </c>
      <c r="P78" s="53"/>
      <c r="Q78" s="53">
        <v>14552454</v>
      </c>
      <c r="R78" s="53"/>
      <c r="S78" s="53">
        <v>0</v>
      </c>
      <c r="T78" s="53"/>
      <c r="U78" s="53">
        <v>5968785</v>
      </c>
      <c r="V78" s="53"/>
      <c r="W78" s="53">
        <f t="shared" si="23"/>
        <v>20521239</v>
      </c>
      <c r="X78" s="53"/>
      <c r="Y78" s="35" t="s">
        <v>100</v>
      </c>
      <c r="AA78" s="35" t="s">
        <v>27</v>
      </c>
      <c r="AB78" s="35"/>
      <c r="AC78" s="53">
        <v>10664198</v>
      </c>
      <c r="AD78" s="53"/>
      <c r="AE78" s="53">
        <f>10259756-976957</f>
        <v>9282799</v>
      </c>
      <c r="AF78" s="53"/>
      <c r="AG78" s="53">
        <v>976957</v>
      </c>
      <c r="AH78" s="53"/>
      <c r="AI78" s="45">
        <f t="shared" si="24"/>
        <v>404442</v>
      </c>
      <c r="AJ78" s="45"/>
      <c r="AK78" s="53">
        <v>127861</v>
      </c>
      <c r="AL78" s="45"/>
      <c r="AM78" s="53">
        <v>0</v>
      </c>
      <c r="AN78" s="53"/>
      <c r="AO78" s="53">
        <v>0</v>
      </c>
      <c r="AP78" s="53"/>
      <c r="AQ78" s="53">
        <v>0</v>
      </c>
      <c r="AR78" s="53"/>
      <c r="AS78" s="45">
        <f t="shared" si="27"/>
        <v>532303</v>
      </c>
      <c r="AT78" s="45"/>
      <c r="AU78" s="53">
        <v>0</v>
      </c>
      <c r="AV78" s="53"/>
      <c r="AW78" s="53">
        <v>0</v>
      </c>
      <c r="AX78" s="53"/>
      <c r="AY78" s="53">
        <f t="shared" si="25"/>
        <v>33213073</v>
      </c>
      <c r="AZ78" s="53"/>
      <c r="BA78" s="35" t="s">
        <v>100</v>
      </c>
      <c r="BC78" s="35" t="s">
        <v>27</v>
      </c>
      <c r="BD78" s="53"/>
      <c r="BE78" s="53">
        <f>2319217+177000</f>
        <v>2496217</v>
      </c>
      <c r="BF78" s="53"/>
      <c r="BG78" s="53">
        <v>0</v>
      </c>
      <c r="BH78" s="53"/>
      <c r="BI78" s="53">
        <f>3847179+4802184+289412+1976951</f>
        <v>10915726</v>
      </c>
      <c r="BJ78" s="53"/>
      <c r="BK78" s="53">
        <f>98248+541728+181453+137444+99532</f>
        <v>1058405</v>
      </c>
      <c r="BL78" s="53"/>
      <c r="BM78" s="53">
        <f t="shared" si="26"/>
        <v>14470348</v>
      </c>
      <c r="BN78" s="54" t="s">
        <v>347</v>
      </c>
      <c r="BO78" s="55" t="s">
        <v>405</v>
      </c>
      <c r="BR78" s="51"/>
      <c r="BS78" s="53"/>
      <c r="BT78" s="53"/>
      <c r="BU78" s="53"/>
      <c r="BV78" s="53"/>
      <c r="BW78" s="53"/>
      <c r="BX78" s="45"/>
      <c r="BY78" s="45"/>
      <c r="BZ78" s="53"/>
      <c r="CA78" s="53"/>
      <c r="CB78" s="53"/>
      <c r="CC78" s="53"/>
      <c r="CD78" s="53"/>
      <c r="CE78" s="53"/>
      <c r="CF78" s="35"/>
      <c r="CH78" s="35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4"/>
    </row>
    <row r="79" spans="1:105" s="55" customFormat="1" ht="12.75" customHeight="1">
      <c r="A79" s="35" t="s">
        <v>101</v>
      </c>
      <c r="B79" s="51"/>
      <c r="C79" s="35" t="s">
        <v>30</v>
      </c>
      <c r="D79" s="44"/>
      <c r="E79" s="53">
        <f t="shared" si="14"/>
        <v>4497863</v>
      </c>
      <c r="F79" s="53"/>
      <c r="G79" s="53">
        <v>20023903</v>
      </c>
      <c r="H79" s="53"/>
      <c r="I79" s="53">
        <v>24521766</v>
      </c>
      <c r="J79" s="53"/>
      <c r="K79" s="53">
        <f t="shared" si="22"/>
        <v>1330927</v>
      </c>
      <c r="L79" s="53"/>
      <c r="M79" s="53">
        <v>10044913</v>
      </c>
      <c r="N79" s="53"/>
      <c r="O79" s="53">
        <v>11375840</v>
      </c>
      <c r="P79" s="53"/>
      <c r="Q79" s="53">
        <v>9237311</v>
      </c>
      <c r="R79" s="53"/>
      <c r="S79" s="53">
        <v>0</v>
      </c>
      <c r="T79" s="53"/>
      <c r="U79" s="53">
        <v>6908615</v>
      </c>
      <c r="V79" s="53"/>
      <c r="W79" s="53">
        <f t="shared" si="23"/>
        <v>16145926</v>
      </c>
      <c r="X79" s="53"/>
      <c r="Y79" s="35" t="s">
        <v>101</v>
      </c>
      <c r="AA79" s="35" t="s">
        <v>30</v>
      </c>
      <c r="AB79" s="35"/>
      <c r="AC79" s="53">
        <v>5630347</v>
      </c>
      <c r="AD79" s="53"/>
      <c r="AE79" s="53">
        <f>4024404-897156</f>
        <v>3127248</v>
      </c>
      <c r="AF79" s="53"/>
      <c r="AG79" s="53">
        <v>897156</v>
      </c>
      <c r="AH79" s="53"/>
      <c r="AI79" s="45">
        <f t="shared" si="24"/>
        <v>1605943</v>
      </c>
      <c r="AJ79" s="45"/>
      <c r="AK79" s="53">
        <v>-242785</v>
      </c>
      <c r="AL79" s="45"/>
      <c r="AM79" s="53">
        <v>0</v>
      </c>
      <c r="AN79" s="53"/>
      <c r="AO79" s="53">
        <v>0</v>
      </c>
      <c r="AP79" s="53"/>
      <c r="AQ79" s="53">
        <v>0</v>
      </c>
      <c r="AR79" s="53"/>
      <c r="AS79" s="45">
        <f t="shared" si="27"/>
        <v>1363158</v>
      </c>
      <c r="AT79" s="45"/>
      <c r="AU79" s="53">
        <v>0</v>
      </c>
      <c r="AV79" s="53"/>
      <c r="AW79" s="53">
        <v>0</v>
      </c>
      <c r="AX79" s="53"/>
      <c r="AY79" s="53">
        <f t="shared" si="25"/>
        <v>3166936</v>
      </c>
      <c r="AZ79" s="53"/>
      <c r="BA79" s="35" t="s">
        <v>101</v>
      </c>
      <c r="BC79" s="35" t="s">
        <v>30</v>
      </c>
      <c r="BD79" s="53"/>
      <c r="BE79" s="53">
        <f>1905072+494300</f>
        <v>2399372</v>
      </c>
      <c r="BF79" s="53"/>
      <c r="BG79" s="53">
        <v>0</v>
      </c>
      <c r="BH79" s="53"/>
      <c r="BI79" s="53">
        <f>827271+424949</f>
        <v>1252220</v>
      </c>
      <c r="BJ79" s="53"/>
      <c r="BK79" s="53">
        <f>10000+7148000+120000+4570</f>
        <v>7282570</v>
      </c>
      <c r="BL79" s="53"/>
      <c r="BM79" s="53">
        <f t="shared" si="26"/>
        <v>10934162</v>
      </c>
      <c r="BN79" s="54" t="s">
        <v>347</v>
      </c>
      <c r="BO79" s="35" t="s">
        <v>405</v>
      </c>
      <c r="BR79" s="51"/>
      <c r="BS79" s="53"/>
      <c r="BT79" s="53"/>
      <c r="BU79" s="53"/>
      <c r="BV79" s="53"/>
      <c r="BW79" s="45"/>
      <c r="BX79" s="45"/>
      <c r="BY79" s="53"/>
      <c r="BZ79" s="53"/>
      <c r="CA79" s="53"/>
      <c r="CB79" s="53"/>
      <c r="CC79" s="53"/>
      <c r="CD79" s="53"/>
      <c r="CE79" s="53"/>
      <c r="CF79" s="35"/>
      <c r="CH79" s="35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4"/>
      <c r="CT79" s="35"/>
    </row>
    <row r="80" spans="1:105" s="55" customFormat="1" ht="12.75" customHeight="1">
      <c r="A80" s="35" t="s">
        <v>102</v>
      </c>
      <c r="B80" s="51"/>
      <c r="C80" s="35" t="s">
        <v>103</v>
      </c>
      <c r="D80" s="44"/>
      <c r="E80" s="53">
        <f t="shared" si="14"/>
        <v>3513607</v>
      </c>
      <c r="F80" s="53"/>
      <c r="G80" s="53">
        <v>27696243</v>
      </c>
      <c r="H80" s="53"/>
      <c r="I80" s="53">
        <v>31209850</v>
      </c>
      <c r="J80" s="53"/>
      <c r="K80" s="53">
        <f t="shared" ref="K80:K144" si="28">O80-M80</f>
        <v>2917553</v>
      </c>
      <c r="L80" s="53"/>
      <c r="M80" s="53">
        <v>6190394</v>
      </c>
      <c r="N80" s="53"/>
      <c r="O80" s="53">
        <v>9107947</v>
      </c>
      <c r="P80" s="53"/>
      <c r="Q80" s="53">
        <v>19140414</v>
      </c>
      <c r="R80" s="53"/>
      <c r="S80" s="53">
        <v>0</v>
      </c>
      <c r="T80" s="53"/>
      <c r="U80" s="53">
        <v>2961489</v>
      </c>
      <c r="V80" s="53"/>
      <c r="W80" s="53">
        <f t="shared" ref="W80:W144" si="29">SUM(Q80:U80)</f>
        <v>22101903</v>
      </c>
      <c r="X80" s="53"/>
      <c r="Y80" s="35" t="s">
        <v>102</v>
      </c>
      <c r="AA80" s="35" t="s">
        <v>103</v>
      </c>
      <c r="AB80" s="35"/>
      <c r="AC80" s="53">
        <v>4722176</v>
      </c>
      <c r="AD80" s="53"/>
      <c r="AE80" s="53">
        <f>4664215-1161831</f>
        <v>3502384</v>
      </c>
      <c r="AF80" s="53"/>
      <c r="AG80" s="53">
        <v>1161831</v>
      </c>
      <c r="AH80" s="53"/>
      <c r="AI80" s="45">
        <f t="shared" ref="AI80:AI144" si="30">+AC80-AE80-AG80</f>
        <v>57961</v>
      </c>
      <c r="AJ80" s="45"/>
      <c r="AK80" s="53">
        <v>-305762</v>
      </c>
      <c r="AL80" s="45"/>
      <c r="AM80" s="53">
        <v>0</v>
      </c>
      <c r="AN80" s="53"/>
      <c r="AO80" s="53">
        <v>0</v>
      </c>
      <c r="AP80" s="53"/>
      <c r="AQ80" s="53">
        <v>0</v>
      </c>
      <c r="AR80" s="53"/>
      <c r="AS80" s="45">
        <f t="shared" si="27"/>
        <v>-247801</v>
      </c>
      <c r="AT80" s="45"/>
      <c r="AU80" s="53">
        <v>0</v>
      </c>
      <c r="AV80" s="53"/>
      <c r="AW80" s="53">
        <v>0</v>
      </c>
      <c r="AX80" s="53"/>
      <c r="AY80" s="53">
        <f t="shared" ref="AY80:AY144" si="31">+E80-K80</f>
        <v>596054</v>
      </c>
      <c r="AZ80" s="53"/>
      <c r="BA80" s="35" t="s">
        <v>102</v>
      </c>
      <c r="BC80" s="35" t="s">
        <v>103</v>
      </c>
      <c r="BD80" s="53"/>
      <c r="BE80" s="53">
        <f>5920185+735644</f>
        <v>6655829</v>
      </c>
      <c r="BF80" s="53"/>
      <c r="BG80" s="53">
        <v>0</v>
      </c>
      <c r="BH80" s="53"/>
      <c r="BI80" s="53">
        <v>0</v>
      </c>
      <c r="BJ80" s="53"/>
      <c r="BK80" s="53">
        <f>4940+270209</f>
        <v>275149</v>
      </c>
      <c r="BL80" s="53"/>
      <c r="BM80" s="53">
        <f t="shared" ref="BM80:BM143" si="32">SUM(BE80:BK80)</f>
        <v>6930978</v>
      </c>
      <c r="BN80" s="54" t="s">
        <v>347</v>
      </c>
      <c r="BR80" s="51"/>
      <c r="BS80" s="53"/>
      <c r="BT80" s="53"/>
      <c r="BU80" s="53"/>
      <c r="BV80" s="53"/>
      <c r="BW80" s="53"/>
      <c r="BX80" s="45"/>
      <c r="BY80" s="45"/>
      <c r="BZ80" s="53"/>
      <c r="CA80" s="53"/>
      <c r="CB80" s="53"/>
      <c r="CC80" s="53"/>
      <c r="CD80" s="53"/>
      <c r="CE80" s="53"/>
      <c r="CF80" s="35"/>
      <c r="CH80" s="35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4"/>
    </row>
    <row r="81" spans="1:98" s="140" customFormat="1" ht="12.75" hidden="1" customHeight="1">
      <c r="A81" s="126" t="s">
        <v>104</v>
      </c>
      <c r="B81" s="124"/>
      <c r="C81" s="126" t="s">
        <v>13</v>
      </c>
      <c r="D81" s="121"/>
      <c r="E81" s="53">
        <f t="shared" si="14"/>
        <v>0</v>
      </c>
      <c r="F81" s="137"/>
      <c r="G81" s="53">
        <v>0</v>
      </c>
      <c r="H81" s="53"/>
      <c r="I81" s="53">
        <v>0</v>
      </c>
      <c r="J81" s="137"/>
      <c r="K81" s="137">
        <f t="shared" si="28"/>
        <v>0</v>
      </c>
      <c r="L81" s="137"/>
      <c r="M81" s="53">
        <v>0</v>
      </c>
      <c r="N81" s="53"/>
      <c r="O81" s="53">
        <v>0</v>
      </c>
      <c r="P81" s="53"/>
      <c r="Q81" s="53">
        <v>0</v>
      </c>
      <c r="R81" s="53"/>
      <c r="S81" s="53">
        <v>0</v>
      </c>
      <c r="T81" s="53"/>
      <c r="U81" s="53">
        <v>0</v>
      </c>
      <c r="V81" s="137"/>
      <c r="W81" s="137">
        <f t="shared" si="29"/>
        <v>0</v>
      </c>
      <c r="X81" s="137"/>
      <c r="Y81" s="126" t="s">
        <v>104</v>
      </c>
      <c r="AA81" s="126" t="s">
        <v>13</v>
      </c>
      <c r="AB81" s="126"/>
      <c r="AC81" s="53">
        <v>0</v>
      </c>
      <c r="AD81" s="53"/>
      <c r="AE81" s="53">
        <v>0</v>
      </c>
      <c r="AF81" s="53"/>
      <c r="AG81" s="53">
        <v>0</v>
      </c>
      <c r="AH81" s="137"/>
      <c r="AI81" s="127">
        <f t="shared" si="30"/>
        <v>0</v>
      </c>
      <c r="AJ81" s="127"/>
      <c r="AK81" s="53">
        <v>0</v>
      </c>
      <c r="AL81" s="45"/>
      <c r="AM81" s="53">
        <v>0</v>
      </c>
      <c r="AN81" s="53"/>
      <c r="AO81" s="53">
        <v>0</v>
      </c>
      <c r="AP81" s="53"/>
      <c r="AQ81" s="53">
        <v>0</v>
      </c>
      <c r="AR81" s="137"/>
      <c r="AS81" s="45">
        <f t="shared" si="27"/>
        <v>0</v>
      </c>
      <c r="AT81" s="127"/>
      <c r="AU81" s="137">
        <v>0</v>
      </c>
      <c r="AV81" s="137"/>
      <c r="AW81" s="137">
        <v>0</v>
      </c>
      <c r="AX81" s="137"/>
      <c r="AY81" s="137">
        <f t="shared" si="31"/>
        <v>0</v>
      </c>
      <c r="AZ81" s="137"/>
      <c r="BA81" s="126" t="s">
        <v>104</v>
      </c>
      <c r="BC81" s="126" t="s">
        <v>13</v>
      </c>
      <c r="BD81" s="137"/>
      <c r="BE81" s="53">
        <v>0</v>
      </c>
      <c r="BF81" s="53"/>
      <c r="BG81" s="53">
        <v>0</v>
      </c>
      <c r="BH81" s="53"/>
      <c r="BI81" s="53">
        <v>0</v>
      </c>
      <c r="BJ81" s="53"/>
      <c r="BK81" s="53">
        <v>0</v>
      </c>
      <c r="BL81" s="137"/>
      <c r="BM81" s="137">
        <f t="shared" si="32"/>
        <v>0</v>
      </c>
      <c r="BN81" s="139" t="s">
        <v>347</v>
      </c>
      <c r="BR81" s="124"/>
      <c r="BS81" s="137"/>
      <c r="BT81" s="137"/>
      <c r="BU81" s="137"/>
      <c r="BV81" s="137"/>
      <c r="BW81" s="137"/>
      <c r="BX81" s="127"/>
      <c r="BY81" s="127"/>
      <c r="BZ81" s="137"/>
      <c r="CA81" s="137"/>
      <c r="CB81" s="137"/>
      <c r="CC81" s="137"/>
      <c r="CD81" s="137"/>
      <c r="CE81" s="137"/>
      <c r="CF81" s="126"/>
      <c r="CH81" s="126"/>
      <c r="CI81" s="137"/>
      <c r="CJ81" s="137"/>
      <c r="CK81" s="137"/>
      <c r="CL81" s="137"/>
      <c r="CM81" s="137"/>
      <c r="CN81" s="137"/>
      <c r="CO81" s="137"/>
      <c r="CP81" s="137"/>
      <c r="CQ81" s="137"/>
      <c r="CR81" s="137"/>
      <c r="CS81" s="139"/>
    </row>
    <row r="82" spans="1:98" s="55" customFormat="1" ht="12.75" customHeight="1">
      <c r="A82" s="35" t="s">
        <v>105</v>
      </c>
      <c r="B82" s="51"/>
      <c r="C82" s="35" t="s">
        <v>27</v>
      </c>
      <c r="D82" s="44"/>
      <c r="E82" s="53">
        <f t="shared" si="14"/>
        <v>254481</v>
      </c>
      <c r="F82" s="53"/>
      <c r="G82" s="53">
        <v>17089011</v>
      </c>
      <c r="H82" s="53"/>
      <c r="I82" s="53">
        <v>17343492</v>
      </c>
      <c r="J82" s="53"/>
      <c r="K82" s="53">
        <f t="shared" si="28"/>
        <v>120437</v>
      </c>
      <c r="L82" s="53"/>
      <c r="M82" s="53">
        <v>315860</v>
      </c>
      <c r="N82" s="53"/>
      <c r="O82" s="53">
        <v>436297</v>
      </c>
      <c r="P82" s="53"/>
      <c r="Q82" s="53">
        <v>12674769</v>
      </c>
      <c r="R82" s="53"/>
      <c r="S82" s="53">
        <v>157004</v>
      </c>
      <c r="T82" s="53"/>
      <c r="U82" s="53">
        <v>4075422</v>
      </c>
      <c r="V82" s="53"/>
      <c r="W82" s="53">
        <f t="shared" si="29"/>
        <v>16907195</v>
      </c>
      <c r="X82" s="53"/>
      <c r="Y82" s="35" t="s">
        <v>105</v>
      </c>
      <c r="AA82" s="35" t="s">
        <v>27</v>
      </c>
      <c r="AB82" s="35"/>
      <c r="AC82" s="53">
        <v>1564948</v>
      </c>
      <c r="AD82" s="53"/>
      <c r="AE82" s="53">
        <f>1871280-416776</f>
        <v>1454504</v>
      </c>
      <c r="AF82" s="53"/>
      <c r="AG82" s="53">
        <v>416776</v>
      </c>
      <c r="AH82" s="53"/>
      <c r="AI82" s="45">
        <f t="shared" si="30"/>
        <v>-306332</v>
      </c>
      <c r="AJ82" s="45"/>
      <c r="AK82" s="53">
        <v>-80504</v>
      </c>
      <c r="AL82" s="45"/>
      <c r="AM82" s="53">
        <v>438500</v>
      </c>
      <c r="AN82" s="53"/>
      <c r="AO82" s="53">
        <v>0</v>
      </c>
      <c r="AP82" s="53"/>
      <c r="AQ82" s="53">
        <v>750887</v>
      </c>
      <c r="AR82" s="53"/>
      <c r="AS82" s="45">
        <f t="shared" si="27"/>
        <v>802551</v>
      </c>
      <c r="AT82" s="45"/>
      <c r="AU82" s="53">
        <v>0</v>
      </c>
      <c r="AV82" s="53"/>
      <c r="AW82" s="53">
        <v>0</v>
      </c>
      <c r="AX82" s="53"/>
      <c r="AY82" s="53">
        <f t="shared" si="31"/>
        <v>134044</v>
      </c>
      <c r="AZ82" s="53"/>
      <c r="BA82" s="35" t="s">
        <v>105</v>
      </c>
      <c r="BC82" s="35" t="s">
        <v>27</v>
      </c>
      <c r="BD82" s="53"/>
      <c r="BE82" s="53">
        <v>0</v>
      </c>
      <c r="BF82" s="53"/>
      <c r="BG82" s="53">
        <v>0</v>
      </c>
      <c r="BH82" s="53"/>
      <c r="BI82" s="53">
        <f>106822+36134</f>
        <v>142956</v>
      </c>
      <c r="BJ82" s="53"/>
      <c r="BK82" s="53">
        <f>36134+55044+153994</f>
        <v>245172</v>
      </c>
      <c r="BL82" s="53"/>
      <c r="BM82" s="53">
        <f t="shared" si="32"/>
        <v>388128</v>
      </c>
      <c r="BN82" s="54" t="s">
        <v>347</v>
      </c>
      <c r="BR82" s="51"/>
      <c r="BS82" s="53"/>
      <c r="BT82" s="53"/>
      <c r="BU82" s="53"/>
      <c r="BV82" s="53"/>
      <c r="BW82" s="45"/>
      <c r="BX82" s="45"/>
      <c r="BY82" s="53"/>
      <c r="BZ82" s="53"/>
      <c r="CA82" s="53"/>
      <c r="CB82" s="53"/>
      <c r="CC82" s="53"/>
      <c r="CD82" s="53"/>
      <c r="CE82" s="53"/>
      <c r="CF82" s="44"/>
      <c r="CH82" s="44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4"/>
    </row>
    <row r="83" spans="1:98" s="140" customFormat="1" ht="12.75" hidden="1" customHeight="1">
      <c r="A83" s="126" t="s">
        <v>106</v>
      </c>
      <c r="B83" s="124"/>
      <c r="C83" s="126" t="s">
        <v>107</v>
      </c>
      <c r="D83" s="121"/>
      <c r="E83" s="53">
        <f t="shared" si="14"/>
        <v>0</v>
      </c>
      <c r="F83" s="137"/>
      <c r="G83" s="53">
        <v>0</v>
      </c>
      <c r="H83" s="53"/>
      <c r="I83" s="53">
        <v>0</v>
      </c>
      <c r="J83" s="137"/>
      <c r="K83" s="137">
        <f t="shared" si="28"/>
        <v>0</v>
      </c>
      <c r="L83" s="137"/>
      <c r="M83" s="53">
        <v>0</v>
      </c>
      <c r="N83" s="53"/>
      <c r="O83" s="53">
        <v>0</v>
      </c>
      <c r="P83" s="53"/>
      <c r="Q83" s="53">
        <v>0</v>
      </c>
      <c r="R83" s="53"/>
      <c r="S83" s="53">
        <v>0</v>
      </c>
      <c r="T83" s="53"/>
      <c r="U83" s="53">
        <v>0</v>
      </c>
      <c r="V83" s="137"/>
      <c r="W83" s="137">
        <f t="shared" si="29"/>
        <v>0</v>
      </c>
      <c r="X83" s="137"/>
      <c r="Y83" s="126" t="s">
        <v>106</v>
      </c>
      <c r="AA83" s="126" t="s">
        <v>107</v>
      </c>
      <c r="AB83" s="126"/>
      <c r="AC83" s="53">
        <v>0</v>
      </c>
      <c r="AD83" s="53"/>
      <c r="AE83" s="53">
        <v>0</v>
      </c>
      <c r="AF83" s="53"/>
      <c r="AG83" s="53">
        <v>0</v>
      </c>
      <c r="AH83" s="137"/>
      <c r="AI83" s="127">
        <f t="shared" si="30"/>
        <v>0</v>
      </c>
      <c r="AJ83" s="127"/>
      <c r="AK83" s="53">
        <v>0</v>
      </c>
      <c r="AL83" s="45"/>
      <c r="AM83" s="53">
        <v>0</v>
      </c>
      <c r="AN83" s="53"/>
      <c r="AO83" s="53">
        <v>0</v>
      </c>
      <c r="AP83" s="53"/>
      <c r="AQ83" s="53">
        <v>0</v>
      </c>
      <c r="AR83" s="137"/>
      <c r="AS83" s="45">
        <f t="shared" si="27"/>
        <v>0</v>
      </c>
      <c r="AT83" s="127"/>
      <c r="AU83" s="137">
        <v>0</v>
      </c>
      <c r="AV83" s="137"/>
      <c r="AW83" s="137">
        <v>0</v>
      </c>
      <c r="AX83" s="137"/>
      <c r="AY83" s="137">
        <f t="shared" si="31"/>
        <v>0</v>
      </c>
      <c r="AZ83" s="137"/>
      <c r="BA83" s="126" t="s">
        <v>106</v>
      </c>
      <c r="BC83" s="126" t="s">
        <v>107</v>
      </c>
      <c r="BD83" s="137"/>
      <c r="BE83" s="53">
        <v>0</v>
      </c>
      <c r="BF83" s="53"/>
      <c r="BG83" s="53">
        <v>0</v>
      </c>
      <c r="BH83" s="53"/>
      <c r="BI83" s="53">
        <v>0</v>
      </c>
      <c r="BJ83" s="53"/>
      <c r="BK83" s="53">
        <v>0</v>
      </c>
      <c r="BL83" s="137"/>
      <c r="BM83" s="137">
        <f t="shared" si="32"/>
        <v>0</v>
      </c>
      <c r="BN83" s="139" t="s">
        <v>347</v>
      </c>
      <c r="BR83" s="124"/>
      <c r="BS83" s="137"/>
      <c r="BT83" s="137"/>
      <c r="BU83" s="137"/>
      <c r="BV83" s="137"/>
      <c r="BW83" s="137"/>
      <c r="BX83" s="127"/>
      <c r="BY83" s="127"/>
      <c r="BZ83" s="137"/>
      <c r="CA83" s="137"/>
      <c r="CB83" s="137"/>
      <c r="CC83" s="137"/>
      <c r="CD83" s="137"/>
      <c r="CE83" s="137"/>
      <c r="CF83" s="126"/>
      <c r="CH83" s="126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9"/>
    </row>
    <row r="84" spans="1:98" s="140" customFormat="1" ht="12.75" hidden="1" customHeight="1">
      <c r="A84" s="126" t="s">
        <v>108</v>
      </c>
      <c r="B84" s="124"/>
      <c r="C84" s="126" t="s">
        <v>45</v>
      </c>
      <c r="D84" s="121"/>
      <c r="E84" s="53">
        <f t="shared" si="14"/>
        <v>0</v>
      </c>
      <c r="F84" s="137"/>
      <c r="G84" s="53">
        <v>0</v>
      </c>
      <c r="H84" s="53"/>
      <c r="I84" s="53">
        <v>0</v>
      </c>
      <c r="J84" s="137"/>
      <c r="K84" s="137">
        <f t="shared" si="28"/>
        <v>0</v>
      </c>
      <c r="L84" s="137"/>
      <c r="M84" s="53">
        <v>0</v>
      </c>
      <c r="N84" s="53"/>
      <c r="O84" s="53">
        <v>0</v>
      </c>
      <c r="P84" s="53"/>
      <c r="Q84" s="53">
        <v>0</v>
      </c>
      <c r="R84" s="53"/>
      <c r="S84" s="53">
        <v>0</v>
      </c>
      <c r="T84" s="53"/>
      <c r="U84" s="53">
        <v>0</v>
      </c>
      <c r="V84" s="137"/>
      <c r="W84" s="137">
        <f t="shared" si="29"/>
        <v>0</v>
      </c>
      <c r="X84" s="137"/>
      <c r="Y84" s="126" t="s">
        <v>108</v>
      </c>
      <c r="AA84" s="126" t="s">
        <v>45</v>
      </c>
      <c r="AB84" s="126"/>
      <c r="AC84" s="53">
        <v>0</v>
      </c>
      <c r="AD84" s="53"/>
      <c r="AE84" s="53">
        <v>0</v>
      </c>
      <c r="AF84" s="53"/>
      <c r="AG84" s="53">
        <v>0</v>
      </c>
      <c r="AH84" s="137"/>
      <c r="AI84" s="127">
        <f t="shared" si="30"/>
        <v>0</v>
      </c>
      <c r="AJ84" s="127"/>
      <c r="AK84" s="53">
        <v>0</v>
      </c>
      <c r="AL84" s="45"/>
      <c r="AM84" s="53">
        <v>0</v>
      </c>
      <c r="AN84" s="53"/>
      <c r="AO84" s="53">
        <v>0</v>
      </c>
      <c r="AP84" s="53"/>
      <c r="AQ84" s="53">
        <v>0</v>
      </c>
      <c r="AR84" s="137"/>
      <c r="AS84" s="45">
        <f t="shared" si="27"/>
        <v>0</v>
      </c>
      <c r="AT84" s="127"/>
      <c r="AU84" s="137">
        <v>0</v>
      </c>
      <c r="AV84" s="137"/>
      <c r="AW84" s="137">
        <v>0</v>
      </c>
      <c r="AX84" s="137"/>
      <c r="AY84" s="137">
        <f t="shared" si="31"/>
        <v>0</v>
      </c>
      <c r="AZ84" s="137"/>
      <c r="BA84" s="126" t="s">
        <v>108</v>
      </c>
      <c r="BC84" s="126" t="s">
        <v>45</v>
      </c>
      <c r="BD84" s="137"/>
      <c r="BE84" s="53">
        <v>0</v>
      </c>
      <c r="BF84" s="53"/>
      <c r="BG84" s="53">
        <v>0</v>
      </c>
      <c r="BH84" s="53"/>
      <c r="BI84" s="53">
        <v>0</v>
      </c>
      <c r="BJ84" s="53"/>
      <c r="BK84" s="53">
        <v>0</v>
      </c>
      <c r="BL84" s="137"/>
      <c r="BM84" s="137">
        <f t="shared" si="32"/>
        <v>0</v>
      </c>
      <c r="BN84" s="139" t="s">
        <v>347</v>
      </c>
      <c r="BO84" s="140" t="s">
        <v>404</v>
      </c>
      <c r="BR84" s="124"/>
      <c r="BS84" s="137"/>
      <c r="BT84" s="137"/>
      <c r="BU84" s="137"/>
      <c r="BV84" s="137"/>
      <c r="BW84" s="137"/>
      <c r="BX84" s="127"/>
      <c r="BY84" s="127"/>
      <c r="BZ84" s="137"/>
      <c r="CA84" s="137"/>
      <c r="CB84" s="137"/>
      <c r="CC84" s="137"/>
      <c r="CD84" s="137"/>
      <c r="CE84" s="137"/>
      <c r="CF84" s="126"/>
      <c r="CH84" s="126"/>
      <c r="CI84" s="137"/>
      <c r="CJ84" s="137"/>
      <c r="CK84" s="137"/>
      <c r="CL84" s="137"/>
      <c r="CM84" s="137"/>
      <c r="CN84" s="137"/>
      <c r="CO84" s="137"/>
      <c r="CP84" s="137"/>
      <c r="CQ84" s="137"/>
      <c r="CR84" s="137"/>
      <c r="CS84" s="139"/>
    </row>
    <row r="85" spans="1:98" s="55" customFormat="1" ht="12.75" customHeight="1">
      <c r="A85" s="35" t="s">
        <v>109</v>
      </c>
      <c r="C85" s="35" t="s">
        <v>110</v>
      </c>
      <c r="D85" s="44"/>
      <c r="E85" s="53">
        <f t="shared" si="14"/>
        <v>1769330</v>
      </c>
      <c r="F85" s="53"/>
      <c r="G85" s="53">
        <v>13028797</v>
      </c>
      <c r="H85" s="53"/>
      <c r="I85" s="53">
        <v>14798127</v>
      </c>
      <c r="J85" s="53"/>
      <c r="K85" s="53">
        <f t="shared" si="28"/>
        <v>699220</v>
      </c>
      <c r="L85" s="53"/>
      <c r="M85" s="53">
        <v>3059245</v>
      </c>
      <c r="N85" s="53"/>
      <c r="O85" s="53">
        <v>3758465</v>
      </c>
      <c r="P85" s="53"/>
      <c r="Q85" s="53">
        <v>9695391</v>
      </c>
      <c r="R85" s="53"/>
      <c r="S85" s="53">
        <v>0</v>
      </c>
      <c r="T85" s="53"/>
      <c r="U85" s="53">
        <v>1344271</v>
      </c>
      <c r="V85" s="53"/>
      <c r="W85" s="53">
        <f t="shared" si="29"/>
        <v>11039662</v>
      </c>
      <c r="X85" s="53"/>
      <c r="Y85" s="35" t="s">
        <v>109</v>
      </c>
      <c r="AA85" s="35" t="s">
        <v>110</v>
      </c>
      <c r="AB85" s="35"/>
      <c r="AC85" s="53">
        <v>2605495</v>
      </c>
      <c r="AD85" s="53"/>
      <c r="AE85" s="53">
        <f>2511377-370392</f>
        <v>2140985</v>
      </c>
      <c r="AF85" s="53"/>
      <c r="AG85" s="53">
        <v>390392</v>
      </c>
      <c r="AH85" s="53"/>
      <c r="AI85" s="45">
        <f t="shared" si="30"/>
        <v>74118</v>
      </c>
      <c r="AJ85" s="45"/>
      <c r="AK85" s="53">
        <v>-95411</v>
      </c>
      <c r="AL85" s="45"/>
      <c r="AM85" s="53">
        <v>0</v>
      </c>
      <c r="AN85" s="53"/>
      <c r="AO85" s="53">
        <v>171992</v>
      </c>
      <c r="AP85" s="53"/>
      <c r="AQ85" s="53">
        <v>0</v>
      </c>
      <c r="AR85" s="53"/>
      <c r="AS85" s="45">
        <f t="shared" si="27"/>
        <v>-193285</v>
      </c>
      <c r="AT85" s="45"/>
      <c r="AU85" s="53">
        <v>0</v>
      </c>
      <c r="AV85" s="53"/>
      <c r="AW85" s="53">
        <v>0</v>
      </c>
      <c r="AX85" s="53"/>
      <c r="AY85" s="53">
        <f t="shared" si="31"/>
        <v>1070110</v>
      </c>
      <c r="AZ85" s="53"/>
      <c r="BA85" s="35" t="s">
        <v>109</v>
      </c>
      <c r="BC85" s="35" t="s">
        <v>110</v>
      </c>
      <c r="BD85" s="53"/>
      <c r="BE85" s="53">
        <v>0</v>
      </c>
      <c r="BF85" s="53"/>
      <c r="BG85" s="53">
        <v>0</v>
      </c>
      <c r="BH85" s="53"/>
      <c r="BI85" s="53">
        <f>2859542+131983+329784+12097</f>
        <v>3333406</v>
      </c>
      <c r="BJ85" s="53"/>
      <c r="BK85" s="53">
        <v>677720</v>
      </c>
      <c r="BL85" s="53"/>
      <c r="BM85" s="53">
        <f t="shared" si="32"/>
        <v>4011126</v>
      </c>
      <c r="BN85" s="54" t="s">
        <v>347</v>
      </c>
      <c r="BR85" s="51"/>
      <c r="BS85" s="53"/>
      <c r="BT85" s="53"/>
      <c r="BU85" s="53"/>
      <c r="BV85" s="53"/>
      <c r="BW85" s="53"/>
      <c r="BX85" s="45"/>
      <c r="BY85" s="45"/>
      <c r="BZ85" s="53"/>
      <c r="CA85" s="53"/>
      <c r="CB85" s="53"/>
      <c r="CC85" s="53"/>
      <c r="CD85" s="53"/>
      <c r="CE85" s="53"/>
      <c r="CF85" s="35"/>
      <c r="CH85" s="35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4"/>
    </row>
    <row r="86" spans="1:98" s="55" customFormat="1" ht="12.75" customHeight="1">
      <c r="A86" s="35" t="s">
        <v>43</v>
      </c>
      <c r="B86" s="51"/>
      <c r="C86" s="35" t="s">
        <v>111</v>
      </c>
      <c r="D86" s="44"/>
      <c r="E86" s="53">
        <f t="shared" si="14"/>
        <v>1001922</v>
      </c>
      <c r="F86" s="53"/>
      <c r="G86" s="53">
        <v>4109305</v>
      </c>
      <c r="H86" s="53"/>
      <c r="I86" s="53">
        <v>5111227</v>
      </c>
      <c r="J86" s="53"/>
      <c r="K86" s="53">
        <f t="shared" si="28"/>
        <v>495759</v>
      </c>
      <c r="L86" s="53"/>
      <c r="M86" s="53">
        <v>114408</v>
      </c>
      <c r="N86" s="53"/>
      <c r="O86" s="53">
        <v>610167</v>
      </c>
      <c r="P86" s="53"/>
      <c r="Q86" s="53">
        <v>4046616</v>
      </c>
      <c r="R86" s="53"/>
      <c r="S86" s="53">
        <v>0</v>
      </c>
      <c r="T86" s="53"/>
      <c r="U86" s="53">
        <v>454444</v>
      </c>
      <c r="V86" s="53"/>
      <c r="W86" s="53">
        <f t="shared" si="29"/>
        <v>4501060</v>
      </c>
      <c r="X86" s="53"/>
      <c r="Y86" s="35" t="s">
        <v>43</v>
      </c>
      <c r="AA86" s="35" t="s">
        <v>111</v>
      </c>
      <c r="AB86" s="35"/>
      <c r="AC86" s="53">
        <v>2602048</v>
      </c>
      <c r="AD86" s="53"/>
      <c r="AE86" s="53">
        <f>3032843-120053</f>
        <v>2912790</v>
      </c>
      <c r="AF86" s="53"/>
      <c r="AG86" s="53">
        <v>120053</v>
      </c>
      <c r="AH86" s="53"/>
      <c r="AI86" s="45">
        <f t="shared" si="30"/>
        <v>-430795</v>
      </c>
      <c r="AJ86" s="45"/>
      <c r="AK86" s="53">
        <v>35354</v>
      </c>
      <c r="AL86" s="45"/>
      <c r="AM86" s="53">
        <v>0</v>
      </c>
      <c r="AN86" s="53"/>
      <c r="AO86" s="53">
        <v>45000</v>
      </c>
      <c r="AP86" s="53"/>
      <c r="AQ86" s="53">
        <v>0</v>
      </c>
      <c r="AR86" s="53"/>
      <c r="AS86" s="45">
        <f t="shared" si="27"/>
        <v>-440441</v>
      </c>
      <c r="AT86" s="45"/>
      <c r="AU86" s="53">
        <v>0</v>
      </c>
      <c r="AV86" s="53"/>
      <c r="AW86" s="53">
        <v>0</v>
      </c>
      <c r="AX86" s="53"/>
      <c r="AY86" s="53">
        <f t="shared" si="31"/>
        <v>506163</v>
      </c>
      <c r="AZ86" s="53"/>
      <c r="BA86" s="35" t="s">
        <v>43</v>
      </c>
      <c r="BC86" s="35" t="s">
        <v>111</v>
      </c>
      <c r="BD86" s="53"/>
      <c r="BE86" s="53">
        <v>0</v>
      </c>
      <c r="BF86" s="53"/>
      <c r="BG86" s="53">
        <v>0</v>
      </c>
      <c r="BH86" s="53"/>
      <c r="BI86" s="53">
        <v>0</v>
      </c>
      <c r="BJ86" s="53"/>
      <c r="BK86" s="53">
        <f>25853+51719+62689</f>
        <v>140261</v>
      </c>
      <c r="BL86" s="53"/>
      <c r="BM86" s="53">
        <f t="shared" si="32"/>
        <v>140261</v>
      </c>
      <c r="BN86" s="54" t="s">
        <v>347</v>
      </c>
      <c r="BR86" s="51"/>
      <c r="BS86" s="53"/>
      <c r="BT86" s="53"/>
      <c r="BU86" s="53"/>
      <c r="BV86" s="53"/>
      <c r="BW86" s="53"/>
      <c r="BX86" s="45"/>
      <c r="BY86" s="45"/>
      <c r="BZ86" s="53"/>
      <c r="CA86" s="53"/>
      <c r="CB86" s="53"/>
      <c r="CC86" s="53"/>
      <c r="CD86" s="53"/>
      <c r="CE86" s="53"/>
      <c r="CF86" s="35"/>
      <c r="CH86" s="35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4"/>
    </row>
    <row r="87" spans="1:98" s="55" customFormat="1" ht="11.25" customHeight="1">
      <c r="A87" s="35"/>
      <c r="B87" s="51"/>
      <c r="C87" s="35"/>
      <c r="D87" s="44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 t="s">
        <v>484</v>
      </c>
      <c r="X87" s="53"/>
      <c r="Y87" s="35"/>
      <c r="AA87" s="35"/>
      <c r="AB87" s="35"/>
      <c r="AC87" s="53"/>
      <c r="AD87" s="53"/>
      <c r="AE87" s="53"/>
      <c r="AF87" s="53"/>
      <c r="AG87" s="53"/>
      <c r="AH87" s="53"/>
      <c r="AI87" s="45"/>
      <c r="AJ87" s="45"/>
      <c r="AK87" s="53"/>
      <c r="AL87" s="45"/>
      <c r="AM87" s="53"/>
      <c r="AN87" s="53"/>
      <c r="AO87" s="53"/>
      <c r="AP87" s="53"/>
      <c r="AQ87" s="53"/>
      <c r="AR87" s="53"/>
      <c r="AS87" s="45"/>
      <c r="AT87" s="45"/>
      <c r="AU87" s="53"/>
      <c r="AV87" s="53"/>
      <c r="AW87" s="53"/>
      <c r="AX87" s="53"/>
      <c r="AY87" s="53" t="s">
        <v>484</v>
      </c>
      <c r="AZ87" s="53"/>
      <c r="BA87" s="35"/>
      <c r="BC87" s="35"/>
      <c r="BD87" s="53"/>
      <c r="BE87" s="53"/>
      <c r="BF87" s="53"/>
      <c r="BG87" s="53"/>
      <c r="BH87" s="53"/>
      <c r="BI87" s="53"/>
      <c r="BJ87" s="53"/>
      <c r="BK87" s="53"/>
      <c r="BL87" s="53"/>
      <c r="BM87" s="53" t="s">
        <v>484</v>
      </c>
      <c r="BN87" s="54"/>
      <c r="BR87" s="51"/>
      <c r="BS87" s="53"/>
      <c r="BT87" s="53"/>
      <c r="BU87" s="53"/>
      <c r="BV87" s="53"/>
      <c r="BW87" s="53"/>
      <c r="BX87" s="45"/>
      <c r="BY87" s="45"/>
      <c r="BZ87" s="53"/>
      <c r="CA87" s="53"/>
      <c r="CB87" s="53"/>
      <c r="CC87" s="53"/>
      <c r="CD87" s="53"/>
      <c r="CE87" s="53"/>
      <c r="CF87" s="35"/>
      <c r="CH87" s="35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4"/>
    </row>
    <row r="88" spans="1:98" s="90" customFormat="1" ht="12.75" customHeight="1">
      <c r="A88" s="64" t="s">
        <v>112</v>
      </c>
      <c r="B88" s="66"/>
      <c r="C88" s="64" t="s">
        <v>76</v>
      </c>
      <c r="D88" s="46"/>
      <c r="E88" s="79">
        <f t="shared" si="14"/>
        <v>3564299</v>
      </c>
      <c r="F88" s="79"/>
      <c r="G88" s="79">
        <f>585680+9380920</f>
        <v>9966600</v>
      </c>
      <c r="H88" s="79"/>
      <c r="I88" s="79">
        <v>13530899</v>
      </c>
      <c r="J88" s="79"/>
      <c r="K88" s="79">
        <f t="shared" si="28"/>
        <v>240501</v>
      </c>
      <c r="L88" s="79"/>
      <c r="M88" s="79">
        <v>378285</v>
      </c>
      <c r="N88" s="79"/>
      <c r="O88" s="79">
        <v>618786</v>
      </c>
      <c r="P88" s="79"/>
      <c r="Q88" s="79">
        <v>9704784</v>
      </c>
      <c r="R88" s="79"/>
      <c r="S88" s="79">
        <v>0</v>
      </c>
      <c r="T88" s="79"/>
      <c r="U88" s="79">
        <v>3207329</v>
      </c>
      <c r="V88" s="79"/>
      <c r="W88" s="79">
        <f t="shared" si="29"/>
        <v>12912113</v>
      </c>
      <c r="X88" s="79"/>
      <c r="Y88" s="64" t="s">
        <v>112</v>
      </c>
      <c r="AA88" s="64" t="s">
        <v>76</v>
      </c>
      <c r="AB88" s="64"/>
      <c r="AC88" s="79">
        <v>3669966</v>
      </c>
      <c r="AD88" s="79"/>
      <c r="AE88" s="79">
        <f>3584801-534246</f>
        <v>3050555</v>
      </c>
      <c r="AF88" s="79"/>
      <c r="AG88" s="79">
        <v>534246</v>
      </c>
      <c r="AH88" s="79"/>
      <c r="AI88" s="94">
        <f t="shared" si="30"/>
        <v>85165</v>
      </c>
      <c r="AJ88" s="94"/>
      <c r="AK88" s="79">
        <v>18965</v>
      </c>
      <c r="AL88" s="94"/>
      <c r="AM88" s="79">
        <v>0</v>
      </c>
      <c r="AN88" s="79"/>
      <c r="AO88" s="79">
        <v>0</v>
      </c>
      <c r="AP88" s="79"/>
      <c r="AQ88" s="79">
        <v>51449</v>
      </c>
      <c r="AR88" s="79"/>
      <c r="AS88" s="94">
        <f t="shared" si="27"/>
        <v>155579</v>
      </c>
      <c r="AT88" s="94"/>
      <c r="AU88" s="79">
        <v>0</v>
      </c>
      <c r="AV88" s="79"/>
      <c r="AW88" s="79">
        <v>0</v>
      </c>
      <c r="AX88" s="79"/>
      <c r="AY88" s="79">
        <f t="shared" si="31"/>
        <v>3323798</v>
      </c>
      <c r="AZ88" s="79"/>
      <c r="BA88" s="64" t="s">
        <v>112</v>
      </c>
      <c r="BC88" s="64" t="s">
        <v>76</v>
      </c>
      <c r="BD88" s="79"/>
      <c r="BE88" s="79">
        <v>0</v>
      </c>
      <c r="BF88" s="79"/>
      <c r="BG88" s="79">
        <v>0</v>
      </c>
      <c r="BH88" s="79"/>
      <c r="BI88" s="79">
        <f>242592+19224</f>
        <v>261816</v>
      </c>
      <c r="BJ88" s="79"/>
      <c r="BK88" s="79">
        <v>135693</v>
      </c>
      <c r="BL88" s="79"/>
      <c r="BM88" s="79">
        <f t="shared" si="32"/>
        <v>397509</v>
      </c>
      <c r="BN88" s="91" t="s">
        <v>347</v>
      </c>
      <c r="BR88" s="66"/>
      <c r="BS88" s="79"/>
      <c r="BT88" s="79"/>
      <c r="BU88" s="79"/>
      <c r="BV88" s="79"/>
      <c r="BW88" s="79"/>
      <c r="BX88" s="94"/>
      <c r="BY88" s="94"/>
      <c r="BZ88" s="79"/>
      <c r="CA88" s="79"/>
      <c r="CB88" s="79"/>
      <c r="CC88" s="79"/>
      <c r="CD88" s="79"/>
      <c r="CE88" s="79"/>
      <c r="CF88" s="64"/>
      <c r="CH88" s="64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91"/>
    </row>
    <row r="89" spans="1:98" s="55" customFormat="1" ht="12.75" customHeight="1">
      <c r="A89" s="35" t="s">
        <v>113</v>
      </c>
      <c r="B89" s="65"/>
      <c r="C89" s="35" t="s">
        <v>43</v>
      </c>
      <c r="D89" s="44"/>
      <c r="E89" s="53">
        <v>0</v>
      </c>
      <c r="F89" s="53"/>
      <c r="G89" s="53">
        <v>16397545</v>
      </c>
      <c r="H89" s="53"/>
      <c r="I89" s="53">
        <v>32115536</v>
      </c>
      <c r="J89" s="53"/>
      <c r="K89" s="53">
        <f t="shared" si="28"/>
        <v>95832</v>
      </c>
      <c r="L89" s="53"/>
      <c r="M89" s="53">
        <v>346979</v>
      </c>
      <c r="N89" s="53"/>
      <c r="O89" s="53">
        <v>442811</v>
      </c>
      <c r="P89" s="53"/>
      <c r="Q89" s="53">
        <v>16021688</v>
      </c>
      <c r="R89" s="53"/>
      <c r="S89" s="53">
        <v>0</v>
      </c>
      <c r="T89" s="53"/>
      <c r="U89" s="53">
        <v>15651037</v>
      </c>
      <c r="V89" s="53"/>
      <c r="W89" s="53">
        <f t="shared" si="29"/>
        <v>31672725</v>
      </c>
      <c r="X89" s="53"/>
      <c r="Y89" s="35" t="s">
        <v>113</v>
      </c>
      <c r="AA89" s="35" t="s">
        <v>43</v>
      </c>
      <c r="AB89" s="35"/>
      <c r="AC89" s="53">
        <v>6862567</v>
      </c>
      <c r="AD89" s="53"/>
      <c r="AE89" s="53">
        <f>6326639-473648</f>
        <v>5852991</v>
      </c>
      <c r="AF89" s="53"/>
      <c r="AG89" s="53">
        <v>473647</v>
      </c>
      <c r="AH89" s="53"/>
      <c r="AI89" s="45">
        <f t="shared" si="30"/>
        <v>535929</v>
      </c>
      <c r="AJ89" s="45"/>
      <c r="AK89" s="53">
        <v>-11762</v>
      </c>
      <c r="AL89" s="45"/>
      <c r="AM89" s="53">
        <v>0</v>
      </c>
      <c r="AN89" s="53"/>
      <c r="AO89" s="53">
        <v>10000</v>
      </c>
      <c r="AP89" s="53"/>
      <c r="AQ89" s="53">
        <v>0</v>
      </c>
      <c r="AR89" s="53"/>
      <c r="AS89" s="45">
        <f t="shared" si="27"/>
        <v>514167</v>
      </c>
      <c r="AT89" s="45"/>
      <c r="AU89" s="53">
        <v>0</v>
      </c>
      <c r="AV89" s="53"/>
      <c r="AW89" s="53">
        <v>0</v>
      </c>
      <c r="AX89" s="53"/>
      <c r="AY89" s="53">
        <f t="shared" si="31"/>
        <v>-95832</v>
      </c>
      <c r="AZ89" s="53"/>
      <c r="BA89" s="35" t="s">
        <v>113</v>
      </c>
      <c r="BC89" s="35" t="s">
        <v>43</v>
      </c>
      <c r="BD89" s="53"/>
      <c r="BE89" s="53">
        <f>316891+11949</f>
        <v>328840</v>
      </c>
      <c r="BF89" s="53"/>
      <c r="BG89" s="53">
        <v>0</v>
      </c>
      <c r="BH89" s="53"/>
      <c r="BI89" s="53">
        <f>3088+16838</f>
        <v>19926</v>
      </c>
      <c r="BJ89" s="53"/>
      <c r="BK89" s="53">
        <v>0</v>
      </c>
      <c r="BL89" s="53"/>
      <c r="BM89" s="53">
        <f t="shared" si="32"/>
        <v>348766</v>
      </c>
      <c r="BN89" s="54" t="s">
        <v>347</v>
      </c>
      <c r="BR89" s="65"/>
      <c r="BS89" s="53"/>
      <c r="BT89" s="53"/>
      <c r="BU89" s="53"/>
      <c r="BV89" s="53"/>
      <c r="BW89" s="53"/>
      <c r="BX89" s="45"/>
      <c r="BY89" s="45"/>
      <c r="BZ89" s="53"/>
      <c r="CA89" s="53"/>
      <c r="CB89" s="53"/>
      <c r="CC89" s="53"/>
      <c r="CD89" s="53"/>
      <c r="CE89" s="53"/>
      <c r="CF89" s="35"/>
      <c r="CH89" s="35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4"/>
    </row>
    <row r="90" spans="1:98" s="55" customFormat="1" ht="12.75" customHeight="1">
      <c r="A90" s="35" t="s">
        <v>489</v>
      </c>
      <c r="B90" s="51"/>
      <c r="C90" s="35" t="s">
        <v>57</v>
      </c>
      <c r="D90" s="44"/>
      <c r="E90" s="53">
        <f>+I90-G90</f>
        <v>2059481</v>
      </c>
      <c r="F90" s="53"/>
      <c r="G90" s="53">
        <v>10718192</v>
      </c>
      <c r="H90" s="53"/>
      <c r="I90" s="53">
        <v>12777673</v>
      </c>
      <c r="J90" s="53"/>
      <c r="K90" s="53">
        <f>O90-M90</f>
        <v>625222</v>
      </c>
      <c r="L90" s="53"/>
      <c r="M90" s="53">
        <v>5527542</v>
      </c>
      <c r="N90" s="53"/>
      <c r="O90" s="53">
        <v>6152764</v>
      </c>
      <c r="P90" s="53"/>
      <c r="Q90" s="53">
        <v>5010111</v>
      </c>
      <c r="R90" s="53"/>
      <c r="S90" s="53">
        <v>0</v>
      </c>
      <c r="T90" s="53"/>
      <c r="U90" s="53">
        <v>1614798</v>
      </c>
      <c r="V90" s="53"/>
      <c r="W90" s="53">
        <f>SUM(Q90:U90)</f>
        <v>6624909</v>
      </c>
      <c r="X90" s="53"/>
      <c r="Y90" s="35" t="s">
        <v>490</v>
      </c>
      <c r="AA90" s="35" t="s">
        <v>57</v>
      </c>
      <c r="AB90" s="35"/>
      <c r="AC90" s="53">
        <v>1896155</v>
      </c>
      <c r="AD90" s="53"/>
      <c r="AE90" s="53">
        <f>1452654-214906</f>
        <v>1237748</v>
      </c>
      <c r="AF90" s="53"/>
      <c r="AG90" s="53">
        <v>214906</v>
      </c>
      <c r="AH90" s="53"/>
      <c r="AI90" s="45">
        <f>+AC90-AE90-AG90</f>
        <v>443501</v>
      </c>
      <c r="AJ90" s="45"/>
      <c r="AK90" s="53">
        <v>-110155</v>
      </c>
      <c r="AL90" s="45"/>
      <c r="AM90" s="53">
        <v>44520</v>
      </c>
      <c r="AN90" s="53"/>
      <c r="AO90" s="53">
        <v>45871</v>
      </c>
      <c r="AP90" s="53"/>
      <c r="AQ90" s="53">
        <v>709343</v>
      </c>
      <c r="AR90" s="53"/>
      <c r="AS90" s="45">
        <f t="shared" si="27"/>
        <v>1041338</v>
      </c>
      <c r="AT90" s="45"/>
      <c r="AU90" s="53">
        <v>0</v>
      </c>
      <c r="AV90" s="53"/>
      <c r="AW90" s="53">
        <v>0</v>
      </c>
      <c r="AX90" s="53"/>
      <c r="AY90" s="53">
        <f>+E90-K90</f>
        <v>1434259</v>
      </c>
      <c r="AZ90" s="53"/>
      <c r="BA90" s="35" t="s">
        <v>489</v>
      </c>
      <c r="BC90" s="35" t="s">
        <v>57</v>
      </c>
      <c r="BD90" s="53"/>
      <c r="BE90" s="53">
        <v>0</v>
      </c>
      <c r="BF90" s="53"/>
      <c r="BG90" s="53">
        <v>0</v>
      </c>
      <c r="BH90" s="53"/>
      <c r="BI90" s="53">
        <f>94175+5246066+26907+77653</f>
        <v>5444801</v>
      </c>
      <c r="BJ90" s="53"/>
      <c r="BK90" s="53">
        <f>68586+118715</f>
        <v>187301</v>
      </c>
      <c r="BL90" s="53"/>
      <c r="BM90" s="53">
        <f>SUM(BE90:BK90)</f>
        <v>5632102</v>
      </c>
      <c r="BN90" s="54" t="s">
        <v>347</v>
      </c>
      <c r="BR90" s="51"/>
      <c r="BS90" s="53"/>
      <c r="BT90" s="53"/>
      <c r="BU90" s="53"/>
      <c r="BV90" s="53"/>
      <c r="BW90" s="53"/>
      <c r="BX90" s="45"/>
      <c r="BY90" s="45"/>
      <c r="BZ90" s="53"/>
      <c r="CA90" s="53"/>
      <c r="CB90" s="53"/>
      <c r="CC90" s="53"/>
      <c r="CD90" s="53"/>
      <c r="CE90" s="53"/>
      <c r="CF90" s="35"/>
      <c r="CH90" s="35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4"/>
    </row>
    <row r="91" spans="1:98" s="140" customFormat="1" ht="12.75" hidden="1" customHeight="1">
      <c r="A91" s="126" t="s">
        <v>114</v>
      </c>
      <c r="B91" s="124"/>
      <c r="C91" s="126" t="s">
        <v>27</v>
      </c>
      <c r="D91" s="121"/>
      <c r="E91" s="137"/>
      <c r="F91" s="137"/>
      <c r="G91" s="137"/>
      <c r="H91" s="137"/>
      <c r="I91" s="137"/>
      <c r="J91" s="137"/>
      <c r="K91" s="137">
        <f t="shared" si="28"/>
        <v>0</v>
      </c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>
        <f t="shared" si="29"/>
        <v>0</v>
      </c>
      <c r="X91" s="137"/>
      <c r="Y91" s="126" t="s">
        <v>114</v>
      </c>
      <c r="AA91" s="126" t="s">
        <v>27</v>
      </c>
      <c r="AB91" s="126"/>
      <c r="AC91" s="137"/>
      <c r="AD91" s="137"/>
      <c r="AE91" s="137"/>
      <c r="AF91" s="137"/>
      <c r="AG91" s="137"/>
      <c r="AH91" s="137"/>
      <c r="AI91" s="127">
        <f t="shared" si="30"/>
        <v>0</v>
      </c>
      <c r="AJ91" s="127"/>
      <c r="AK91" s="137"/>
      <c r="AL91" s="127"/>
      <c r="AM91" s="53">
        <v>0</v>
      </c>
      <c r="AN91" s="53"/>
      <c r="AO91" s="53">
        <v>0</v>
      </c>
      <c r="AP91" s="137"/>
      <c r="AQ91" s="137"/>
      <c r="AR91" s="137"/>
      <c r="AS91" s="45">
        <f t="shared" si="27"/>
        <v>0</v>
      </c>
      <c r="AT91" s="127"/>
      <c r="AU91" s="137">
        <v>0</v>
      </c>
      <c r="AV91" s="137"/>
      <c r="AW91" s="137">
        <v>0</v>
      </c>
      <c r="AX91" s="137"/>
      <c r="AY91" s="137">
        <f t="shared" si="31"/>
        <v>0</v>
      </c>
      <c r="AZ91" s="137"/>
      <c r="BA91" s="126" t="s">
        <v>114</v>
      </c>
      <c r="BC91" s="126" t="s">
        <v>27</v>
      </c>
      <c r="BD91" s="137"/>
      <c r="BE91" s="53">
        <v>0</v>
      </c>
      <c r="BF91" s="53"/>
      <c r="BG91" s="53">
        <v>0</v>
      </c>
      <c r="BH91" s="53"/>
      <c r="BI91" s="53">
        <v>0</v>
      </c>
      <c r="BJ91" s="53"/>
      <c r="BK91" s="53">
        <v>0</v>
      </c>
      <c r="BL91" s="137"/>
      <c r="BM91" s="137">
        <f t="shared" si="32"/>
        <v>0</v>
      </c>
      <c r="BN91" s="139" t="s">
        <v>347</v>
      </c>
      <c r="BR91" s="124"/>
      <c r="BS91" s="137"/>
      <c r="BT91" s="137"/>
      <c r="BU91" s="137"/>
      <c r="BV91" s="137"/>
      <c r="BW91" s="137"/>
      <c r="BX91" s="127"/>
      <c r="BY91" s="127"/>
      <c r="BZ91" s="137"/>
      <c r="CA91" s="137"/>
      <c r="CB91" s="137"/>
      <c r="CC91" s="137"/>
      <c r="CD91" s="137"/>
      <c r="CE91" s="137"/>
      <c r="CF91" s="126"/>
      <c r="CH91" s="126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9"/>
    </row>
    <row r="92" spans="1:98" s="55" customFormat="1" ht="12.75" customHeight="1">
      <c r="A92" s="35" t="s">
        <v>115</v>
      </c>
      <c r="C92" s="35" t="s">
        <v>19</v>
      </c>
      <c r="D92" s="44"/>
      <c r="E92" s="53">
        <f t="shared" ref="E92:E156" si="33">+I92-G92</f>
        <v>1328284</v>
      </c>
      <c r="F92" s="53"/>
      <c r="G92" s="53">
        <v>5363036</v>
      </c>
      <c r="H92" s="53"/>
      <c r="I92" s="53">
        <v>6691320</v>
      </c>
      <c r="J92" s="53"/>
      <c r="K92" s="53">
        <f t="shared" si="28"/>
        <v>511327</v>
      </c>
      <c r="L92" s="53"/>
      <c r="M92" s="53">
        <v>3319074</v>
      </c>
      <c r="N92" s="53"/>
      <c r="O92" s="53">
        <v>3830401</v>
      </c>
      <c r="P92" s="53"/>
      <c r="Q92" s="53">
        <v>1639105</v>
      </c>
      <c r="R92" s="53"/>
      <c r="S92" s="53">
        <v>0</v>
      </c>
      <c r="T92" s="53"/>
      <c r="U92" s="53">
        <v>1221814</v>
      </c>
      <c r="V92" s="53"/>
      <c r="W92" s="53">
        <f t="shared" si="29"/>
        <v>2860919</v>
      </c>
      <c r="X92" s="53"/>
      <c r="Y92" s="35" t="s">
        <v>115</v>
      </c>
      <c r="AA92" s="35" t="s">
        <v>19</v>
      </c>
      <c r="AB92" s="35"/>
      <c r="AC92" s="53">
        <v>1778177</v>
      </c>
      <c r="AD92" s="53"/>
      <c r="AE92" s="53">
        <f>1032807-221737</f>
        <v>811070</v>
      </c>
      <c r="AF92" s="53"/>
      <c r="AG92" s="53">
        <v>221737</v>
      </c>
      <c r="AH92" s="53"/>
      <c r="AI92" s="45">
        <f t="shared" si="30"/>
        <v>745370</v>
      </c>
      <c r="AJ92" s="45"/>
      <c r="AK92" s="53">
        <v>-205331</v>
      </c>
      <c r="AL92" s="45"/>
      <c r="AM92" s="53">
        <v>47221</v>
      </c>
      <c r="AN92" s="53"/>
      <c r="AO92" s="53">
        <v>10050</v>
      </c>
      <c r="AP92" s="53"/>
      <c r="AQ92" s="53">
        <v>0</v>
      </c>
      <c r="AR92" s="53"/>
      <c r="AS92" s="45">
        <f t="shared" ref="AS92:AS156" si="34">+AI92+AK92+AM92-AO92+AQ92</f>
        <v>577210</v>
      </c>
      <c r="AT92" s="45"/>
      <c r="AU92" s="53">
        <v>0</v>
      </c>
      <c r="AV92" s="53"/>
      <c r="AW92" s="53">
        <v>0</v>
      </c>
      <c r="AX92" s="53"/>
      <c r="AY92" s="53">
        <f t="shared" si="31"/>
        <v>816957</v>
      </c>
      <c r="AZ92" s="53"/>
      <c r="BA92" s="35" t="s">
        <v>115</v>
      </c>
      <c r="BC92" s="35" t="s">
        <v>19</v>
      </c>
      <c r="BD92" s="53"/>
      <c r="BE92" s="53">
        <v>0</v>
      </c>
      <c r="BF92" s="53"/>
      <c r="BG92" s="53">
        <v>0</v>
      </c>
      <c r="BH92" s="53"/>
      <c r="BI92" s="53">
        <f>87911+3153446+389713</f>
        <v>3631070</v>
      </c>
      <c r="BJ92" s="53"/>
      <c r="BK92" s="53">
        <f>20662+6502+68165+9552</f>
        <v>104881</v>
      </c>
      <c r="BL92" s="53"/>
      <c r="BM92" s="53">
        <f t="shared" si="32"/>
        <v>3735951</v>
      </c>
      <c r="BN92" s="54" t="s">
        <v>347</v>
      </c>
      <c r="BR92" s="51"/>
      <c r="BS92" s="53"/>
      <c r="BT92" s="53"/>
      <c r="BU92" s="53"/>
      <c r="BV92" s="53"/>
      <c r="BW92" s="53"/>
      <c r="BX92" s="45"/>
      <c r="BY92" s="45"/>
      <c r="BZ92" s="53"/>
      <c r="CA92" s="53"/>
      <c r="CB92" s="53"/>
      <c r="CC92" s="53"/>
      <c r="CD92" s="53"/>
      <c r="CE92" s="53"/>
      <c r="CF92" s="35"/>
      <c r="CH92" s="35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4"/>
    </row>
    <row r="93" spans="1:98" s="55" customFormat="1" ht="12.75" customHeight="1">
      <c r="A93" s="35" t="s">
        <v>116</v>
      </c>
      <c r="B93" s="51"/>
      <c r="C93" s="35" t="s">
        <v>80</v>
      </c>
      <c r="D93" s="44"/>
      <c r="E93" s="53">
        <f t="shared" si="33"/>
        <v>770028</v>
      </c>
      <c r="F93" s="53"/>
      <c r="G93" s="53">
        <v>7393249</v>
      </c>
      <c r="H93" s="53"/>
      <c r="I93" s="53">
        <v>8163277</v>
      </c>
      <c r="J93" s="53"/>
      <c r="K93" s="53">
        <f t="shared" si="28"/>
        <v>121167</v>
      </c>
      <c r="L93" s="53"/>
      <c r="M93" s="53">
        <v>345486</v>
      </c>
      <c r="N93" s="53"/>
      <c r="O93" s="53">
        <v>466653</v>
      </c>
      <c r="P93" s="53"/>
      <c r="Q93" s="53">
        <v>7120883</v>
      </c>
      <c r="R93" s="53"/>
      <c r="S93" s="53">
        <v>0</v>
      </c>
      <c r="T93" s="53"/>
      <c r="U93" s="53">
        <v>575741</v>
      </c>
      <c r="V93" s="53"/>
      <c r="W93" s="53">
        <f t="shared" si="29"/>
        <v>7696624</v>
      </c>
      <c r="X93" s="53"/>
      <c r="Y93" s="35" t="s">
        <v>116</v>
      </c>
      <c r="AA93" s="35" t="s">
        <v>80</v>
      </c>
      <c r="AB93" s="35"/>
      <c r="AC93" s="53">
        <v>1666988</v>
      </c>
      <c r="AD93" s="53"/>
      <c r="AE93" s="53">
        <f>1801741-142142</f>
        <v>1659599</v>
      </c>
      <c r="AF93" s="53"/>
      <c r="AG93" s="53">
        <v>142142</v>
      </c>
      <c r="AH93" s="53"/>
      <c r="AI93" s="45">
        <f t="shared" si="30"/>
        <v>-134753</v>
      </c>
      <c r="AJ93" s="45"/>
      <c r="AK93" s="53">
        <v>-65000</v>
      </c>
      <c r="AL93" s="45"/>
      <c r="AM93" s="53">
        <v>0</v>
      </c>
      <c r="AN93" s="53"/>
      <c r="AO93" s="53">
        <v>0</v>
      </c>
      <c r="AP93" s="53"/>
      <c r="AQ93" s="53">
        <v>0</v>
      </c>
      <c r="AR93" s="53"/>
      <c r="AS93" s="45">
        <f t="shared" si="34"/>
        <v>-199753</v>
      </c>
      <c r="AT93" s="45"/>
      <c r="AU93" s="53">
        <v>0</v>
      </c>
      <c r="AV93" s="53"/>
      <c r="AW93" s="53">
        <v>0</v>
      </c>
      <c r="AX93" s="53"/>
      <c r="AY93" s="53">
        <f t="shared" si="31"/>
        <v>648861</v>
      </c>
      <c r="AZ93" s="53"/>
      <c r="BA93" s="35" t="s">
        <v>116</v>
      </c>
      <c r="BC93" s="35" t="s">
        <v>80</v>
      </c>
      <c r="BD93" s="53"/>
      <c r="BE93" s="53">
        <v>0</v>
      </c>
      <c r="BF93" s="53"/>
      <c r="BG93" s="53">
        <v>0</v>
      </c>
      <c r="BH93" s="53"/>
      <c r="BI93" s="53">
        <f>30085+242281</f>
        <v>272366</v>
      </c>
      <c r="BJ93" s="53"/>
      <c r="BK93" s="53">
        <f>4356+103205</f>
        <v>107561</v>
      </c>
      <c r="BL93" s="53"/>
      <c r="BM93" s="53">
        <f t="shared" si="32"/>
        <v>379927</v>
      </c>
      <c r="BN93" s="54" t="s">
        <v>347</v>
      </c>
      <c r="BR93" s="51"/>
      <c r="BS93" s="53"/>
      <c r="BT93" s="53"/>
      <c r="BU93" s="53"/>
      <c r="BV93" s="53"/>
      <c r="BW93" s="53"/>
      <c r="BX93" s="45"/>
      <c r="BY93" s="45"/>
      <c r="BZ93" s="53"/>
      <c r="CA93" s="53"/>
      <c r="CB93" s="53"/>
      <c r="CC93" s="53"/>
      <c r="CD93" s="53"/>
      <c r="CE93" s="53"/>
      <c r="CF93" s="35"/>
      <c r="CH93" s="35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4"/>
    </row>
    <row r="94" spans="1:98" s="140" customFormat="1" ht="12.75" hidden="1" customHeight="1">
      <c r="A94" s="121" t="s">
        <v>117</v>
      </c>
      <c r="B94" s="124"/>
      <c r="C94" s="126" t="s">
        <v>43</v>
      </c>
      <c r="D94" s="121"/>
      <c r="E94" s="53">
        <f t="shared" si="33"/>
        <v>0</v>
      </c>
      <c r="F94" s="53"/>
      <c r="G94" s="53">
        <v>0</v>
      </c>
      <c r="H94" s="53"/>
      <c r="I94" s="53">
        <v>0</v>
      </c>
      <c r="J94" s="53"/>
      <c r="K94" s="53">
        <f t="shared" si="28"/>
        <v>0</v>
      </c>
      <c r="L94" s="53"/>
      <c r="M94" s="53">
        <v>0</v>
      </c>
      <c r="N94" s="53"/>
      <c r="O94" s="53">
        <v>0</v>
      </c>
      <c r="P94" s="53"/>
      <c r="Q94" s="53">
        <v>0</v>
      </c>
      <c r="R94" s="53"/>
      <c r="S94" s="53">
        <v>0</v>
      </c>
      <c r="T94" s="53"/>
      <c r="U94" s="53">
        <v>0</v>
      </c>
      <c r="V94" s="53"/>
      <c r="W94" s="53">
        <f t="shared" si="29"/>
        <v>0</v>
      </c>
      <c r="X94" s="137"/>
      <c r="Y94" s="121" t="s">
        <v>117</v>
      </c>
      <c r="AA94" s="126" t="s">
        <v>43</v>
      </c>
      <c r="AB94" s="126"/>
      <c r="AC94" s="53">
        <v>0</v>
      </c>
      <c r="AD94" s="53"/>
      <c r="AE94" s="53">
        <v>0</v>
      </c>
      <c r="AF94" s="53"/>
      <c r="AG94" s="53">
        <v>0</v>
      </c>
      <c r="AH94" s="53"/>
      <c r="AI94" s="45">
        <f t="shared" si="30"/>
        <v>0</v>
      </c>
      <c r="AJ94" s="45"/>
      <c r="AK94" s="53">
        <v>0</v>
      </c>
      <c r="AL94" s="45"/>
      <c r="AM94" s="53">
        <v>0</v>
      </c>
      <c r="AN94" s="53"/>
      <c r="AO94" s="53">
        <v>0</v>
      </c>
      <c r="AP94" s="53"/>
      <c r="AQ94" s="53">
        <v>0</v>
      </c>
      <c r="AR94" s="53"/>
      <c r="AS94" s="45">
        <f t="shared" si="34"/>
        <v>0</v>
      </c>
      <c r="AT94" s="45"/>
      <c r="AU94" s="53">
        <v>0</v>
      </c>
      <c r="AV94" s="53"/>
      <c r="AW94" s="53">
        <v>0</v>
      </c>
      <c r="AX94" s="53"/>
      <c r="AY94" s="53">
        <f t="shared" si="31"/>
        <v>0</v>
      </c>
      <c r="AZ94" s="53"/>
      <c r="BA94" s="121" t="s">
        <v>117</v>
      </c>
      <c r="BC94" s="126" t="s">
        <v>43</v>
      </c>
      <c r="BD94" s="137"/>
      <c r="BE94" s="53">
        <v>0</v>
      </c>
      <c r="BF94" s="53"/>
      <c r="BG94" s="53">
        <v>0</v>
      </c>
      <c r="BH94" s="53"/>
      <c r="BI94" s="53">
        <v>0</v>
      </c>
      <c r="BJ94" s="53"/>
      <c r="BK94" s="53">
        <v>0</v>
      </c>
      <c r="BL94" s="137"/>
      <c r="BM94" s="137">
        <f t="shared" si="32"/>
        <v>0</v>
      </c>
      <c r="BN94" s="139" t="s">
        <v>347</v>
      </c>
      <c r="BR94" s="124"/>
      <c r="BS94" s="137"/>
      <c r="BT94" s="137"/>
      <c r="BU94" s="137"/>
      <c r="BV94" s="137"/>
      <c r="BW94" s="137"/>
      <c r="BX94" s="127"/>
      <c r="BY94" s="127"/>
      <c r="BZ94" s="137"/>
      <c r="CA94" s="137"/>
      <c r="CB94" s="137"/>
      <c r="CC94" s="137"/>
      <c r="CD94" s="137"/>
      <c r="CE94" s="137"/>
      <c r="CF94" s="126"/>
      <c r="CH94" s="126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9"/>
    </row>
    <row r="95" spans="1:98" s="140" customFormat="1" ht="12.75" hidden="1" customHeight="1">
      <c r="A95" s="126" t="s">
        <v>118</v>
      </c>
      <c r="B95" s="124"/>
      <c r="C95" s="126" t="s">
        <v>13</v>
      </c>
      <c r="D95" s="121"/>
      <c r="E95" s="53">
        <f t="shared" si="33"/>
        <v>0</v>
      </c>
      <c r="F95" s="53"/>
      <c r="G95" s="53">
        <v>0</v>
      </c>
      <c r="H95" s="53"/>
      <c r="I95" s="53">
        <v>0</v>
      </c>
      <c r="J95" s="53"/>
      <c r="K95" s="53">
        <f t="shared" si="28"/>
        <v>0</v>
      </c>
      <c r="L95" s="53"/>
      <c r="M95" s="53">
        <v>0</v>
      </c>
      <c r="N95" s="53"/>
      <c r="O95" s="53">
        <v>0</v>
      </c>
      <c r="P95" s="53"/>
      <c r="Q95" s="53">
        <v>0</v>
      </c>
      <c r="R95" s="53"/>
      <c r="S95" s="53">
        <v>0</v>
      </c>
      <c r="T95" s="53"/>
      <c r="U95" s="53">
        <v>0</v>
      </c>
      <c r="V95" s="53"/>
      <c r="W95" s="53">
        <f t="shared" si="29"/>
        <v>0</v>
      </c>
      <c r="X95" s="137"/>
      <c r="Y95" s="126" t="s">
        <v>118</v>
      </c>
      <c r="AA95" s="126" t="s">
        <v>13</v>
      </c>
      <c r="AB95" s="126"/>
      <c r="AC95" s="53">
        <v>0</v>
      </c>
      <c r="AD95" s="53"/>
      <c r="AE95" s="53">
        <v>0</v>
      </c>
      <c r="AF95" s="53"/>
      <c r="AG95" s="53">
        <v>0</v>
      </c>
      <c r="AH95" s="53"/>
      <c r="AI95" s="45">
        <f t="shared" si="30"/>
        <v>0</v>
      </c>
      <c r="AJ95" s="45"/>
      <c r="AK95" s="53">
        <v>0</v>
      </c>
      <c r="AL95" s="45"/>
      <c r="AM95" s="53">
        <v>0</v>
      </c>
      <c r="AN95" s="53"/>
      <c r="AO95" s="53">
        <v>0</v>
      </c>
      <c r="AP95" s="53"/>
      <c r="AQ95" s="53">
        <v>0</v>
      </c>
      <c r="AR95" s="53"/>
      <c r="AS95" s="45">
        <f t="shared" si="34"/>
        <v>0</v>
      </c>
      <c r="AT95" s="45"/>
      <c r="AU95" s="53">
        <v>0</v>
      </c>
      <c r="AV95" s="53"/>
      <c r="AW95" s="53">
        <v>0</v>
      </c>
      <c r="AX95" s="53"/>
      <c r="AY95" s="53">
        <f t="shared" si="31"/>
        <v>0</v>
      </c>
      <c r="AZ95" s="53"/>
      <c r="BA95" s="126" t="s">
        <v>118</v>
      </c>
      <c r="BC95" s="126" t="s">
        <v>13</v>
      </c>
      <c r="BD95" s="137"/>
      <c r="BE95" s="53">
        <v>0</v>
      </c>
      <c r="BF95" s="53"/>
      <c r="BG95" s="53">
        <v>0</v>
      </c>
      <c r="BH95" s="53"/>
      <c r="BI95" s="53">
        <v>0</v>
      </c>
      <c r="BJ95" s="53"/>
      <c r="BK95" s="53">
        <v>0</v>
      </c>
      <c r="BL95" s="137"/>
      <c r="BM95" s="137">
        <f t="shared" si="32"/>
        <v>0</v>
      </c>
      <c r="BN95" s="139" t="s">
        <v>347</v>
      </c>
      <c r="BO95" s="126"/>
      <c r="BR95" s="124"/>
      <c r="BS95" s="137"/>
      <c r="BT95" s="137"/>
      <c r="BU95" s="137"/>
      <c r="BV95" s="137"/>
      <c r="BW95" s="127"/>
      <c r="BX95" s="127"/>
      <c r="BY95" s="137"/>
      <c r="BZ95" s="137"/>
      <c r="CA95" s="137"/>
      <c r="CB95" s="137"/>
      <c r="CC95" s="137"/>
      <c r="CD95" s="137"/>
      <c r="CE95" s="137"/>
      <c r="CF95" s="121"/>
      <c r="CH95" s="126"/>
      <c r="CI95" s="137"/>
      <c r="CJ95" s="137"/>
      <c r="CK95" s="137"/>
      <c r="CL95" s="137"/>
      <c r="CM95" s="137"/>
      <c r="CN95" s="137"/>
      <c r="CO95" s="137"/>
      <c r="CP95" s="137"/>
      <c r="CQ95" s="137"/>
      <c r="CR95" s="137"/>
      <c r="CS95" s="139"/>
      <c r="CT95" s="126"/>
    </row>
    <row r="96" spans="1:98" s="55" customFormat="1" ht="12.75" customHeight="1">
      <c r="A96" s="35" t="s">
        <v>120</v>
      </c>
      <c r="B96" s="51"/>
      <c r="C96" s="35" t="s">
        <v>121</v>
      </c>
      <c r="D96" s="44"/>
      <c r="E96" s="53">
        <f t="shared" si="33"/>
        <v>8473278</v>
      </c>
      <c r="F96" s="53"/>
      <c r="G96" s="53">
        <v>3849712</v>
      </c>
      <c r="H96" s="53"/>
      <c r="I96" s="53">
        <v>12322990</v>
      </c>
      <c r="J96" s="53"/>
      <c r="K96" s="53">
        <f t="shared" si="28"/>
        <v>245990</v>
      </c>
      <c r="L96" s="53"/>
      <c r="M96" s="53">
        <v>1562859</v>
      </c>
      <c r="N96" s="53"/>
      <c r="O96" s="53">
        <v>1808849</v>
      </c>
      <c r="P96" s="53"/>
      <c r="Q96" s="53">
        <v>2129712</v>
      </c>
      <c r="R96" s="53"/>
      <c r="S96" s="53">
        <v>317624</v>
      </c>
      <c r="T96" s="53"/>
      <c r="U96" s="53">
        <v>8066805</v>
      </c>
      <c r="V96" s="53"/>
      <c r="W96" s="53">
        <f t="shared" si="29"/>
        <v>10514141</v>
      </c>
      <c r="X96" s="53"/>
      <c r="Y96" s="35" t="s">
        <v>120</v>
      </c>
      <c r="AA96" s="35" t="s">
        <v>121</v>
      </c>
      <c r="AB96" s="35"/>
      <c r="AC96" s="53">
        <v>1926539</v>
      </c>
      <c r="AD96" s="53"/>
      <c r="AE96" s="53">
        <f>1240547-240883</f>
        <v>999664</v>
      </c>
      <c r="AF96" s="53"/>
      <c r="AG96" s="53">
        <v>240883</v>
      </c>
      <c r="AH96" s="53"/>
      <c r="AI96" s="45">
        <f t="shared" si="30"/>
        <v>685992</v>
      </c>
      <c r="AJ96" s="45"/>
      <c r="AK96" s="53">
        <v>-48552</v>
      </c>
      <c r="AL96" s="45"/>
      <c r="AM96" s="53">
        <v>0</v>
      </c>
      <c r="AN96" s="53"/>
      <c r="AO96" s="53">
        <v>0</v>
      </c>
      <c r="AP96" s="53"/>
      <c r="AQ96" s="53">
        <v>0</v>
      </c>
      <c r="AR96" s="53"/>
      <c r="AS96" s="45">
        <f t="shared" si="34"/>
        <v>637440</v>
      </c>
      <c r="AT96" s="45"/>
      <c r="AU96" s="53">
        <v>0</v>
      </c>
      <c r="AV96" s="53"/>
      <c r="AW96" s="53">
        <v>0</v>
      </c>
      <c r="AX96" s="53"/>
      <c r="AY96" s="53">
        <f t="shared" si="31"/>
        <v>8227288</v>
      </c>
      <c r="AZ96" s="53"/>
      <c r="BA96" s="35" t="s">
        <v>120</v>
      </c>
      <c r="BC96" s="35" t="s">
        <v>121</v>
      </c>
      <c r="BD96" s="53"/>
      <c r="BE96" s="53">
        <v>0</v>
      </c>
      <c r="BF96" s="53"/>
      <c r="BG96" s="53">
        <f>1535000+185000</f>
        <v>1720000</v>
      </c>
      <c r="BH96" s="53"/>
      <c r="BI96" s="53">
        <v>0</v>
      </c>
      <c r="BJ96" s="53"/>
      <c r="BK96" s="53">
        <f>26859+3075</f>
        <v>29934</v>
      </c>
      <c r="BL96" s="53"/>
      <c r="BM96" s="53">
        <f t="shared" si="32"/>
        <v>1749934</v>
      </c>
      <c r="BN96" s="54" t="s">
        <v>347</v>
      </c>
      <c r="BO96" s="55" t="s">
        <v>404</v>
      </c>
      <c r="BR96" s="65"/>
      <c r="BS96" s="53"/>
      <c r="BT96" s="53"/>
      <c r="BU96" s="53"/>
      <c r="BV96" s="53"/>
      <c r="BW96" s="53"/>
      <c r="BX96" s="45"/>
      <c r="BY96" s="45"/>
      <c r="BZ96" s="53"/>
      <c r="CA96" s="53"/>
      <c r="CB96" s="53"/>
      <c r="CC96" s="53"/>
      <c r="CD96" s="53"/>
      <c r="CE96" s="53"/>
      <c r="CF96" s="35"/>
      <c r="CH96" s="35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4"/>
    </row>
    <row r="97" spans="1:104" s="55" customFormat="1" ht="12.75" customHeight="1">
      <c r="A97" s="35" t="s">
        <v>122</v>
      </c>
      <c r="C97" s="35" t="s">
        <v>43</v>
      </c>
      <c r="D97" s="44"/>
      <c r="E97" s="53">
        <f t="shared" si="33"/>
        <v>2487667</v>
      </c>
      <c r="F97" s="53"/>
      <c r="G97" s="53">
        <v>26906348</v>
      </c>
      <c r="H97" s="53"/>
      <c r="I97" s="53">
        <v>29394015</v>
      </c>
      <c r="J97" s="53"/>
      <c r="K97" s="53">
        <f t="shared" si="28"/>
        <v>320340</v>
      </c>
      <c r="L97" s="53"/>
      <c r="M97" s="53">
        <v>639112</v>
      </c>
      <c r="N97" s="53"/>
      <c r="O97" s="53">
        <v>959452</v>
      </c>
      <c r="P97" s="53"/>
      <c r="Q97" s="53">
        <v>26215510</v>
      </c>
      <c r="R97" s="53"/>
      <c r="S97" s="53">
        <v>0</v>
      </c>
      <c r="T97" s="53"/>
      <c r="U97" s="53">
        <v>2219053</v>
      </c>
      <c r="V97" s="53"/>
      <c r="W97" s="53">
        <f t="shared" si="29"/>
        <v>28434563</v>
      </c>
      <c r="X97" s="53"/>
      <c r="Y97" s="35" t="s">
        <v>122</v>
      </c>
      <c r="AA97" s="35" t="s">
        <v>43</v>
      </c>
      <c r="AB97" s="35"/>
      <c r="AC97" s="53">
        <v>387016</v>
      </c>
      <c r="AD97" s="53"/>
      <c r="AE97" s="53">
        <f>1531183-712669</f>
        <v>818514</v>
      </c>
      <c r="AF97" s="53"/>
      <c r="AG97" s="53">
        <v>712669</v>
      </c>
      <c r="AH97" s="53"/>
      <c r="AI97" s="45">
        <f t="shared" si="30"/>
        <v>-1144167</v>
      </c>
      <c r="AJ97" s="45"/>
      <c r="AK97" s="53">
        <v>49520</v>
      </c>
      <c r="AL97" s="45"/>
      <c r="AM97" s="53">
        <v>1419</v>
      </c>
      <c r="AN97" s="53"/>
      <c r="AO97" s="53">
        <v>-36104</v>
      </c>
      <c r="AP97" s="53"/>
      <c r="AQ97" s="53">
        <v>1348642</v>
      </c>
      <c r="AR97" s="53"/>
      <c r="AS97" s="45">
        <f t="shared" si="34"/>
        <v>291518</v>
      </c>
      <c r="AT97" s="45"/>
      <c r="AU97" s="53">
        <v>0</v>
      </c>
      <c r="AV97" s="53"/>
      <c r="AW97" s="53">
        <v>0</v>
      </c>
      <c r="AX97" s="53"/>
      <c r="AY97" s="53">
        <f t="shared" si="31"/>
        <v>2167327</v>
      </c>
      <c r="AZ97" s="53"/>
      <c r="BA97" s="35" t="s">
        <v>122</v>
      </c>
      <c r="BC97" s="35" t="s">
        <v>43</v>
      </c>
      <c r="BD97" s="53"/>
      <c r="BE97" s="53">
        <v>0</v>
      </c>
      <c r="BF97" s="53"/>
      <c r="BG97" s="53">
        <v>0</v>
      </c>
      <c r="BH97" s="53"/>
      <c r="BI97" s="53">
        <f>627006+63832</f>
        <v>690838</v>
      </c>
      <c r="BJ97" s="53"/>
      <c r="BK97" s="53">
        <f>12106+11860</f>
        <v>23966</v>
      </c>
      <c r="BL97" s="53"/>
      <c r="BM97" s="53">
        <f t="shared" si="32"/>
        <v>714804</v>
      </c>
      <c r="BN97" s="54" t="s">
        <v>347</v>
      </c>
      <c r="BR97" s="51"/>
      <c r="BS97" s="53"/>
      <c r="BT97" s="53"/>
      <c r="BU97" s="53"/>
      <c r="BV97" s="53"/>
      <c r="BW97" s="53"/>
      <c r="BX97" s="45"/>
      <c r="BY97" s="45"/>
      <c r="BZ97" s="53"/>
      <c r="CA97" s="53"/>
      <c r="CB97" s="53"/>
      <c r="CC97" s="53"/>
      <c r="CD97" s="53"/>
      <c r="CE97" s="53"/>
      <c r="CF97" s="35"/>
      <c r="CH97" s="35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4"/>
    </row>
    <row r="98" spans="1:104" s="55" customFormat="1" ht="12.75" customHeight="1">
      <c r="A98" s="44" t="s">
        <v>45</v>
      </c>
      <c r="B98" s="51"/>
      <c r="C98" s="35" t="s">
        <v>103</v>
      </c>
      <c r="D98" s="44"/>
      <c r="E98" s="53">
        <f t="shared" si="33"/>
        <v>21856176</v>
      </c>
      <c r="F98" s="53"/>
      <c r="G98" s="53">
        <v>41314147</v>
      </c>
      <c r="H98" s="53"/>
      <c r="I98" s="53">
        <v>63170323</v>
      </c>
      <c r="J98" s="53"/>
      <c r="K98" s="53">
        <f t="shared" si="28"/>
        <v>2499743</v>
      </c>
      <c r="L98" s="53"/>
      <c r="M98" s="53">
        <v>32064357</v>
      </c>
      <c r="N98" s="53"/>
      <c r="O98" s="53">
        <v>34564100</v>
      </c>
      <c r="P98" s="53"/>
      <c r="Q98" s="53">
        <v>17935703</v>
      </c>
      <c r="R98" s="53"/>
      <c r="S98" s="53">
        <f>1822712+2000000</f>
        <v>3822712</v>
      </c>
      <c r="T98" s="53"/>
      <c r="U98" s="53">
        <v>6847808</v>
      </c>
      <c r="V98" s="53"/>
      <c r="W98" s="53">
        <f t="shared" si="29"/>
        <v>28606223</v>
      </c>
      <c r="X98" s="53"/>
      <c r="Y98" s="44" t="s">
        <v>45</v>
      </c>
      <c r="Z98" s="53"/>
      <c r="AA98" s="35" t="s">
        <v>103</v>
      </c>
      <c r="AB98" s="51"/>
      <c r="AC98" s="53">
        <v>10722481</v>
      </c>
      <c r="AD98" s="53"/>
      <c r="AE98" s="53">
        <f>10345204-2194891</f>
        <v>8150313</v>
      </c>
      <c r="AF98" s="53"/>
      <c r="AG98" s="53">
        <v>2194891</v>
      </c>
      <c r="AH98" s="53"/>
      <c r="AI98" s="45">
        <f t="shared" si="30"/>
        <v>377277</v>
      </c>
      <c r="AJ98" s="45"/>
      <c r="AK98" s="53">
        <v>-1182804</v>
      </c>
      <c r="AL98" s="45"/>
      <c r="AM98" s="53">
        <v>0</v>
      </c>
      <c r="AN98" s="53"/>
      <c r="AO98" s="53">
        <v>127500</v>
      </c>
      <c r="AP98" s="53"/>
      <c r="AQ98" s="53">
        <v>0</v>
      </c>
      <c r="AR98" s="53"/>
      <c r="AS98" s="45">
        <f t="shared" si="34"/>
        <v>-933027</v>
      </c>
      <c r="AT98" s="45"/>
      <c r="AU98" s="53">
        <v>0</v>
      </c>
      <c r="AV98" s="53"/>
      <c r="AW98" s="53">
        <v>0</v>
      </c>
      <c r="AX98" s="53"/>
      <c r="AY98" s="53">
        <f t="shared" si="31"/>
        <v>19356433</v>
      </c>
      <c r="AZ98" s="53"/>
      <c r="BA98" s="44" t="s">
        <v>45</v>
      </c>
      <c r="BC98" s="35" t="s">
        <v>103</v>
      </c>
      <c r="BD98" s="53"/>
      <c r="BE98" s="53">
        <v>0</v>
      </c>
      <c r="BF98" s="53"/>
      <c r="BG98" s="53">
        <f>31758131+1315000</f>
        <v>33073131</v>
      </c>
      <c r="BH98" s="53"/>
      <c r="BI98" s="53">
        <v>0</v>
      </c>
      <c r="BJ98" s="53"/>
      <c r="BK98" s="53">
        <f>306226+211222</f>
        <v>517448</v>
      </c>
      <c r="BL98" s="53"/>
      <c r="BM98" s="53">
        <f t="shared" si="32"/>
        <v>33590579</v>
      </c>
      <c r="BN98" s="54" t="s">
        <v>347</v>
      </c>
      <c r="BO98" s="55" t="s">
        <v>404</v>
      </c>
      <c r="BR98" s="51"/>
      <c r="BS98" s="53"/>
      <c r="BT98" s="53"/>
      <c r="BU98" s="53"/>
      <c r="BV98" s="53"/>
      <c r="BW98" s="53"/>
      <c r="BX98" s="45"/>
      <c r="BY98" s="45"/>
      <c r="BZ98" s="53"/>
      <c r="CA98" s="53"/>
      <c r="CB98" s="53"/>
      <c r="CC98" s="53"/>
      <c r="CD98" s="53"/>
      <c r="CE98" s="53"/>
      <c r="CF98" s="35"/>
      <c r="CH98" s="35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4"/>
    </row>
    <row r="99" spans="1:104" s="55" customFormat="1" ht="12.75" customHeight="1">
      <c r="A99" s="44" t="s">
        <v>123</v>
      </c>
      <c r="B99" s="51"/>
      <c r="C99" s="35" t="s">
        <v>45</v>
      </c>
      <c r="D99" s="44"/>
      <c r="E99" s="53">
        <f t="shared" si="33"/>
        <v>3686069</v>
      </c>
      <c r="F99" s="53"/>
      <c r="G99" s="53">
        <v>21098084</v>
      </c>
      <c r="H99" s="53"/>
      <c r="I99" s="53">
        <v>24784153</v>
      </c>
      <c r="J99" s="53"/>
      <c r="K99" s="53">
        <f t="shared" si="28"/>
        <v>6004682</v>
      </c>
      <c r="L99" s="53"/>
      <c r="M99" s="53">
        <v>18600584</v>
      </c>
      <c r="N99" s="53"/>
      <c r="O99" s="53">
        <v>24605266</v>
      </c>
      <c r="P99" s="53"/>
      <c r="Q99" s="53">
        <v>-2679618</v>
      </c>
      <c r="R99" s="53"/>
      <c r="S99" s="53">
        <v>0</v>
      </c>
      <c r="T99" s="53"/>
      <c r="U99" s="53">
        <v>2858505</v>
      </c>
      <c r="V99" s="53"/>
      <c r="W99" s="53">
        <f t="shared" si="29"/>
        <v>178887</v>
      </c>
      <c r="X99" s="53"/>
      <c r="Y99" s="44" t="s">
        <v>123</v>
      </c>
      <c r="AA99" s="35" t="s">
        <v>45</v>
      </c>
      <c r="AB99" s="35"/>
      <c r="AC99" s="53">
        <v>2435098</v>
      </c>
      <c r="AD99" s="53"/>
      <c r="AE99" s="53">
        <f>1860019-721632</f>
        <v>1138387</v>
      </c>
      <c r="AF99" s="53"/>
      <c r="AG99" s="53">
        <v>721632</v>
      </c>
      <c r="AH99" s="53"/>
      <c r="AI99" s="45">
        <f t="shared" si="30"/>
        <v>575079</v>
      </c>
      <c r="AJ99" s="45"/>
      <c r="AK99" s="53">
        <v>-941370</v>
      </c>
      <c r="AL99" s="45"/>
      <c r="AM99" s="53">
        <v>0</v>
      </c>
      <c r="AN99" s="53"/>
      <c r="AO99" s="53">
        <v>0</v>
      </c>
      <c r="AP99" s="53"/>
      <c r="AQ99" s="53">
        <v>0</v>
      </c>
      <c r="AR99" s="53"/>
      <c r="AS99" s="45">
        <f t="shared" si="34"/>
        <v>-366291</v>
      </c>
      <c r="AT99" s="45"/>
      <c r="AU99" s="53">
        <v>0</v>
      </c>
      <c r="AV99" s="53"/>
      <c r="AW99" s="53">
        <v>0</v>
      </c>
      <c r="AX99" s="53"/>
      <c r="AY99" s="53">
        <f t="shared" si="31"/>
        <v>-2318613</v>
      </c>
      <c r="AZ99" s="53"/>
      <c r="BA99" s="44" t="s">
        <v>123</v>
      </c>
      <c r="BC99" s="35" t="s">
        <v>45</v>
      </c>
      <c r="BD99" s="53"/>
      <c r="BE99" s="53">
        <f>370000+20000</f>
        <v>390000</v>
      </c>
      <c r="BF99" s="53"/>
      <c r="BG99" s="53">
        <f>16633820+550000</f>
        <v>17183820</v>
      </c>
      <c r="BH99" s="53"/>
      <c r="BI99" s="53">
        <f>92308+1569242</f>
        <v>1661550</v>
      </c>
      <c r="BJ99" s="53"/>
      <c r="BK99" s="53">
        <f>19930+7592+7163+4449</f>
        <v>39134</v>
      </c>
      <c r="BL99" s="53"/>
      <c r="BM99" s="53">
        <f t="shared" si="32"/>
        <v>19274504</v>
      </c>
      <c r="BN99" s="54" t="s">
        <v>347</v>
      </c>
      <c r="BR99" s="51"/>
      <c r="BS99" s="53"/>
      <c r="BT99" s="53"/>
      <c r="BU99" s="53"/>
      <c r="BV99" s="53"/>
      <c r="BW99" s="53"/>
      <c r="BX99" s="45"/>
      <c r="BY99" s="45"/>
      <c r="BZ99" s="53"/>
      <c r="CA99" s="53"/>
      <c r="CB99" s="53"/>
      <c r="CC99" s="53"/>
      <c r="CD99" s="53"/>
      <c r="CE99" s="53"/>
      <c r="CF99" s="35"/>
      <c r="CH99" s="35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4"/>
    </row>
    <row r="100" spans="1:104" s="90" customFormat="1">
      <c r="A100" s="35" t="s">
        <v>124</v>
      </c>
      <c r="B100" s="51"/>
      <c r="C100" s="35" t="s">
        <v>125</v>
      </c>
      <c r="D100" s="44"/>
      <c r="E100" s="53">
        <f t="shared" si="33"/>
        <v>2985309</v>
      </c>
      <c r="F100" s="53"/>
      <c r="G100" s="53">
        <v>8310851</v>
      </c>
      <c r="H100" s="53"/>
      <c r="I100" s="53">
        <v>11296160</v>
      </c>
      <c r="J100" s="53"/>
      <c r="K100" s="53">
        <f t="shared" si="28"/>
        <v>786533</v>
      </c>
      <c r="L100" s="53"/>
      <c r="M100" s="53">
        <v>2943238</v>
      </c>
      <c r="N100" s="53"/>
      <c r="O100" s="53">
        <v>3729771</v>
      </c>
      <c r="P100" s="53"/>
      <c r="Q100" s="53">
        <v>4777997</v>
      </c>
      <c r="R100" s="53"/>
      <c r="S100" s="53">
        <v>0</v>
      </c>
      <c r="T100" s="53"/>
      <c r="U100" s="53">
        <v>2788392</v>
      </c>
      <c r="V100" s="53"/>
      <c r="W100" s="53">
        <f t="shared" si="29"/>
        <v>7566389</v>
      </c>
      <c r="X100" s="53"/>
      <c r="Y100" s="35" t="s">
        <v>124</v>
      </c>
      <c r="Z100" s="55"/>
      <c r="AA100" s="35" t="s">
        <v>125</v>
      </c>
      <c r="AB100" s="35"/>
      <c r="AC100" s="53">
        <v>2212708</v>
      </c>
      <c r="AD100" s="53"/>
      <c r="AE100" s="53">
        <f>261376-455138</f>
        <v>-193762</v>
      </c>
      <c r="AF100" s="53"/>
      <c r="AG100" s="53">
        <v>455138</v>
      </c>
      <c r="AH100" s="53"/>
      <c r="AI100" s="45">
        <f t="shared" si="30"/>
        <v>1951332</v>
      </c>
      <c r="AJ100" s="45"/>
      <c r="AK100" s="53">
        <v>-68366</v>
      </c>
      <c r="AL100" s="45"/>
      <c r="AM100" s="53">
        <v>20017</v>
      </c>
      <c r="AN100" s="53"/>
      <c r="AO100" s="53">
        <v>0</v>
      </c>
      <c r="AP100" s="53"/>
      <c r="AQ100" s="53">
        <v>0</v>
      </c>
      <c r="AR100" s="53"/>
      <c r="AS100" s="45">
        <f t="shared" si="34"/>
        <v>1902983</v>
      </c>
      <c r="AT100" s="45"/>
      <c r="AU100" s="53">
        <v>0</v>
      </c>
      <c r="AV100" s="53"/>
      <c r="AW100" s="53">
        <v>0</v>
      </c>
      <c r="AX100" s="53"/>
      <c r="AY100" s="53">
        <f t="shared" si="31"/>
        <v>2198776</v>
      </c>
      <c r="AZ100" s="53"/>
      <c r="BA100" s="35" t="s">
        <v>124</v>
      </c>
      <c r="BB100" s="55"/>
      <c r="BC100" s="35" t="s">
        <v>125</v>
      </c>
      <c r="BD100" s="53"/>
      <c r="BE100" s="53">
        <v>0</v>
      </c>
      <c r="BF100" s="53"/>
      <c r="BG100" s="53">
        <v>0</v>
      </c>
      <c r="BH100" s="53"/>
      <c r="BI100" s="53">
        <f>2767026+97304+665048+3476</f>
        <v>3532854</v>
      </c>
      <c r="BJ100" s="53"/>
      <c r="BK100" s="53">
        <f>7380+78908</f>
        <v>86288</v>
      </c>
      <c r="BL100" s="53"/>
      <c r="BM100" s="53">
        <f t="shared" si="32"/>
        <v>3619142</v>
      </c>
      <c r="BN100" s="91" t="s">
        <v>347</v>
      </c>
      <c r="BR100" s="66"/>
      <c r="BS100" s="79"/>
      <c r="BT100" s="79"/>
      <c r="BU100" s="79"/>
      <c r="BV100" s="79"/>
      <c r="BW100" s="79"/>
      <c r="BX100" s="94"/>
      <c r="BY100" s="94"/>
      <c r="BZ100" s="79"/>
      <c r="CA100" s="79"/>
      <c r="CB100" s="79"/>
      <c r="CC100" s="79"/>
      <c r="CD100" s="79"/>
      <c r="CE100" s="79"/>
      <c r="CF100" s="64"/>
      <c r="CH100" s="64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91"/>
    </row>
    <row r="101" spans="1:104" s="140" customFormat="1" ht="12.75" hidden="1" customHeight="1">
      <c r="A101" s="126" t="s">
        <v>126</v>
      </c>
      <c r="B101" s="124"/>
      <c r="C101" s="126" t="s">
        <v>27</v>
      </c>
      <c r="D101" s="121"/>
      <c r="E101" s="53">
        <f t="shared" si="33"/>
        <v>0</v>
      </c>
      <c r="F101" s="53"/>
      <c r="G101" s="53">
        <v>0</v>
      </c>
      <c r="H101" s="53"/>
      <c r="I101" s="53">
        <v>0</v>
      </c>
      <c r="J101" s="53"/>
      <c r="K101" s="53">
        <f t="shared" si="28"/>
        <v>0</v>
      </c>
      <c r="L101" s="53"/>
      <c r="M101" s="53">
        <v>0</v>
      </c>
      <c r="N101" s="53"/>
      <c r="O101" s="53">
        <v>0</v>
      </c>
      <c r="P101" s="53"/>
      <c r="Q101" s="53">
        <v>0</v>
      </c>
      <c r="R101" s="53"/>
      <c r="S101" s="53">
        <v>0</v>
      </c>
      <c r="T101" s="53"/>
      <c r="U101" s="53">
        <v>0</v>
      </c>
      <c r="V101" s="53"/>
      <c r="W101" s="53">
        <f t="shared" si="29"/>
        <v>0</v>
      </c>
      <c r="X101" s="137"/>
      <c r="Y101" s="126" t="s">
        <v>126</v>
      </c>
      <c r="AA101" s="126" t="s">
        <v>27</v>
      </c>
      <c r="AB101" s="126"/>
      <c r="AC101" s="53">
        <v>0</v>
      </c>
      <c r="AD101" s="53"/>
      <c r="AE101" s="53">
        <v>0</v>
      </c>
      <c r="AF101" s="53"/>
      <c r="AG101" s="53">
        <v>0</v>
      </c>
      <c r="AH101" s="53"/>
      <c r="AI101" s="45">
        <f t="shared" si="30"/>
        <v>0</v>
      </c>
      <c r="AJ101" s="45"/>
      <c r="AK101" s="53">
        <v>0</v>
      </c>
      <c r="AL101" s="45"/>
      <c r="AM101" s="53">
        <v>0</v>
      </c>
      <c r="AN101" s="53"/>
      <c r="AO101" s="53">
        <v>0</v>
      </c>
      <c r="AP101" s="53"/>
      <c r="AQ101" s="53">
        <v>0</v>
      </c>
      <c r="AR101" s="53"/>
      <c r="AS101" s="45">
        <f t="shared" si="34"/>
        <v>0</v>
      </c>
      <c r="AT101" s="45"/>
      <c r="AU101" s="53">
        <v>0</v>
      </c>
      <c r="AV101" s="53"/>
      <c r="AW101" s="53">
        <v>0</v>
      </c>
      <c r="AX101" s="53"/>
      <c r="AY101" s="53">
        <f t="shared" si="31"/>
        <v>0</v>
      </c>
      <c r="AZ101" s="53"/>
      <c r="BA101" s="126" t="s">
        <v>126</v>
      </c>
      <c r="BC101" s="126" t="s">
        <v>27</v>
      </c>
      <c r="BD101" s="137"/>
      <c r="BE101" s="53">
        <v>0</v>
      </c>
      <c r="BF101" s="53"/>
      <c r="BG101" s="53">
        <v>0</v>
      </c>
      <c r="BH101" s="53"/>
      <c r="BI101" s="53">
        <v>0</v>
      </c>
      <c r="BJ101" s="53"/>
      <c r="BK101" s="53">
        <v>0</v>
      </c>
      <c r="BL101" s="137"/>
      <c r="BM101" s="137">
        <f t="shared" si="32"/>
        <v>0</v>
      </c>
      <c r="BN101" s="139" t="s">
        <v>347</v>
      </c>
      <c r="BR101" s="124"/>
      <c r="BS101" s="137"/>
      <c r="BT101" s="137"/>
      <c r="BU101" s="137"/>
      <c r="BV101" s="137"/>
      <c r="BW101" s="127"/>
      <c r="BX101" s="127"/>
      <c r="BY101" s="137"/>
      <c r="BZ101" s="137"/>
      <c r="CA101" s="137"/>
      <c r="CB101" s="137"/>
      <c r="CC101" s="137"/>
      <c r="CD101" s="137"/>
      <c r="CE101" s="137"/>
      <c r="CF101" s="126"/>
      <c r="CH101" s="126"/>
      <c r="CI101" s="137"/>
      <c r="CJ101" s="137"/>
      <c r="CK101" s="137"/>
      <c r="CL101" s="137"/>
      <c r="CM101" s="137"/>
      <c r="CN101" s="137"/>
      <c r="CO101" s="137"/>
      <c r="CP101" s="137"/>
      <c r="CQ101" s="137"/>
      <c r="CR101" s="137"/>
      <c r="CS101" s="139"/>
    </row>
    <row r="102" spans="1:104" s="140" customFormat="1" ht="12.75" hidden="1" customHeight="1">
      <c r="A102" s="126" t="s">
        <v>127</v>
      </c>
      <c r="B102" s="124"/>
      <c r="C102" s="126" t="s">
        <v>43</v>
      </c>
      <c r="D102" s="121"/>
      <c r="E102" s="53">
        <f t="shared" si="33"/>
        <v>0</v>
      </c>
      <c r="F102" s="53"/>
      <c r="G102" s="53">
        <v>0</v>
      </c>
      <c r="H102" s="53"/>
      <c r="I102" s="53">
        <v>0</v>
      </c>
      <c r="J102" s="53"/>
      <c r="K102" s="53">
        <f t="shared" si="28"/>
        <v>0</v>
      </c>
      <c r="L102" s="53"/>
      <c r="M102" s="53">
        <v>0</v>
      </c>
      <c r="N102" s="53"/>
      <c r="O102" s="53">
        <v>0</v>
      </c>
      <c r="P102" s="53"/>
      <c r="Q102" s="53">
        <v>0</v>
      </c>
      <c r="R102" s="53"/>
      <c r="S102" s="53">
        <v>0</v>
      </c>
      <c r="T102" s="53"/>
      <c r="U102" s="53">
        <v>0</v>
      </c>
      <c r="V102" s="53"/>
      <c r="W102" s="53">
        <f t="shared" si="29"/>
        <v>0</v>
      </c>
      <c r="X102" s="137"/>
      <c r="Y102" s="126" t="s">
        <v>127</v>
      </c>
      <c r="AA102" s="126" t="s">
        <v>43</v>
      </c>
      <c r="AB102" s="126"/>
      <c r="AC102" s="53">
        <v>0</v>
      </c>
      <c r="AD102" s="53"/>
      <c r="AE102" s="53">
        <v>0</v>
      </c>
      <c r="AF102" s="53"/>
      <c r="AG102" s="53">
        <v>0</v>
      </c>
      <c r="AH102" s="53"/>
      <c r="AI102" s="45">
        <f t="shared" si="30"/>
        <v>0</v>
      </c>
      <c r="AJ102" s="45"/>
      <c r="AK102" s="53">
        <v>0</v>
      </c>
      <c r="AL102" s="45"/>
      <c r="AM102" s="53">
        <v>0</v>
      </c>
      <c r="AN102" s="53"/>
      <c r="AO102" s="53">
        <v>0</v>
      </c>
      <c r="AP102" s="53"/>
      <c r="AQ102" s="53">
        <v>0</v>
      </c>
      <c r="AR102" s="53"/>
      <c r="AS102" s="45">
        <f t="shared" si="34"/>
        <v>0</v>
      </c>
      <c r="AT102" s="45"/>
      <c r="AU102" s="53">
        <v>0</v>
      </c>
      <c r="AV102" s="53"/>
      <c r="AW102" s="53">
        <v>0</v>
      </c>
      <c r="AX102" s="53"/>
      <c r="AY102" s="53">
        <f t="shared" si="31"/>
        <v>0</v>
      </c>
      <c r="AZ102" s="53"/>
      <c r="BA102" s="126" t="s">
        <v>127</v>
      </c>
      <c r="BC102" s="126" t="s">
        <v>43</v>
      </c>
      <c r="BD102" s="137"/>
      <c r="BE102" s="53">
        <v>0</v>
      </c>
      <c r="BF102" s="53"/>
      <c r="BG102" s="53">
        <v>0</v>
      </c>
      <c r="BH102" s="53"/>
      <c r="BI102" s="53">
        <v>0</v>
      </c>
      <c r="BJ102" s="53"/>
      <c r="BK102" s="53">
        <v>0</v>
      </c>
      <c r="BL102" s="137"/>
      <c r="BM102" s="137">
        <f t="shared" si="32"/>
        <v>0</v>
      </c>
      <c r="BN102" s="139" t="s">
        <v>347</v>
      </c>
      <c r="BR102" s="124"/>
      <c r="BS102" s="137"/>
      <c r="BT102" s="137"/>
      <c r="BU102" s="137"/>
      <c r="BV102" s="137"/>
      <c r="BW102" s="127"/>
      <c r="BX102" s="127"/>
      <c r="BY102" s="137"/>
      <c r="BZ102" s="137"/>
      <c r="CA102" s="137"/>
      <c r="CB102" s="137"/>
      <c r="CC102" s="137"/>
      <c r="CD102" s="137"/>
      <c r="CE102" s="137"/>
      <c r="CF102" s="126"/>
      <c r="CH102" s="126"/>
      <c r="CI102" s="137"/>
      <c r="CJ102" s="137"/>
      <c r="CK102" s="137"/>
      <c r="CL102" s="137"/>
      <c r="CM102" s="137"/>
      <c r="CN102" s="137"/>
      <c r="CO102" s="137"/>
      <c r="CP102" s="137"/>
      <c r="CQ102" s="137"/>
      <c r="CR102" s="137"/>
      <c r="CS102" s="139"/>
    </row>
    <row r="103" spans="1:104" s="55" customFormat="1" ht="12.75" customHeight="1">
      <c r="A103" s="35" t="s">
        <v>128</v>
      </c>
      <c r="B103" s="51"/>
      <c r="C103" s="35" t="s">
        <v>119</v>
      </c>
      <c r="D103" s="44"/>
      <c r="E103" s="53">
        <f t="shared" si="33"/>
        <v>1643692</v>
      </c>
      <c r="F103" s="53"/>
      <c r="G103" s="53">
        <v>9223718</v>
      </c>
      <c r="H103" s="53"/>
      <c r="I103" s="53">
        <v>10867410</v>
      </c>
      <c r="J103" s="53"/>
      <c r="K103" s="53">
        <f t="shared" si="28"/>
        <v>270129</v>
      </c>
      <c r="L103" s="53"/>
      <c r="M103" s="53">
        <v>2675912</v>
      </c>
      <c r="N103" s="53"/>
      <c r="O103" s="53">
        <v>2946041</v>
      </c>
      <c r="P103" s="53"/>
      <c r="Q103" s="53">
        <v>6477334</v>
      </c>
      <c r="R103" s="53"/>
      <c r="S103" s="53">
        <v>0</v>
      </c>
      <c r="T103" s="53"/>
      <c r="U103" s="53">
        <v>1444035</v>
      </c>
      <c r="V103" s="53"/>
      <c r="W103" s="53">
        <f t="shared" si="29"/>
        <v>7921369</v>
      </c>
      <c r="X103" s="53"/>
      <c r="Y103" s="35" t="s">
        <v>128</v>
      </c>
      <c r="AA103" s="35" t="s">
        <v>119</v>
      </c>
      <c r="AB103" s="35"/>
      <c r="AC103" s="53">
        <v>2122817</v>
      </c>
      <c r="AD103" s="53"/>
      <c r="AE103" s="53">
        <f>1315961-261245</f>
        <v>1054716</v>
      </c>
      <c r="AF103" s="53"/>
      <c r="AG103" s="53">
        <v>261245</v>
      </c>
      <c r="AH103" s="53"/>
      <c r="AI103" s="45">
        <f t="shared" si="30"/>
        <v>806856</v>
      </c>
      <c r="AJ103" s="45"/>
      <c r="AK103" s="53">
        <v>-26898</v>
      </c>
      <c r="AL103" s="45"/>
      <c r="AM103" s="53">
        <v>3433</v>
      </c>
      <c r="AN103" s="53"/>
      <c r="AO103" s="53">
        <v>0</v>
      </c>
      <c r="AP103" s="53"/>
      <c r="AQ103" s="53">
        <v>250000</v>
      </c>
      <c r="AR103" s="53"/>
      <c r="AS103" s="45">
        <f t="shared" si="34"/>
        <v>1033391</v>
      </c>
      <c r="AT103" s="45"/>
      <c r="AU103" s="53">
        <v>0</v>
      </c>
      <c r="AV103" s="53"/>
      <c r="AW103" s="53">
        <v>0</v>
      </c>
      <c r="AX103" s="53"/>
      <c r="AY103" s="53">
        <f t="shared" si="31"/>
        <v>1373563</v>
      </c>
      <c r="AZ103" s="53"/>
      <c r="BA103" s="35" t="s">
        <v>128</v>
      </c>
      <c r="BC103" s="35" t="s">
        <v>119</v>
      </c>
      <c r="BD103" s="53"/>
      <c r="BE103" s="53">
        <v>0</v>
      </c>
      <c r="BF103" s="53"/>
      <c r="BG103" s="53">
        <v>0</v>
      </c>
      <c r="BH103" s="53"/>
      <c r="BI103" s="53">
        <f>2422891+160000+84513+10000</f>
        <v>2677404</v>
      </c>
      <c r="BJ103" s="53"/>
      <c r="BK103" s="53">
        <f>38151+54870+14110</f>
        <v>107131</v>
      </c>
      <c r="BL103" s="53"/>
      <c r="BM103" s="53">
        <f t="shared" si="32"/>
        <v>2784535</v>
      </c>
      <c r="BN103" s="54" t="s">
        <v>347</v>
      </c>
      <c r="BR103" s="65"/>
      <c r="BS103" s="53"/>
      <c r="BT103" s="53"/>
      <c r="BU103" s="53"/>
      <c r="BV103" s="53"/>
      <c r="BW103" s="53"/>
      <c r="BX103" s="45"/>
      <c r="BY103" s="45"/>
      <c r="BZ103" s="53"/>
      <c r="CA103" s="53"/>
      <c r="CB103" s="53"/>
      <c r="CC103" s="53"/>
      <c r="CD103" s="53"/>
      <c r="CE103" s="53"/>
      <c r="CF103" s="35"/>
      <c r="CH103" s="35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4"/>
    </row>
    <row r="104" spans="1:104" s="55" customFormat="1" ht="12.75" customHeight="1">
      <c r="A104" s="35" t="s">
        <v>129</v>
      </c>
      <c r="B104" s="51"/>
      <c r="C104" s="35" t="s">
        <v>80</v>
      </c>
      <c r="D104" s="44"/>
      <c r="E104" s="53">
        <f t="shared" si="33"/>
        <v>836119</v>
      </c>
      <c r="F104" s="53"/>
      <c r="G104" s="53">
        <v>6086137</v>
      </c>
      <c r="H104" s="53"/>
      <c r="I104" s="53">
        <v>6922256</v>
      </c>
      <c r="J104" s="53"/>
      <c r="K104" s="53">
        <f t="shared" si="28"/>
        <v>522439</v>
      </c>
      <c r="L104" s="53"/>
      <c r="M104" s="53">
        <v>1535699</v>
      </c>
      <c r="N104" s="53"/>
      <c r="O104" s="53">
        <v>2058138</v>
      </c>
      <c r="P104" s="53"/>
      <c r="Q104" s="53">
        <v>4093164</v>
      </c>
      <c r="R104" s="53"/>
      <c r="S104" s="53">
        <v>0</v>
      </c>
      <c r="T104" s="53"/>
      <c r="U104" s="53">
        <v>770954</v>
      </c>
      <c r="V104" s="53"/>
      <c r="W104" s="53">
        <f t="shared" si="29"/>
        <v>4864118</v>
      </c>
      <c r="X104" s="53"/>
      <c r="Y104" s="35" t="s">
        <v>129</v>
      </c>
      <c r="AA104" s="35" t="s">
        <v>80</v>
      </c>
      <c r="AB104" s="35"/>
      <c r="AC104" s="53">
        <v>1178011</v>
      </c>
      <c r="AD104" s="53"/>
      <c r="AE104" s="53">
        <f>951319-256670</f>
        <v>694649</v>
      </c>
      <c r="AF104" s="53"/>
      <c r="AG104" s="53">
        <v>256670</v>
      </c>
      <c r="AH104" s="53"/>
      <c r="AI104" s="45">
        <f t="shared" si="30"/>
        <v>226692</v>
      </c>
      <c r="AJ104" s="45"/>
      <c r="AK104" s="53">
        <v>-121773</v>
      </c>
      <c r="AL104" s="45"/>
      <c r="AM104" s="53">
        <v>0</v>
      </c>
      <c r="AN104" s="53"/>
      <c r="AO104" s="53">
        <v>0</v>
      </c>
      <c r="AP104" s="53"/>
      <c r="AQ104" s="53">
        <v>40791</v>
      </c>
      <c r="AR104" s="53"/>
      <c r="AS104" s="45">
        <f t="shared" si="34"/>
        <v>145710</v>
      </c>
      <c r="AT104" s="45"/>
      <c r="AU104" s="53">
        <v>0</v>
      </c>
      <c r="AV104" s="53"/>
      <c r="AW104" s="53">
        <v>0</v>
      </c>
      <c r="AX104" s="53"/>
      <c r="AY104" s="53">
        <f t="shared" si="31"/>
        <v>313680</v>
      </c>
      <c r="AZ104" s="53"/>
      <c r="BA104" s="35" t="s">
        <v>129</v>
      </c>
      <c r="BC104" s="35" t="s">
        <v>80</v>
      </c>
      <c r="BD104" s="53"/>
      <c r="BE104" s="53">
        <v>0</v>
      </c>
      <c r="BF104" s="53"/>
      <c r="BG104" s="53">
        <f>1316115+420000</f>
        <v>1736115</v>
      </c>
      <c r="BH104" s="53"/>
      <c r="BI104" s="53">
        <f>105714+11746</f>
        <v>117460</v>
      </c>
      <c r="BJ104" s="53"/>
      <c r="BK104" s="53">
        <f>49101+64769+22910+23624</f>
        <v>160404</v>
      </c>
      <c r="BL104" s="53"/>
      <c r="BM104" s="53">
        <f t="shared" si="32"/>
        <v>2013979</v>
      </c>
      <c r="BN104" s="54" t="s">
        <v>347</v>
      </c>
      <c r="BR104" s="51"/>
      <c r="BS104" s="53"/>
      <c r="BT104" s="53"/>
      <c r="BU104" s="53"/>
      <c r="BV104" s="53"/>
      <c r="BW104" s="53"/>
      <c r="BX104" s="45"/>
      <c r="BY104" s="45"/>
      <c r="BZ104" s="53"/>
      <c r="CA104" s="53"/>
      <c r="CB104" s="53"/>
      <c r="CC104" s="53"/>
      <c r="CD104" s="53"/>
      <c r="CE104" s="53"/>
      <c r="CF104" s="35"/>
      <c r="CH104" s="35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4"/>
    </row>
    <row r="105" spans="1:104" s="55" customFormat="1" ht="12.75" customHeight="1">
      <c r="A105" s="35" t="s">
        <v>130</v>
      </c>
      <c r="B105" s="51"/>
      <c r="C105" s="35" t="s">
        <v>66</v>
      </c>
      <c r="D105" s="44"/>
      <c r="E105" s="53">
        <f t="shared" si="33"/>
        <v>8754244</v>
      </c>
      <c r="F105" s="53"/>
      <c r="G105" s="53">
        <v>28709786</v>
      </c>
      <c r="H105" s="53"/>
      <c r="I105" s="53">
        <v>37464030</v>
      </c>
      <c r="J105" s="53"/>
      <c r="K105" s="53">
        <f t="shared" si="28"/>
        <v>792840</v>
      </c>
      <c r="L105" s="53"/>
      <c r="M105" s="53">
        <v>2266711</v>
      </c>
      <c r="N105" s="53"/>
      <c r="O105" s="53">
        <v>3059551</v>
      </c>
      <c r="P105" s="53"/>
      <c r="Q105" s="53">
        <v>11875133</v>
      </c>
      <c r="R105" s="53"/>
      <c r="S105" s="53">
        <v>0</v>
      </c>
      <c r="T105" s="53"/>
      <c r="U105" s="53">
        <v>22529346</v>
      </c>
      <c r="V105" s="53"/>
      <c r="W105" s="53">
        <f t="shared" si="29"/>
        <v>34404479</v>
      </c>
      <c r="X105" s="53"/>
      <c r="Y105" s="35" t="s">
        <v>130</v>
      </c>
      <c r="AA105" s="35" t="s">
        <v>66</v>
      </c>
      <c r="AB105" s="35"/>
      <c r="AC105" s="53">
        <v>3807243</v>
      </c>
      <c r="AD105" s="53"/>
      <c r="AE105" s="53">
        <f>2788698-412378</f>
        <v>2376320</v>
      </c>
      <c r="AF105" s="53"/>
      <c r="AG105" s="53">
        <v>412378</v>
      </c>
      <c r="AH105" s="53"/>
      <c r="AI105" s="45">
        <f t="shared" si="30"/>
        <v>1018545</v>
      </c>
      <c r="AJ105" s="45"/>
      <c r="AK105" s="53">
        <v>305577</v>
      </c>
      <c r="AL105" s="45"/>
      <c r="AM105" s="53">
        <v>0</v>
      </c>
      <c r="AN105" s="53"/>
      <c r="AO105" s="53">
        <v>150563</v>
      </c>
      <c r="AP105" s="53"/>
      <c r="AQ105" s="53">
        <v>959998</v>
      </c>
      <c r="AR105" s="53"/>
      <c r="AS105" s="45">
        <f t="shared" si="34"/>
        <v>2133557</v>
      </c>
      <c r="AT105" s="45"/>
      <c r="AU105" s="53">
        <v>0</v>
      </c>
      <c r="AV105" s="53"/>
      <c r="AW105" s="53">
        <v>0</v>
      </c>
      <c r="AX105" s="53"/>
      <c r="AY105" s="53">
        <f t="shared" si="31"/>
        <v>7961404</v>
      </c>
      <c r="AZ105" s="53"/>
      <c r="BA105" s="35" t="s">
        <v>131</v>
      </c>
      <c r="BB105" s="65"/>
      <c r="BC105" s="35" t="s">
        <v>13</v>
      </c>
      <c r="BD105" s="53"/>
      <c r="BE105" s="53">
        <v>0</v>
      </c>
      <c r="BF105" s="53"/>
      <c r="BG105" s="53">
        <v>0</v>
      </c>
      <c r="BH105" s="53"/>
      <c r="BI105" s="53">
        <f>403743+2266711</f>
        <v>2670454</v>
      </c>
      <c r="BJ105" s="53"/>
      <c r="BK105" s="53">
        <v>0</v>
      </c>
      <c r="BL105" s="53"/>
      <c r="BM105" s="53">
        <f t="shared" si="32"/>
        <v>2670454</v>
      </c>
      <c r="BN105" s="54" t="s">
        <v>347</v>
      </c>
      <c r="BO105" s="55" t="s">
        <v>404</v>
      </c>
      <c r="BR105" s="51"/>
      <c r="BS105" s="53"/>
      <c r="BT105" s="53"/>
      <c r="BU105" s="53"/>
      <c r="BV105" s="53"/>
      <c r="BW105" s="53"/>
      <c r="BX105" s="45"/>
      <c r="BY105" s="45"/>
      <c r="BZ105" s="53"/>
      <c r="CA105" s="53"/>
      <c r="CB105" s="53"/>
      <c r="CC105" s="53"/>
      <c r="CD105" s="53"/>
      <c r="CE105" s="53"/>
      <c r="CF105" s="35"/>
      <c r="CH105" s="35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4"/>
    </row>
    <row r="106" spans="1:104" s="55" customFormat="1" ht="12.75" customHeight="1">
      <c r="A106" s="35" t="s">
        <v>131</v>
      </c>
      <c r="B106" s="65"/>
      <c r="C106" s="35" t="s">
        <v>13</v>
      </c>
      <c r="D106" s="44"/>
      <c r="E106" s="53">
        <f t="shared" si="33"/>
        <v>2102073</v>
      </c>
      <c r="F106" s="53"/>
      <c r="G106" s="53">
        <v>9511302</v>
      </c>
      <c r="H106" s="53"/>
      <c r="I106" s="53">
        <v>11613375</v>
      </c>
      <c r="J106" s="53"/>
      <c r="K106" s="53">
        <f t="shared" si="28"/>
        <v>1254823</v>
      </c>
      <c r="L106" s="53"/>
      <c r="M106" s="53">
        <v>6170700</v>
      </c>
      <c r="N106" s="53"/>
      <c r="O106" s="53">
        <v>7425523</v>
      </c>
      <c r="P106" s="53"/>
      <c r="Q106" s="53">
        <v>2937507</v>
      </c>
      <c r="R106" s="53"/>
      <c r="S106" s="53">
        <v>0</v>
      </c>
      <c r="T106" s="53"/>
      <c r="U106" s="53">
        <v>1250345</v>
      </c>
      <c r="V106" s="53"/>
      <c r="W106" s="53">
        <f t="shared" si="29"/>
        <v>4187852</v>
      </c>
      <c r="X106" s="53"/>
      <c r="Y106" s="35" t="s">
        <v>131</v>
      </c>
      <c r="Z106" s="65"/>
      <c r="AA106" s="35" t="s">
        <v>13</v>
      </c>
      <c r="AB106" s="35"/>
      <c r="AC106" s="53">
        <v>1768992</v>
      </c>
      <c r="AD106" s="53"/>
      <c r="AE106" s="53">
        <f>3090790-304244</f>
        <v>2786546</v>
      </c>
      <c r="AF106" s="53"/>
      <c r="AG106" s="53">
        <v>304244</v>
      </c>
      <c r="AH106" s="53"/>
      <c r="AI106" s="45">
        <f t="shared" si="30"/>
        <v>-1321798</v>
      </c>
      <c r="AJ106" s="45"/>
      <c r="AK106" s="53">
        <v>-274014</v>
      </c>
      <c r="AL106" s="45"/>
      <c r="AM106" s="53">
        <v>1800000</v>
      </c>
      <c r="AN106" s="53"/>
      <c r="AO106" s="53">
        <v>0</v>
      </c>
      <c r="AP106" s="53"/>
      <c r="AQ106" s="53">
        <v>0</v>
      </c>
      <c r="AR106" s="53"/>
      <c r="AS106" s="45">
        <f t="shared" si="34"/>
        <v>204188</v>
      </c>
      <c r="AT106" s="45"/>
      <c r="AU106" s="53">
        <v>0</v>
      </c>
      <c r="AV106" s="53"/>
      <c r="AW106" s="53">
        <v>0</v>
      </c>
      <c r="AX106" s="53"/>
      <c r="AY106" s="53">
        <f t="shared" si="31"/>
        <v>847250</v>
      </c>
      <c r="AZ106" s="53"/>
      <c r="BA106" s="35" t="s">
        <v>130</v>
      </c>
      <c r="BC106" s="35" t="s">
        <v>66</v>
      </c>
      <c r="BD106" s="53"/>
      <c r="BE106" s="53">
        <f>1890000+45000</f>
        <v>1935000</v>
      </c>
      <c r="BF106" s="53"/>
      <c r="BG106" s="53">
        <v>0</v>
      </c>
      <c r="BH106" s="53"/>
      <c r="BI106" s="53">
        <f>4110815+427414</f>
        <v>4538229</v>
      </c>
      <c r="BJ106" s="53"/>
      <c r="BK106" s="53">
        <f>18595+51290+4820+49276</f>
        <v>123981</v>
      </c>
      <c r="BL106" s="53"/>
      <c r="BM106" s="53">
        <f t="shared" ref="BM106" si="35">SUM(BE106:BK106)</f>
        <v>6597210</v>
      </c>
      <c r="BN106" s="54" t="s">
        <v>347</v>
      </c>
      <c r="BR106" s="65"/>
      <c r="BS106" s="53"/>
      <c r="BT106" s="53"/>
      <c r="BU106" s="53"/>
      <c r="BV106" s="53"/>
      <c r="BW106" s="53"/>
      <c r="BX106" s="45"/>
      <c r="BY106" s="45"/>
      <c r="BZ106" s="53"/>
      <c r="CA106" s="53"/>
      <c r="CB106" s="53"/>
      <c r="CC106" s="53"/>
      <c r="CD106" s="53"/>
      <c r="CE106" s="53"/>
      <c r="CF106" s="35"/>
      <c r="CH106" s="35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4"/>
    </row>
    <row r="107" spans="1:104" s="140" customFormat="1" ht="12.75" hidden="1" customHeight="1">
      <c r="A107" s="126" t="s">
        <v>38</v>
      </c>
      <c r="B107" s="124"/>
      <c r="C107" s="126" t="s">
        <v>132</v>
      </c>
      <c r="D107" s="121"/>
      <c r="E107" s="53">
        <f t="shared" si="33"/>
        <v>0</v>
      </c>
      <c r="F107" s="53"/>
      <c r="G107" s="53">
        <v>0</v>
      </c>
      <c r="H107" s="53"/>
      <c r="I107" s="53">
        <v>0</v>
      </c>
      <c r="J107" s="53"/>
      <c r="K107" s="53">
        <f t="shared" si="28"/>
        <v>0</v>
      </c>
      <c r="L107" s="53"/>
      <c r="M107" s="53">
        <v>0</v>
      </c>
      <c r="N107" s="53"/>
      <c r="O107" s="53">
        <v>0</v>
      </c>
      <c r="P107" s="53"/>
      <c r="Q107" s="53">
        <v>0</v>
      </c>
      <c r="R107" s="53"/>
      <c r="S107" s="53">
        <v>0</v>
      </c>
      <c r="T107" s="53"/>
      <c r="U107" s="53">
        <v>0</v>
      </c>
      <c r="V107" s="53"/>
      <c r="W107" s="53">
        <f t="shared" si="29"/>
        <v>0</v>
      </c>
      <c r="X107" s="137"/>
      <c r="Y107" s="126" t="s">
        <v>38</v>
      </c>
      <c r="AA107" s="126" t="s">
        <v>132</v>
      </c>
      <c r="AB107" s="126"/>
      <c r="AC107" s="53">
        <v>0</v>
      </c>
      <c r="AD107" s="53"/>
      <c r="AE107" s="53">
        <v>0</v>
      </c>
      <c r="AF107" s="53"/>
      <c r="AG107" s="53">
        <v>0</v>
      </c>
      <c r="AH107" s="53"/>
      <c r="AI107" s="45">
        <f t="shared" si="30"/>
        <v>0</v>
      </c>
      <c r="AJ107" s="45"/>
      <c r="AK107" s="53">
        <v>0</v>
      </c>
      <c r="AL107" s="45"/>
      <c r="AM107" s="53">
        <v>0</v>
      </c>
      <c r="AN107" s="53"/>
      <c r="AO107" s="53">
        <v>0</v>
      </c>
      <c r="AP107" s="53"/>
      <c r="AQ107" s="53">
        <v>0</v>
      </c>
      <c r="AR107" s="53"/>
      <c r="AS107" s="45">
        <f t="shared" si="34"/>
        <v>0</v>
      </c>
      <c r="AT107" s="45"/>
      <c r="AU107" s="53">
        <v>0</v>
      </c>
      <c r="AV107" s="53"/>
      <c r="AW107" s="53">
        <v>0</v>
      </c>
      <c r="AX107" s="53"/>
      <c r="AY107" s="53">
        <f t="shared" si="31"/>
        <v>0</v>
      </c>
      <c r="AZ107" s="53"/>
      <c r="BA107" s="126" t="s">
        <v>38</v>
      </c>
      <c r="BC107" s="126" t="s">
        <v>132</v>
      </c>
      <c r="BD107" s="137"/>
      <c r="BE107" s="53">
        <v>0</v>
      </c>
      <c r="BF107" s="53"/>
      <c r="BG107" s="53">
        <v>0</v>
      </c>
      <c r="BH107" s="53"/>
      <c r="BI107" s="53">
        <v>0</v>
      </c>
      <c r="BJ107" s="53"/>
      <c r="BK107" s="53">
        <v>0</v>
      </c>
      <c r="BL107" s="137"/>
      <c r="BM107" s="137">
        <f t="shared" si="32"/>
        <v>0</v>
      </c>
      <c r="BN107" s="139"/>
      <c r="BR107" s="124"/>
      <c r="BS107" s="137"/>
      <c r="BT107" s="137"/>
      <c r="BU107" s="137"/>
      <c r="BV107" s="137"/>
      <c r="BW107" s="137"/>
      <c r="BX107" s="127"/>
      <c r="BY107" s="127"/>
      <c r="BZ107" s="137"/>
      <c r="CA107" s="137"/>
      <c r="CB107" s="137"/>
      <c r="CC107" s="137"/>
      <c r="CD107" s="137"/>
      <c r="CE107" s="137"/>
      <c r="CF107" s="126"/>
      <c r="CH107" s="126"/>
      <c r="CI107" s="137"/>
      <c r="CJ107" s="137"/>
      <c r="CK107" s="137"/>
      <c r="CL107" s="137"/>
      <c r="CM107" s="137"/>
      <c r="CN107" s="137"/>
      <c r="CO107" s="137"/>
      <c r="CP107" s="137"/>
      <c r="CQ107" s="137"/>
      <c r="CR107" s="137"/>
      <c r="CS107" s="139"/>
    </row>
    <row r="108" spans="1:104" s="140" customFormat="1" ht="12.75" hidden="1" customHeight="1">
      <c r="A108" s="126" t="s">
        <v>133</v>
      </c>
      <c r="B108" s="124"/>
      <c r="C108" s="126" t="s">
        <v>27</v>
      </c>
      <c r="D108" s="121"/>
      <c r="E108" s="53">
        <f t="shared" si="33"/>
        <v>0</v>
      </c>
      <c r="F108" s="53"/>
      <c r="G108" s="53">
        <v>0</v>
      </c>
      <c r="H108" s="53"/>
      <c r="I108" s="53">
        <v>0</v>
      </c>
      <c r="J108" s="53"/>
      <c r="K108" s="53">
        <f t="shared" si="28"/>
        <v>0</v>
      </c>
      <c r="L108" s="53"/>
      <c r="M108" s="53">
        <v>0</v>
      </c>
      <c r="N108" s="53"/>
      <c r="O108" s="53">
        <v>0</v>
      </c>
      <c r="P108" s="53"/>
      <c r="Q108" s="53">
        <v>0</v>
      </c>
      <c r="R108" s="53"/>
      <c r="S108" s="53">
        <v>0</v>
      </c>
      <c r="T108" s="53"/>
      <c r="U108" s="53">
        <v>0</v>
      </c>
      <c r="V108" s="53"/>
      <c r="W108" s="53">
        <f t="shared" si="29"/>
        <v>0</v>
      </c>
      <c r="X108" s="137"/>
      <c r="Y108" s="126" t="s">
        <v>133</v>
      </c>
      <c r="AA108" s="126" t="s">
        <v>27</v>
      </c>
      <c r="AB108" s="126"/>
      <c r="AC108" s="53">
        <v>0</v>
      </c>
      <c r="AD108" s="53"/>
      <c r="AE108" s="53">
        <v>0</v>
      </c>
      <c r="AF108" s="53"/>
      <c r="AG108" s="53">
        <v>0</v>
      </c>
      <c r="AH108" s="53"/>
      <c r="AI108" s="45">
        <f t="shared" si="30"/>
        <v>0</v>
      </c>
      <c r="AJ108" s="45"/>
      <c r="AK108" s="53">
        <v>0</v>
      </c>
      <c r="AL108" s="45"/>
      <c r="AM108" s="53">
        <v>0</v>
      </c>
      <c r="AN108" s="53"/>
      <c r="AO108" s="53">
        <v>0</v>
      </c>
      <c r="AP108" s="53"/>
      <c r="AQ108" s="53">
        <v>0</v>
      </c>
      <c r="AR108" s="53"/>
      <c r="AS108" s="45">
        <f t="shared" si="34"/>
        <v>0</v>
      </c>
      <c r="AT108" s="45"/>
      <c r="AU108" s="53">
        <v>0</v>
      </c>
      <c r="AV108" s="53"/>
      <c r="AW108" s="53">
        <v>0</v>
      </c>
      <c r="AX108" s="53"/>
      <c r="AY108" s="53">
        <f t="shared" si="31"/>
        <v>0</v>
      </c>
      <c r="AZ108" s="53"/>
      <c r="BA108" s="126" t="s">
        <v>133</v>
      </c>
      <c r="BC108" s="126" t="s">
        <v>27</v>
      </c>
      <c r="BD108" s="137"/>
      <c r="BE108" s="53">
        <v>0</v>
      </c>
      <c r="BF108" s="53"/>
      <c r="BG108" s="53">
        <v>0</v>
      </c>
      <c r="BH108" s="53"/>
      <c r="BI108" s="53">
        <v>0</v>
      </c>
      <c r="BJ108" s="53"/>
      <c r="BK108" s="53">
        <v>0</v>
      </c>
      <c r="BL108" s="137"/>
      <c r="BM108" s="137">
        <f t="shared" si="32"/>
        <v>0</v>
      </c>
      <c r="BN108" s="139" t="s">
        <v>347</v>
      </c>
      <c r="BR108" s="124"/>
      <c r="BS108" s="137"/>
      <c r="BT108" s="137"/>
      <c r="BU108" s="137"/>
      <c r="BV108" s="137"/>
      <c r="BW108" s="137"/>
      <c r="BX108" s="127"/>
      <c r="BY108" s="127"/>
      <c r="BZ108" s="137"/>
      <c r="CA108" s="137"/>
      <c r="CB108" s="137"/>
      <c r="CC108" s="137"/>
      <c r="CD108" s="137"/>
      <c r="CE108" s="137"/>
      <c r="CF108" s="126"/>
      <c r="CH108" s="126"/>
      <c r="CI108" s="137"/>
      <c r="CJ108" s="137"/>
      <c r="CK108" s="137"/>
      <c r="CL108" s="137"/>
      <c r="CM108" s="137"/>
      <c r="CN108" s="137"/>
      <c r="CO108" s="137"/>
      <c r="CP108" s="137"/>
      <c r="CQ108" s="137"/>
      <c r="CR108" s="137"/>
      <c r="CS108" s="139"/>
    </row>
    <row r="109" spans="1:104" s="55" customFormat="1" ht="12.75" customHeight="1">
      <c r="A109" s="35" t="s">
        <v>136</v>
      </c>
      <c r="B109" s="51"/>
      <c r="C109" s="35" t="s">
        <v>136</v>
      </c>
      <c r="D109" s="44"/>
      <c r="E109" s="53">
        <f t="shared" si="33"/>
        <v>2766603</v>
      </c>
      <c r="F109" s="53"/>
      <c r="G109" s="53">
        <v>15023625</v>
      </c>
      <c r="H109" s="53"/>
      <c r="I109" s="53">
        <v>17790228</v>
      </c>
      <c r="J109" s="53"/>
      <c r="K109" s="53">
        <f t="shared" si="28"/>
        <v>847927</v>
      </c>
      <c r="L109" s="53"/>
      <c r="M109" s="53">
        <v>7778946</v>
      </c>
      <c r="N109" s="53"/>
      <c r="O109" s="53">
        <v>8626873</v>
      </c>
      <c r="P109" s="53"/>
      <c r="Q109" s="53">
        <v>7208344</v>
      </c>
      <c r="R109" s="53"/>
      <c r="S109" s="53">
        <v>0</v>
      </c>
      <c r="T109" s="53"/>
      <c r="U109" s="53">
        <v>1955011</v>
      </c>
      <c r="V109" s="53"/>
      <c r="W109" s="53">
        <f t="shared" si="29"/>
        <v>9163355</v>
      </c>
      <c r="X109" s="53"/>
      <c r="Y109" s="35" t="s">
        <v>136</v>
      </c>
      <c r="AA109" s="35" t="s">
        <v>136</v>
      </c>
      <c r="AB109" s="35"/>
      <c r="AC109" s="53">
        <v>2585854</v>
      </c>
      <c r="AD109" s="53"/>
      <c r="AE109" s="53">
        <f>2544956-203591</f>
        <v>2341365</v>
      </c>
      <c r="AF109" s="53"/>
      <c r="AG109" s="53">
        <v>203591</v>
      </c>
      <c r="AH109" s="53"/>
      <c r="AI109" s="45">
        <f t="shared" si="30"/>
        <v>40898</v>
      </c>
      <c r="AJ109" s="45"/>
      <c r="AK109" s="53">
        <v>-76400</v>
      </c>
      <c r="AL109" s="45"/>
      <c r="AM109" s="53">
        <v>0</v>
      </c>
      <c r="AN109" s="53"/>
      <c r="AO109" s="53">
        <v>0</v>
      </c>
      <c r="AP109" s="53"/>
      <c r="AQ109" s="53">
        <v>0</v>
      </c>
      <c r="AR109" s="53"/>
      <c r="AS109" s="45">
        <f t="shared" si="34"/>
        <v>-35502</v>
      </c>
      <c r="AT109" s="45"/>
      <c r="AU109" s="53">
        <v>0</v>
      </c>
      <c r="AV109" s="53"/>
      <c r="AW109" s="53">
        <v>0</v>
      </c>
      <c r="AX109" s="53"/>
      <c r="AY109" s="53">
        <f t="shared" si="31"/>
        <v>1918676</v>
      </c>
      <c r="AZ109" s="53"/>
      <c r="BA109" s="35" t="s">
        <v>136</v>
      </c>
      <c r="BC109" s="35" t="s">
        <v>136</v>
      </c>
      <c r="BD109" s="53"/>
      <c r="BE109" s="53">
        <v>0</v>
      </c>
      <c r="BF109" s="53"/>
      <c r="BG109" s="53">
        <v>0</v>
      </c>
      <c r="BH109" s="53"/>
      <c r="BI109" s="53">
        <f>7271937+185890</f>
        <v>7457827</v>
      </c>
      <c r="BJ109" s="53"/>
      <c r="BK109" s="53">
        <f>37384+57072+56427+320070+130512</f>
        <v>601465</v>
      </c>
      <c r="BL109" s="53"/>
      <c r="BM109" s="53">
        <f t="shared" si="32"/>
        <v>8059292</v>
      </c>
      <c r="BN109" s="54" t="s">
        <v>347</v>
      </c>
      <c r="BR109" s="51"/>
      <c r="BS109" s="53"/>
      <c r="BT109" s="53"/>
      <c r="BU109" s="53"/>
      <c r="BV109" s="53"/>
      <c r="BW109" s="53"/>
      <c r="BX109" s="45"/>
      <c r="BY109" s="45"/>
      <c r="BZ109" s="53"/>
      <c r="CA109" s="53"/>
      <c r="CB109" s="53"/>
      <c r="CC109" s="53"/>
      <c r="CD109" s="53"/>
      <c r="CE109" s="53"/>
      <c r="CF109" s="35"/>
      <c r="CH109" s="35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4"/>
    </row>
    <row r="110" spans="1:104" s="55" customFormat="1" ht="11.25" customHeight="1">
      <c r="A110" s="35" t="s">
        <v>137</v>
      </c>
      <c r="C110" s="35" t="s">
        <v>22</v>
      </c>
      <c r="D110" s="44"/>
      <c r="E110" s="53">
        <f t="shared" si="33"/>
        <v>3141080</v>
      </c>
      <c r="F110" s="53"/>
      <c r="G110" s="53">
        <v>27426095</v>
      </c>
      <c r="H110" s="53"/>
      <c r="I110" s="53">
        <v>30567175</v>
      </c>
      <c r="J110" s="53"/>
      <c r="K110" s="53">
        <f t="shared" si="28"/>
        <v>1739630</v>
      </c>
      <c r="L110" s="53"/>
      <c r="M110" s="53">
        <v>3471955</v>
      </c>
      <c r="N110" s="53"/>
      <c r="O110" s="53">
        <v>5211585</v>
      </c>
      <c r="P110" s="53"/>
      <c r="Q110" s="53">
        <v>22926104</v>
      </c>
      <c r="R110" s="53"/>
      <c r="S110" s="53">
        <v>0</v>
      </c>
      <c r="T110" s="53"/>
      <c r="U110" s="53">
        <v>2429486</v>
      </c>
      <c r="V110" s="53"/>
      <c r="W110" s="53">
        <f t="shared" si="29"/>
        <v>25355590</v>
      </c>
      <c r="X110" s="53"/>
      <c r="Y110" s="35" t="s">
        <v>137</v>
      </c>
      <c r="AA110" s="35" t="s">
        <v>22</v>
      </c>
      <c r="AB110" s="35"/>
      <c r="AC110" s="53">
        <v>3474801</v>
      </c>
      <c r="AD110" s="53"/>
      <c r="AE110" s="53">
        <f>3874110-932600</f>
        <v>2941510</v>
      </c>
      <c r="AF110" s="53"/>
      <c r="AG110" s="53">
        <v>932600</v>
      </c>
      <c r="AH110" s="53"/>
      <c r="AI110" s="45">
        <f t="shared" si="30"/>
        <v>-399309</v>
      </c>
      <c r="AJ110" s="45"/>
      <c r="AK110" s="53">
        <v>-113053</v>
      </c>
      <c r="AL110" s="45"/>
      <c r="AM110" s="53">
        <v>0</v>
      </c>
      <c r="AN110" s="53"/>
      <c r="AO110" s="53">
        <v>0</v>
      </c>
      <c r="AP110" s="53"/>
      <c r="AQ110" s="53">
        <f>15006+96518</f>
        <v>111524</v>
      </c>
      <c r="AR110" s="53"/>
      <c r="AS110" s="45">
        <f t="shared" si="34"/>
        <v>-400838</v>
      </c>
      <c r="AT110" s="45"/>
      <c r="AU110" s="53">
        <v>0</v>
      </c>
      <c r="AV110" s="53"/>
      <c r="AW110" s="53">
        <v>0</v>
      </c>
      <c r="AX110" s="53"/>
      <c r="AY110" s="53">
        <f t="shared" si="31"/>
        <v>1401450</v>
      </c>
      <c r="AZ110" s="53"/>
      <c r="BA110" s="35" t="s">
        <v>137</v>
      </c>
      <c r="BC110" s="35" t="s">
        <v>22</v>
      </c>
      <c r="BD110" s="53"/>
      <c r="BE110" s="53">
        <v>0</v>
      </c>
      <c r="BF110" s="53"/>
      <c r="BG110" s="53">
        <v>0</v>
      </c>
      <c r="BH110" s="53"/>
      <c r="BI110" s="53">
        <f>3466553+178438</f>
        <v>3644991</v>
      </c>
      <c r="BJ110" s="53"/>
      <c r="BK110" s="53">
        <f>107005+5402</f>
        <v>112407</v>
      </c>
      <c r="BL110" s="53"/>
      <c r="BM110" s="53">
        <f t="shared" si="32"/>
        <v>3757398</v>
      </c>
      <c r="BN110" s="54" t="s">
        <v>347</v>
      </c>
      <c r="BR110" s="51"/>
      <c r="BS110" s="53"/>
      <c r="BT110" s="53"/>
      <c r="BU110" s="53"/>
      <c r="BV110" s="53"/>
      <c r="BW110" s="53"/>
      <c r="BX110" s="45"/>
      <c r="BY110" s="45"/>
      <c r="BZ110" s="53"/>
      <c r="CA110" s="53"/>
      <c r="CB110" s="53"/>
      <c r="CC110" s="53"/>
      <c r="CD110" s="53"/>
      <c r="CE110" s="53"/>
      <c r="CF110" s="35"/>
      <c r="CH110" s="35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4"/>
    </row>
    <row r="111" spans="1:104" s="140" customFormat="1" ht="12.75" hidden="1" customHeight="1">
      <c r="A111" s="126" t="s">
        <v>138</v>
      </c>
      <c r="B111" s="124"/>
      <c r="C111" s="126" t="s">
        <v>139</v>
      </c>
      <c r="D111" s="121"/>
      <c r="E111" s="53">
        <f t="shared" si="33"/>
        <v>0</v>
      </c>
      <c r="F111" s="53"/>
      <c r="G111" s="53">
        <v>0</v>
      </c>
      <c r="H111" s="53"/>
      <c r="I111" s="53">
        <v>0</v>
      </c>
      <c r="J111" s="53"/>
      <c r="K111" s="53">
        <f t="shared" si="28"/>
        <v>0</v>
      </c>
      <c r="L111" s="53"/>
      <c r="M111" s="53">
        <v>0</v>
      </c>
      <c r="N111" s="53"/>
      <c r="O111" s="53">
        <v>0</v>
      </c>
      <c r="P111" s="53"/>
      <c r="Q111" s="53">
        <v>0</v>
      </c>
      <c r="R111" s="53"/>
      <c r="S111" s="53">
        <v>0</v>
      </c>
      <c r="T111" s="53"/>
      <c r="U111" s="53">
        <v>0</v>
      </c>
      <c r="V111" s="53"/>
      <c r="W111" s="53">
        <f t="shared" si="29"/>
        <v>0</v>
      </c>
      <c r="X111" s="137"/>
      <c r="Y111" s="126" t="s">
        <v>138</v>
      </c>
      <c r="AA111" s="126" t="s">
        <v>139</v>
      </c>
      <c r="AB111" s="126"/>
      <c r="AC111" s="53">
        <v>0</v>
      </c>
      <c r="AD111" s="53"/>
      <c r="AE111" s="53">
        <v>0</v>
      </c>
      <c r="AF111" s="53"/>
      <c r="AG111" s="53">
        <v>0</v>
      </c>
      <c r="AH111" s="53"/>
      <c r="AI111" s="45">
        <f t="shared" si="30"/>
        <v>0</v>
      </c>
      <c r="AJ111" s="45"/>
      <c r="AK111" s="53">
        <v>0</v>
      </c>
      <c r="AL111" s="45"/>
      <c r="AM111" s="53">
        <v>0</v>
      </c>
      <c r="AN111" s="53"/>
      <c r="AO111" s="53">
        <v>0</v>
      </c>
      <c r="AP111" s="53"/>
      <c r="AQ111" s="53">
        <v>0</v>
      </c>
      <c r="AR111" s="53"/>
      <c r="AS111" s="45">
        <f t="shared" si="34"/>
        <v>0</v>
      </c>
      <c r="AT111" s="45"/>
      <c r="AU111" s="53">
        <v>0</v>
      </c>
      <c r="AV111" s="53"/>
      <c r="AW111" s="53">
        <v>0</v>
      </c>
      <c r="AX111" s="53"/>
      <c r="AY111" s="53">
        <f t="shared" si="31"/>
        <v>0</v>
      </c>
      <c r="AZ111" s="53"/>
      <c r="BA111" s="126" t="s">
        <v>138</v>
      </c>
      <c r="BC111" s="126" t="s">
        <v>139</v>
      </c>
      <c r="BD111" s="137"/>
      <c r="BE111" s="53">
        <v>0</v>
      </c>
      <c r="BF111" s="53"/>
      <c r="BG111" s="53">
        <v>0</v>
      </c>
      <c r="BH111" s="53"/>
      <c r="BI111" s="53">
        <v>0</v>
      </c>
      <c r="BJ111" s="53"/>
      <c r="BK111" s="53">
        <v>0</v>
      </c>
      <c r="BL111" s="137"/>
      <c r="BM111" s="137">
        <f t="shared" si="32"/>
        <v>0</v>
      </c>
      <c r="BN111" s="139" t="s">
        <v>347</v>
      </c>
      <c r="BO111" s="126"/>
      <c r="BP111" s="126"/>
      <c r="BQ111" s="126"/>
      <c r="BR111" s="124"/>
      <c r="BS111" s="137"/>
      <c r="BT111" s="137"/>
      <c r="BU111" s="137"/>
      <c r="BV111" s="137"/>
      <c r="BW111" s="127"/>
      <c r="BX111" s="127"/>
      <c r="BY111" s="137"/>
      <c r="BZ111" s="137"/>
      <c r="CA111" s="137"/>
      <c r="CB111" s="137"/>
      <c r="CC111" s="137"/>
      <c r="CD111" s="137"/>
      <c r="CE111" s="137"/>
      <c r="CF111" s="126"/>
      <c r="CH111" s="126"/>
      <c r="CI111" s="137"/>
      <c r="CJ111" s="137"/>
      <c r="CK111" s="137"/>
      <c r="CL111" s="137"/>
      <c r="CM111" s="137"/>
      <c r="CN111" s="137"/>
      <c r="CO111" s="137"/>
      <c r="CP111" s="137"/>
      <c r="CQ111" s="137"/>
      <c r="CR111" s="137"/>
      <c r="CS111" s="139"/>
      <c r="CT111" s="126"/>
      <c r="CU111" s="126"/>
      <c r="CV111" s="126"/>
    </row>
    <row r="112" spans="1:104" s="140" customFormat="1" ht="12.75" hidden="1" customHeight="1">
      <c r="A112" s="126" t="s">
        <v>140</v>
      </c>
      <c r="B112" s="124"/>
      <c r="C112" s="126" t="s">
        <v>66</v>
      </c>
      <c r="D112" s="121"/>
      <c r="E112" s="53">
        <f t="shared" si="33"/>
        <v>0</v>
      </c>
      <c r="F112" s="53"/>
      <c r="G112" s="53">
        <v>0</v>
      </c>
      <c r="H112" s="53"/>
      <c r="I112" s="53">
        <v>0</v>
      </c>
      <c r="J112" s="53"/>
      <c r="K112" s="53">
        <f t="shared" si="28"/>
        <v>0</v>
      </c>
      <c r="L112" s="53"/>
      <c r="M112" s="53">
        <v>0</v>
      </c>
      <c r="N112" s="53"/>
      <c r="O112" s="53">
        <v>0</v>
      </c>
      <c r="P112" s="53"/>
      <c r="Q112" s="53">
        <v>0</v>
      </c>
      <c r="R112" s="53"/>
      <c r="S112" s="53">
        <v>0</v>
      </c>
      <c r="T112" s="53"/>
      <c r="U112" s="53">
        <v>0</v>
      </c>
      <c r="V112" s="53"/>
      <c r="W112" s="53">
        <f t="shared" si="29"/>
        <v>0</v>
      </c>
      <c r="X112" s="137"/>
      <c r="Y112" s="126" t="s">
        <v>140</v>
      </c>
      <c r="AA112" s="126" t="s">
        <v>66</v>
      </c>
      <c r="AB112" s="126"/>
      <c r="AC112" s="53">
        <v>0</v>
      </c>
      <c r="AD112" s="53"/>
      <c r="AE112" s="53">
        <v>0</v>
      </c>
      <c r="AF112" s="53"/>
      <c r="AG112" s="53">
        <v>0</v>
      </c>
      <c r="AH112" s="53"/>
      <c r="AI112" s="45">
        <f t="shared" si="30"/>
        <v>0</v>
      </c>
      <c r="AJ112" s="45"/>
      <c r="AK112" s="53">
        <v>0</v>
      </c>
      <c r="AL112" s="45"/>
      <c r="AM112" s="53">
        <v>0</v>
      </c>
      <c r="AN112" s="53"/>
      <c r="AO112" s="53">
        <v>0</v>
      </c>
      <c r="AP112" s="53"/>
      <c r="AQ112" s="53">
        <v>0</v>
      </c>
      <c r="AR112" s="53"/>
      <c r="AS112" s="45">
        <f t="shared" si="34"/>
        <v>0</v>
      </c>
      <c r="AT112" s="45"/>
      <c r="AU112" s="53">
        <v>0</v>
      </c>
      <c r="AV112" s="53"/>
      <c r="AW112" s="53">
        <v>0</v>
      </c>
      <c r="AX112" s="53"/>
      <c r="AY112" s="53">
        <f t="shared" si="31"/>
        <v>0</v>
      </c>
      <c r="AZ112" s="53"/>
      <c r="BA112" s="126" t="s">
        <v>140</v>
      </c>
      <c r="BC112" s="126" t="s">
        <v>66</v>
      </c>
      <c r="BD112" s="137"/>
      <c r="BE112" s="53">
        <v>0</v>
      </c>
      <c r="BF112" s="53"/>
      <c r="BG112" s="53">
        <v>0</v>
      </c>
      <c r="BH112" s="53"/>
      <c r="BI112" s="53">
        <v>0</v>
      </c>
      <c r="BJ112" s="53"/>
      <c r="BK112" s="53">
        <v>0</v>
      </c>
      <c r="BL112" s="137"/>
      <c r="BM112" s="137">
        <f t="shared" si="32"/>
        <v>0</v>
      </c>
      <c r="BN112" s="139" t="s">
        <v>347</v>
      </c>
      <c r="BO112" s="126"/>
      <c r="BP112" s="126"/>
      <c r="BQ112" s="126"/>
      <c r="BR112" s="124"/>
      <c r="BS112" s="137"/>
      <c r="BT112" s="137"/>
      <c r="BU112" s="137"/>
      <c r="BV112" s="137"/>
      <c r="BW112" s="127"/>
      <c r="BX112" s="127"/>
      <c r="BY112" s="137"/>
      <c r="BZ112" s="137"/>
      <c r="CA112" s="137"/>
      <c r="CB112" s="137"/>
      <c r="CC112" s="137"/>
      <c r="CD112" s="137"/>
      <c r="CE112" s="137"/>
      <c r="CF112" s="126"/>
      <c r="CH112" s="126"/>
      <c r="CI112" s="137"/>
      <c r="CJ112" s="137"/>
      <c r="CK112" s="137"/>
      <c r="CL112" s="137"/>
      <c r="CM112" s="137"/>
      <c r="CN112" s="137"/>
      <c r="CO112" s="137"/>
      <c r="CP112" s="137"/>
      <c r="CQ112" s="137"/>
      <c r="CR112" s="137"/>
      <c r="CS112" s="139"/>
      <c r="CT112" s="126"/>
      <c r="CU112" s="126"/>
      <c r="CV112" s="126"/>
      <c r="CW112" s="126"/>
      <c r="CX112" s="126"/>
      <c r="CY112" s="126"/>
      <c r="CZ112" s="126"/>
    </row>
    <row r="113" spans="1:104" s="55" customFormat="1" ht="12.75" customHeight="1">
      <c r="A113" s="35" t="s">
        <v>478</v>
      </c>
      <c r="B113" s="51"/>
      <c r="C113" s="35" t="s">
        <v>92</v>
      </c>
      <c r="D113" s="44"/>
      <c r="E113" s="53">
        <f t="shared" ref="E113" si="36">+I113-G113</f>
        <v>599059</v>
      </c>
      <c r="F113" s="53"/>
      <c r="G113" s="53">
        <v>1385665</v>
      </c>
      <c r="H113" s="53"/>
      <c r="I113" s="53">
        <v>1984724</v>
      </c>
      <c r="J113" s="53"/>
      <c r="K113" s="53">
        <f t="shared" ref="K113" si="37">O113-M113</f>
        <v>828129</v>
      </c>
      <c r="L113" s="53"/>
      <c r="M113" s="53">
        <v>588189</v>
      </c>
      <c r="N113" s="53"/>
      <c r="O113" s="53">
        <v>1416318</v>
      </c>
      <c r="P113" s="53"/>
      <c r="Q113" s="53">
        <v>228586</v>
      </c>
      <c r="R113" s="53"/>
      <c r="S113" s="53">
        <v>0</v>
      </c>
      <c r="T113" s="53"/>
      <c r="U113" s="53">
        <v>339820</v>
      </c>
      <c r="V113" s="53"/>
      <c r="W113" s="53">
        <f t="shared" ref="W113" si="38">SUM(Q113:U113)</f>
        <v>568406</v>
      </c>
      <c r="X113" s="53"/>
      <c r="Y113" s="35" t="s">
        <v>478</v>
      </c>
      <c r="Z113" s="51"/>
      <c r="AA113" s="35" t="s">
        <v>92</v>
      </c>
      <c r="AB113" s="35"/>
      <c r="AC113" s="53">
        <v>44855</v>
      </c>
      <c r="AD113" s="53"/>
      <c r="AE113" s="53">
        <f>82524-14644</f>
        <v>67880</v>
      </c>
      <c r="AF113" s="53"/>
      <c r="AG113" s="53">
        <v>14644</v>
      </c>
      <c r="AH113" s="53"/>
      <c r="AI113" s="45">
        <f t="shared" ref="AI113" si="39">+AC113-AE113-AG113</f>
        <v>-37669</v>
      </c>
      <c r="AJ113" s="45"/>
      <c r="AK113" s="53">
        <v>-40509</v>
      </c>
      <c r="AL113" s="45"/>
      <c r="AM113" s="53">
        <v>62412</v>
      </c>
      <c r="AN113" s="53"/>
      <c r="AO113" s="53">
        <v>0</v>
      </c>
      <c r="AP113" s="53"/>
      <c r="AQ113" s="53">
        <v>0</v>
      </c>
      <c r="AR113" s="53"/>
      <c r="AS113" s="45">
        <f t="shared" ref="AS113" si="40">+AI113+AK113+AM113-AO113+AQ113</f>
        <v>-15766</v>
      </c>
      <c r="AT113" s="45"/>
      <c r="AU113" s="53">
        <v>0</v>
      </c>
      <c r="AV113" s="53"/>
      <c r="AW113" s="53">
        <v>0</v>
      </c>
      <c r="AX113" s="53"/>
      <c r="AY113" s="53">
        <f t="shared" ref="AY113" si="41">+E113-K113</f>
        <v>-229070</v>
      </c>
      <c r="AZ113" s="53"/>
      <c r="BA113" s="35" t="s">
        <v>478</v>
      </c>
      <c r="BB113" s="51"/>
      <c r="BC113" s="35" t="s">
        <v>92</v>
      </c>
      <c r="BD113" s="53"/>
      <c r="BE113" s="53">
        <f>361057+12780</f>
        <v>373837</v>
      </c>
      <c r="BF113" s="53"/>
      <c r="BG113" s="53">
        <v>0</v>
      </c>
      <c r="BH113" s="53"/>
      <c r="BI113" s="53">
        <f>227132+14196</f>
        <v>241328</v>
      </c>
      <c r="BJ113" s="53"/>
      <c r="BK113" s="53">
        <v>0</v>
      </c>
      <c r="BL113" s="53"/>
      <c r="BM113" s="53">
        <f t="shared" ref="BM113" si="42">SUM(BE113:BK113)</f>
        <v>615165</v>
      </c>
      <c r="BN113" s="54" t="s">
        <v>347</v>
      </c>
      <c r="BO113" s="35"/>
      <c r="BP113" s="35"/>
      <c r="BR113" s="51"/>
      <c r="BS113" s="53"/>
      <c r="BT113" s="53"/>
      <c r="BU113" s="53"/>
      <c r="BV113" s="53"/>
      <c r="BW113" s="45"/>
      <c r="BX113" s="45"/>
      <c r="BY113" s="53"/>
      <c r="BZ113" s="53"/>
      <c r="CA113" s="53"/>
      <c r="CB113" s="53"/>
      <c r="CC113" s="53"/>
      <c r="CD113" s="53"/>
      <c r="CE113" s="53"/>
      <c r="CF113" s="35"/>
      <c r="CH113" s="35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4"/>
      <c r="CT113" s="35"/>
      <c r="CU113" s="35"/>
    </row>
    <row r="114" spans="1:104" s="55" customFormat="1" ht="12.75" customHeight="1">
      <c r="A114" s="35" t="s">
        <v>141</v>
      </c>
      <c r="C114" s="35" t="s">
        <v>27</v>
      </c>
      <c r="D114" s="44"/>
      <c r="E114" s="53">
        <f t="shared" si="33"/>
        <v>5323004</v>
      </c>
      <c r="F114" s="53"/>
      <c r="G114" s="53">
        <v>38374679</v>
      </c>
      <c r="H114" s="53"/>
      <c r="I114" s="53">
        <v>43697683</v>
      </c>
      <c r="J114" s="53"/>
      <c r="K114" s="53">
        <f t="shared" si="28"/>
        <v>3459449</v>
      </c>
      <c r="L114" s="53"/>
      <c r="M114" s="53">
        <v>21378116</v>
      </c>
      <c r="N114" s="53"/>
      <c r="O114" s="53">
        <v>24837565</v>
      </c>
      <c r="P114" s="53"/>
      <c r="Q114" s="53">
        <v>13599460</v>
      </c>
      <c r="R114" s="53"/>
      <c r="S114" s="53">
        <v>183265</v>
      </c>
      <c r="T114" s="53"/>
      <c r="U114" s="53">
        <v>5077393</v>
      </c>
      <c r="V114" s="53"/>
      <c r="W114" s="53">
        <f t="shared" si="29"/>
        <v>18860118</v>
      </c>
      <c r="X114" s="53"/>
      <c r="Y114" s="35" t="s">
        <v>141</v>
      </c>
      <c r="AA114" s="35" t="s">
        <v>27</v>
      </c>
      <c r="AB114" s="35"/>
      <c r="AC114" s="53">
        <v>5545675</v>
      </c>
      <c r="AD114" s="53"/>
      <c r="AE114" s="53">
        <f>4676798-412560</f>
        <v>4264238</v>
      </c>
      <c r="AF114" s="53"/>
      <c r="AG114" s="53">
        <v>412560</v>
      </c>
      <c r="AH114" s="53"/>
      <c r="AI114" s="45">
        <f t="shared" si="30"/>
        <v>868877</v>
      </c>
      <c r="AJ114" s="45"/>
      <c r="AK114" s="53">
        <v>914356</v>
      </c>
      <c r="AL114" s="45"/>
      <c r="AM114" s="53">
        <v>420857</v>
      </c>
      <c r="AN114" s="53"/>
      <c r="AO114" s="53">
        <v>2400000</v>
      </c>
      <c r="AP114" s="53"/>
      <c r="AQ114" s="53">
        <v>0</v>
      </c>
      <c r="AR114" s="53"/>
      <c r="AS114" s="45">
        <f t="shared" si="34"/>
        <v>-195910</v>
      </c>
      <c r="AT114" s="45"/>
      <c r="AU114" s="53">
        <v>0</v>
      </c>
      <c r="AV114" s="53"/>
      <c r="AW114" s="53">
        <v>0</v>
      </c>
      <c r="AX114" s="53"/>
      <c r="AY114" s="53">
        <f t="shared" si="31"/>
        <v>1863555</v>
      </c>
      <c r="AZ114" s="53"/>
      <c r="BA114" s="35" t="s">
        <v>141</v>
      </c>
      <c r="BC114" s="35" t="s">
        <v>27</v>
      </c>
      <c r="BD114" s="53"/>
      <c r="BE114" s="53">
        <f>20510570+1367896</f>
        <v>21878466</v>
      </c>
      <c r="BF114" s="53"/>
      <c r="BG114" s="53">
        <v>0</v>
      </c>
      <c r="BH114" s="53"/>
      <c r="BI114" s="53">
        <f>370795+78513+34485+29138</f>
        <v>512931</v>
      </c>
      <c r="BJ114" s="53"/>
      <c r="BK114" s="53">
        <f>199760+218478+60150+46690</f>
        <v>525078</v>
      </c>
      <c r="BL114" s="53"/>
      <c r="BM114" s="53">
        <f t="shared" si="32"/>
        <v>22916475</v>
      </c>
      <c r="BN114" s="54" t="s">
        <v>347</v>
      </c>
      <c r="BO114" s="35"/>
      <c r="BP114" s="35"/>
      <c r="BR114" s="51"/>
      <c r="BS114" s="53"/>
      <c r="BT114" s="53"/>
      <c r="BU114" s="53"/>
      <c r="BV114" s="53"/>
      <c r="BW114" s="45"/>
      <c r="BX114" s="45"/>
      <c r="BY114" s="53"/>
      <c r="BZ114" s="53"/>
      <c r="CA114" s="53"/>
      <c r="CB114" s="53"/>
      <c r="CC114" s="53"/>
      <c r="CD114" s="53"/>
      <c r="CE114" s="53"/>
      <c r="CF114" s="35"/>
      <c r="CH114" s="35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4"/>
      <c r="CT114" s="35"/>
      <c r="CU114" s="35"/>
    </row>
    <row r="115" spans="1:104" s="55" customFormat="1" ht="12.75" customHeight="1">
      <c r="A115" s="35" t="s">
        <v>142</v>
      </c>
      <c r="B115" s="51"/>
      <c r="C115" s="35" t="s">
        <v>102</v>
      </c>
      <c r="D115" s="44"/>
      <c r="E115" s="53">
        <f t="shared" si="33"/>
        <v>17041683</v>
      </c>
      <c r="F115" s="53"/>
      <c r="G115" s="53">
        <v>46562718</v>
      </c>
      <c r="H115" s="53"/>
      <c r="I115" s="53">
        <v>63604401</v>
      </c>
      <c r="J115" s="53"/>
      <c r="K115" s="53">
        <f t="shared" si="28"/>
        <v>3888709</v>
      </c>
      <c r="L115" s="53"/>
      <c r="M115" s="53">
        <v>42538180</v>
      </c>
      <c r="N115" s="53"/>
      <c r="O115" s="53">
        <v>46426889</v>
      </c>
      <c r="P115" s="53"/>
      <c r="Q115" s="53">
        <v>7287587</v>
      </c>
      <c r="R115" s="53"/>
      <c r="S115" s="53">
        <v>1940826</v>
      </c>
      <c r="T115" s="53"/>
      <c r="U115" s="53">
        <v>7949099</v>
      </c>
      <c r="V115" s="53"/>
      <c r="W115" s="53">
        <f t="shared" si="29"/>
        <v>17177512</v>
      </c>
      <c r="X115" s="53"/>
      <c r="Y115" s="35" t="s">
        <v>142</v>
      </c>
      <c r="AA115" s="35" t="s">
        <v>102</v>
      </c>
      <c r="AB115" s="35"/>
      <c r="AC115" s="53">
        <v>8231224</v>
      </c>
      <c r="AD115" s="53"/>
      <c r="AE115" s="53">
        <f>6116116-2222175</f>
        <v>3893941</v>
      </c>
      <c r="AF115" s="53"/>
      <c r="AG115" s="53">
        <v>2222175</v>
      </c>
      <c r="AH115" s="53"/>
      <c r="AI115" s="45">
        <f t="shared" si="30"/>
        <v>2115108</v>
      </c>
      <c r="AJ115" s="45"/>
      <c r="AK115" s="53">
        <v>-1640896</v>
      </c>
      <c r="AL115" s="45"/>
      <c r="AM115" s="53">
        <v>10840</v>
      </c>
      <c r="AN115" s="53"/>
      <c r="AO115" s="53">
        <v>0</v>
      </c>
      <c r="AP115" s="53"/>
      <c r="AQ115" s="53">
        <v>0</v>
      </c>
      <c r="AR115" s="53"/>
      <c r="AS115" s="45">
        <f t="shared" si="34"/>
        <v>485052</v>
      </c>
      <c r="AT115" s="45"/>
      <c r="AU115" s="53">
        <v>0</v>
      </c>
      <c r="AV115" s="53"/>
      <c r="AW115" s="53">
        <v>0</v>
      </c>
      <c r="AX115" s="53"/>
      <c r="AY115" s="53">
        <f t="shared" si="31"/>
        <v>13152974</v>
      </c>
      <c r="AZ115" s="53"/>
      <c r="BA115" s="35" t="s">
        <v>142</v>
      </c>
      <c r="BC115" s="35" t="s">
        <v>102</v>
      </c>
      <c r="BD115" s="53"/>
      <c r="BE115" s="53">
        <v>0</v>
      </c>
      <c r="BF115" s="53"/>
      <c r="BG115" s="53">
        <f>24561291+680000</f>
        <v>25241291</v>
      </c>
      <c r="BH115" s="53"/>
      <c r="BI115" s="53">
        <f>17616628+1695284</f>
        <v>19311912</v>
      </c>
      <c r="BJ115" s="53"/>
      <c r="BK115" s="53">
        <f>360261+90491</f>
        <v>450752</v>
      </c>
      <c r="BL115" s="53"/>
      <c r="BM115" s="53">
        <f t="shared" si="32"/>
        <v>45003955</v>
      </c>
      <c r="BN115" s="54" t="s">
        <v>347</v>
      </c>
      <c r="BO115" s="55" t="s">
        <v>405</v>
      </c>
      <c r="BR115" s="51"/>
      <c r="BS115" s="53"/>
      <c r="BT115" s="53"/>
      <c r="BU115" s="53"/>
      <c r="BV115" s="53"/>
      <c r="BW115" s="53"/>
      <c r="BX115" s="45"/>
      <c r="BY115" s="45"/>
      <c r="BZ115" s="53"/>
      <c r="CA115" s="53"/>
      <c r="CB115" s="53"/>
      <c r="CC115" s="53"/>
      <c r="CD115" s="53"/>
      <c r="CE115" s="53"/>
      <c r="CF115" s="35"/>
      <c r="CH115" s="35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4"/>
    </row>
    <row r="116" spans="1:104" s="55" customFormat="1" ht="12.75" customHeight="1">
      <c r="A116" s="35" t="s">
        <v>143</v>
      </c>
      <c r="B116" s="51"/>
      <c r="C116" s="35" t="s">
        <v>111</v>
      </c>
      <c r="D116" s="44"/>
      <c r="E116" s="53">
        <f t="shared" si="33"/>
        <v>4930176</v>
      </c>
      <c r="F116" s="53"/>
      <c r="G116" s="53">
        <v>26548031</v>
      </c>
      <c r="H116" s="53"/>
      <c r="I116" s="53">
        <v>31478207</v>
      </c>
      <c r="J116" s="53"/>
      <c r="K116" s="53">
        <f t="shared" si="28"/>
        <v>578913</v>
      </c>
      <c r="L116" s="53"/>
      <c r="M116" s="53">
        <v>9486339</v>
      </c>
      <c r="N116" s="53"/>
      <c r="O116" s="53">
        <v>10065252</v>
      </c>
      <c r="P116" s="53"/>
      <c r="Q116" s="53">
        <v>16258032</v>
      </c>
      <c r="R116" s="53"/>
      <c r="S116" s="53">
        <f>240000+589598</f>
        <v>829598</v>
      </c>
      <c r="T116" s="53"/>
      <c r="U116" s="53">
        <v>4325325</v>
      </c>
      <c r="V116" s="53"/>
      <c r="W116" s="53">
        <f t="shared" si="29"/>
        <v>21412955</v>
      </c>
      <c r="X116" s="53"/>
      <c r="Y116" s="35" t="s">
        <v>143</v>
      </c>
      <c r="AA116" s="35" t="s">
        <v>111</v>
      </c>
      <c r="AB116" s="35"/>
      <c r="AC116" s="53">
        <v>3241806</v>
      </c>
      <c r="AD116" s="53"/>
      <c r="AE116" s="53">
        <f>2714080-985010</f>
        <v>1729070</v>
      </c>
      <c r="AF116" s="53"/>
      <c r="AG116" s="53">
        <v>985010</v>
      </c>
      <c r="AH116" s="53"/>
      <c r="AI116" s="45">
        <f t="shared" si="30"/>
        <v>527726</v>
      </c>
      <c r="AJ116" s="45"/>
      <c r="AK116" s="53">
        <v>-333555</v>
      </c>
      <c r="AL116" s="45"/>
      <c r="AM116" s="53">
        <v>2720</v>
      </c>
      <c r="AN116" s="53"/>
      <c r="AO116" s="53">
        <v>0</v>
      </c>
      <c r="AP116" s="53"/>
      <c r="AQ116" s="53">
        <v>49423</v>
      </c>
      <c r="AR116" s="53"/>
      <c r="AS116" s="45">
        <f t="shared" si="34"/>
        <v>246314</v>
      </c>
      <c r="AT116" s="45"/>
      <c r="AU116" s="53">
        <v>0</v>
      </c>
      <c r="AV116" s="53"/>
      <c r="AW116" s="53">
        <v>0</v>
      </c>
      <c r="AX116" s="53"/>
      <c r="AY116" s="53">
        <f t="shared" si="31"/>
        <v>4351263</v>
      </c>
      <c r="AZ116" s="53"/>
      <c r="BA116" s="35" t="s">
        <v>143</v>
      </c>
      <c r="BC116" s="35" t="s">
        <v>111</v>
      </c>
      <c r="BD116" s="53"/>
      <c r="BE116" s="53">
        <v>0</v>
      </c>
      <c r="BF116" s="53"/>
      <c r="BG116" s="53">
        <f>9460401+480000</f>
        <v>9940401</v>
      </c>
      <c r="BH116" s="53"/>
      <c r="BI116" s="53">
        <v>0</v>
      </c>
      <c r="BJ116" s="53"/>
      <c r="BK116" s="53">
        <f>25938+6321</f>
        <v>32259</v>
      </c>
      <c r="BL116" s="53"/>
      <c r="BM116" s="53">
        <f t="shared" si="32"/>
        <v>9972660</v>
      </c>
      <c r="BN116" s="54" t="s">
        <v>347</v>
      </c>
      <c r="BO116" s="35"/>
      <c r="BR116" s="51"/>
      <c r="BS116" s="53"/>
      <c r="BT116" s="53"/>
      <c r="BU116" s="53"/>
      <c r="BV116" s="53"/>
      <c r="BW116" s="45"/>
      <c r="BX116" s="45"/>
      <c r="BY116" s="53"/>
      <c r="BZ116" s="53"/>
      <c r="CA116" s="53"/>
      <c r="CB116" s="53"/>
      <c r="CC116" s="53"/>
      <c r="CD116" s="53"/>
      <c r="CE116" s="53"/>
      <c r="CF116" s="35"/>
      <c r="CH116" s="35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4"/>
      <c r="CT116" s="35"/>
    </row>
    <row r="117" spans="1:104" s="55" customFormat="1" ht="12.75" customHeight="1">
      <c r="A117" s="35" t="s">
        <v>144</v>
      </c>
      <c r="B117" s="51"/>
      <c r="C117" s="35" t="s">
        <v>88</v>
      </c>
      <c r="D117" s="44"/>
      <c r="E117" s="53">
        <f t="shared" si="33"/>
        <v>21110691</v>
      </c>
      <c r="F117" s="53"/>
      <c r="G117" s="53">
        <v>34397710</v>
      </c>
      <c r="H117" s="53"/>
      <c r="I117" s="53">
        <v>55508401</v>
      </c>
      <c r="J117" s="53"/>
      <c r="K117" s="53">
        <f t="shared" si="28"/>
        <v>11637333</v>
      </c>
      <c r="L117" s="53"/>
      <c r="M117" s="53">
        <v>21699611</v>
      </c>
      <c r="N117" s="53"/>
      <c r="O117" s="53">
        <v>33336944</v>
      </c>
      <c r="P117" s="53"/>
      <c r="Q117" s="53">
        <v>1134079</v>
      </c>
      <c r="R117" s="53"/>
      <c r="S117" s="53">
        <v>0</v>
      </c>
      <c r="T117" s="53"/>
      <c r="U117" s="53">
        <v>21037378</v>
      </c>
      <c r="V117" s="53"/>
      <c r="W117" s="53">
        <f t="shared" si="29"/>
        <v>22171457</v>
      </c>
      <c r="X117" s="53"/>
      <c r="Y117" s="35" t="s">
        <v>144</v>
      </c>
      <c r="AA117" s="35" t="s">
        <v>88</v>
      </c>
      <c r="AB117" s="35"/>
      <c r="AC117" s="53">
        <v>8605800</v>
      </c>
      <c r="AD117" s="53"/>
      <c r="AE117" s="53">
        <f>7906741-1074350</f>
        <v>6832391</v>
      </c>
      <c r="AF117" s="53"/>
      <c r="AG117" s="53">
        <v>1074350</v>
      </c>
      <c r="AH117" s="53"/>
      <c r="AI117" s="45">
        <f t="shared" si="30"/>
        <v>699059</v>
      </c>
      <c r="AJ117" s="45"/>
      <c r="AK117" s="53">
        <v>-858095</v>
      </c>
      <c r="AL117" s="45"/>
      <c r="AM117" s="53">
        <v>0</v>
      </c>
      <c r="AN117" s="53"/>
      <c r="AO117" s="53">
        <v>0</v>
      </c>
      <c r="AP117" s="53"/>
      <c r="AQ117" s="53">
        <v>0</v>
      </c>
      <c r="AR117" s="53"/>
      <c r="AS117" s="45">
        <f t="shared" si="34"/>
        <v>-159036</v>
      </c>
      <c r="AT117" s="45"/>
      <c r="AU117" s="53">
        <v>0</v>
      </c>
      <c r="AV117" s="53"/>
      <c r="AW117" s="53">
        <v>0</v>
      </c>
      <c r="AX117" s="53"/>
      <c r="AY117" s="53">
        <f t="shared" si="31"/>
        <v>9473358</v>
      </c>
      <c r="AZ117" s="53"/>
      <c r="BA117" s="35" t="s">
        <v>144</v>
      </c>
      <c r="BC117" s="35" t="s">
        <v>88</v>
      </c>
      <c r="BD117" s="53"/>
      <c r="BE117" s="53">
        <f>4772612+753721</f>
        <v>5526333</v>
      </c>
      <c r="BF117" s="53"/>
      <c r="BG117" s="53">
        <f>12036672+395910</f>
        <v>12432582</v>
      </c>
      <c r="BH117" s="53"/>
      <c r="BI117" s="53">
        <f>4474511+342020</f>
        <v>4816531</v>
      </c>
      <c r="BJ117" s="53"/>
      <c r="BK117" s="53">
        <f>336756+79060</f>
        <v>415816</v>
      </c>
      <c r="BL117" s="53"/>
      <c r="BM117" s="53">
        <f t="shared" si="32"/>
        <v>23191262</v>
      </c>
      <c r="BN117" s="54" t="s">
        <v>347</v>
      </c>
      <c r="BR117" s="51"/>
      <c r="BS117" s="53"/>
      <c r="BT117" s="53"/>
      <c r="BU117" s="53"/>
      <c r="BV117" s="53"/>
      <c r="BW117" s="53"/>
      <c r="BX117" s="45"/>
      <c r="BY117" s="45"/>
      <c r="BZ117" s="53"/>
      <c r="CA117" s="53"/>
      <c r="CB117" s="53"/>
      <c r="CC117" s="53"/>
      <c r="CD117" s="53"/>
      <c r="CE117" s="53"/>
      <c r="CF117" s="44"/>
      <c r="CH117" s="35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4"/>
    </row>
    <row r="118" spans="1:104" s="55" customFormat="1" ht="12.75" customHeight="1">
      <c r="A118" s="35" t="s">
        <v>36</v>
      </c>
      <c r="B118" s="51"/>
      <c r="C118" s="35" t="s">
        <v>145</v>
      </c>
      <c r="D118" s="44"/>
      <c r="E118" s="53">
        <f t="shared" si="33"/>
        <v>621328</v>
      </c>
      <c r="F118" s="53"/>
      <c r="G118" s="53">
        <v>8280313</v>
      </c>
      <c r="H118" s="53"/>
      <c r="I118" s="53">
        <v>8901641</v>
      </c>
      <c r="J118" s="53"/>
      <c r="K118" s="53">
        <f t="shared" si="28"/>
        <v>297976</v>
      </c>
      <c r="L118" s="53"/>
      <c r="M118" s="53">
        <v>1039336</v>
      </c>
      <c r="N118" s="53"/>
      <c r="O118" s="53">
        <v>1337312</v>
      </c>
      <c r="P118" s="53"/>
      <c r="Q118" s="53">
        <v>7208476</v>
      </c>
      <c r="R118" s="53"/>
      <c r="S118" s="53">
        <v>0</v>
      </c>
      <c r="T118" s="53"/>
      <c r="U118" s="53">
        <v>355853</v>
      </c>
      <c r="V118" s="53"/>
      <c r="W118" s="53">
        <f t="shared" si="29"/>
        <v>7564329</v>
      </c>
      <c r="X118" s="53"/>
      <c r="Y118" s="35" t="s">
        <v>36</v>
      </c>
      <c r="AA118" s="35" t="s">
        <v>145</v>
      </c>
      <c r="AB118" s="35"/>
      <c r="AC118" s="53">
        <v>1237233</v>
      </c>
      <c r="AD118" s="53"/>
      <c r="AE118" s="53">
        <f>850571-231660</f>
        <v>618911</v>
      </c>
      <c r="AF118" s="53"/>
      <c r="AG118" s="53">
        <v>231660</v>
      </c>
      <c r="AH118" s="53"/>
      <c r="AI118" s="45">
        <f t="shared" si="30"/>
        <v>386662</v>
      </c>
      <c r="AJ118" s="45"/>
      <c r="AK118" s="53">
        <v>-44881</v>
      </c>
      <c r="AL118" s="45"/>
      <c r="AM118" s="53">
        <v>0</v>
      </c>
      <c r="AN118" s="53"/>
      <c r="AO118" s="53">
        <v>0</v>
      </c>
      <c r="AP118" s="53"/>
      <c r="AQ118" s="53">
        <v>0</v>
      </c>
      <c r="AR118" s="53"/>
      <c r="AS118" s="45">
        <f t="shared" si="34"/>
        <v>341781</v>
      </c>
      <c r="AT118" s="45"/>
      <c r="AU118" s="53">
        <v>0</v>
      </c>
      <c r="AV118" s="53"/>
      <c r="AW118" s="53">
        <v>0</v>
      </c>
      <c r="AX118" s="53"/>
      <c r="AY118" s="53">
        <f t="shared" si="31"/>
        <v>323352</v>
      </c>
      <c r="AZ118" s="53"/>
      <c r="BA118" s="35" t="s">
        <v>36</v>
      </c>
      <c r="BC118" s="35" t="s">
        <v>145</v>
      </c>
      <c r="BD118" s="53"/>
      <c r="BE118" s="53">
        <v>0</v>
      </c>
      <c r="BF118" s="53"/>
      <c r="BG118" s="53">
        <f>202483+37122</f>
        <v>239605</v>
      </c>
      <c r="BH118" s="53"/>
      <c r="BI118" s="53">
        <f>390829+402121+11500+27782</f>
        <v>832232</v>
      </c>
      <c r="BJ118" s="53"/>
      <c r="BK118" s="53">
        <f>43903+21608</f>
        <v>65511</v>
      </c>
      <c r="BL118" s="53"/>
      <c r="BM118" s="53">
        <f t="shared" si="32"/>
        <v>1137348</v>
      </c>
      <c r="BN118" s="54" t="s">
        <v>347</v>
      </c>
      <c r="BR118" s="51"/>
      <c r="BS118" s="53"/>
      <c r="BT118" s="53"/>
      <c r="BU118" s="53"/>
      <c r="BV118" s="53"/>
      <c r="BW118" s="53"/>
      <c r="BX118" s="45"/>
      <c r="BY118" s="45"/>
      <c r="BZ118" s="53"/>
      <c r="CA118" s="53"/>
      <c r="CB118" s="53"/>
      <c r="CC118" s="53"/>
      <c r="CD118" s="53"/>
      <c r="CE118" s="53"/>
      <c r="CF118" s="35"/>
      <c r="CH118" s="35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4"/>
    </row>
    <row r="119" spans="1:104" s="55" customFormat="1" ht="12.75" customHeight="1">
      <c r="A119" s="35" t="s">
        <v>146</v>
      </c>
      <c r="C119" s="35" t="s">
        <v>147</v>
      </c>
      <c r="D119" s="44"/>
      <c r="E119" s="53">
        <f t="shared" si="33"/>
        <v>3828549</v>
      </c>
      <c r="F119" s="53"/>
      <c r="G119" s="53">
        <v>34803993</v>
      </c>
      <c r="H119" s="53"/>
      <c r="I119" s="53">
        <v>38632542</v>
      </c>
      <c r="J119" s="53"/>
      <c r="K119" s="53">
        <f t="shared" si="28"/>
        <v>591114</v>
      </c>
      <c r="L119" s="53"/>
      <c r="M119" s="53">
        <v>33350502</v>
      </c>
      <c r="N119" s="53"/>
      <c r="O119" s="53">
        <v>33941616</v>
      </c>
      <c r="P119" s="53"/>
      <c r="Q119" s="53">
        <v>2201999</v>
      </c>
      <c r="R119" s="53"/>
      <c r="S119" s="53">
        <v>0</v>
      </c>
      <c r="T119" s="53"/>
      <c r="U119" s="53">
        <v>2488927</v>
      </c>
      <c r="V119" s="53"/>
      <c r="W119" s="53">
        <f t="shared" si="29"/>
        <v>4690926</v>
      </c>
      <c r="X119" s="53"/>
      <c r="Y119" s="35" t="s">
        <v>146</v>
      </c>
      <c r="AA119" s="35" t="s">
        <v>147</v>
      </c>
      <c r="AB119" s="35"/>
      <c r="AC119" s="53">
        <v>2291017</v>
      </c>
      <c r="AD119" s="53"/>
      <c r="AE119" s="53">
        <f>2464112-1485261</f>
        <v>978851</v>
      </c>
      <c r="AF119" s="53"/>
      <c r="AG119" s="53">
        <v>1485261</v>
      </c>
      <c r="AH119" s="53"/>
      <c r="AI119" s="45">
        <f t="shared" si="30"/>
        <v>-173095</v>
      </c>
      <c r="AJ119" s="45"/>
      <c r="AK119" s="53">
        <v>-264775</v>
      </c>
      <c r="AL119" s="45"/>
      <c r="AM119" s="53">
        <v>0</v>
      </c>
      <c r="AN119" s="53"/>
      <c r="AO119" s="53">
        <v>0</v>
      </c>
      <c r="AP119" s="53"/>
      <c r="AQ119" s="53">
        <v>200100</v>
      </c>
      <c r="AR119" s="53"/>
      <c r="AS119" s="45">
        <f t="shared" si="34"/>
        <v>-237770</v>
      </c>
      <c r="AT119" s="45"/>
      <c r="AU119" s="53">
        <v>0</v>
      </c>
      <c r="AV119" s="53"/>
      <c r="AW119" s="53">
        <v>0</v>
      </c>
      <c r="AX119" s="53"/>
      <c r="AY119" s="53">
        <f t="shared" si="31"/>
        <v>3237435</v>
      </c>
      <c r="AZ119" s="53"/>
      <c r="BA119" s="35" t="s">
        <v>146</v>
      </c>
      <c r="BC119" s="35" t="s">
        <v>147</v>
      </c>
      <c r="BD119" s="53"/>
      <c r="BE119" s="53">
        <v>0</v>
      </c>
      <c r="BF119" s="53"/>
      <c r="BG119" s="53">
        <v>0</v>
      </c>
      <c r="BH119" s="53"/>
      <c r="BI119" s="53">
        <f>33317379+500510</f>
        <v>33817889</v>
      </c>
      <c r="BJ119" s="53"/>
      <c r="BK119" s="53">
        <f>33123+8281</f>
        <v>41404</v>
      </c>
      <c r="BL119" s="53"/>
      <c r="BM119" s="53">
        <f t="shared" si="32"/>
        <v>33859293</v>
      </c>
      <c r="BN119" s="54" t="s">
        <v>347</v>
      </c>
      <c r="BR119" s="51"/>
      <c r="BS119" s="53"/>
      <c r="BT119" s="53"/>
      <c r="BU119" s="53"/>
      <c r="BV119" s="53"/>
      <c r="BW119" s="53"/>
      <c r="BX119" s="45"/>
      <c r="BY119" s="45"/>
      <c r="BZ119" s="53"/>
      <c r="CA119" s="53"/>
      <c r="CB119" s="53"/>
      <c r="CC119" s="53"/>
      <c r="CD119" s="53"/>
      <c r="CE119" s="53"/>
      <c r="CF119" s="35"/>
      <c r="CH119" s="35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4"/>
    </row>
    <row r="120" spans="1:104" s="55" customFormat="1" ht="12.75" customHeight="1">
      <c r="A120" s="35" t="s">
        <v>17</v>
      </c>
      <c r="B120" s="51"/>
      <c r="C120" s="35" t="s">
        <v>17</v>
      </c>
      <c r="D120" s="44"/>
      <c r="E120" s="53">
        <f t="shared" si="33"/>
        <v>5680435</v>
      </c>
      <c r="F120" s="53"/>
      <c r="G120" s="53">
        <v>79585205</v>
      </c>
      <c r="H120" s="53"/>
      <c r="I120" s="53">
        <v>85265640</v>
      </c>
      <c r="J120" s="53"/>
      <c r="K120" s="53">
        <f t="shared" si="28"/>
        <v>4872809</v>
      </c>
      <c r="L120" s="53"/>
      <c r="M120" s="53">
        <v>37037554</v>
      </c>
      <c r="N120" s="53"/>
      <c r="O120" s="53">
        <v>41910363</v>
      </c>
      <c r="P120" s="53"/>
      <c r="Q120" s="53">
        <v>37958715</v>
      </c>
      <c r="R120" s="53"/>
      <c r="S120" s="53">
        <f>1485871+150000+981045</f>
        <v>2616916</v>
      </c>
      <c r="T120" s="53"/>
      <c r="U120" s="53">
        <v>2779646</v>
      </c>
      <c r="V120" s="53"/>
      <c r="W120" s="53">
        <f t="shared" si="29"/>
        <v>43355277</v>
      </c>
      <c r="X120" s="53"/>
      <c r="Y120" s="35" t="s">
        <v>17</v>
      </c>
      <c r="AA120" s="35" t="s">
        <v>17</v>
      </c>
      <c r="AB120" s="35"/>
      <c r="AC120" s="53">
        <v>12084067</v>
      </c>
      <c r="AD120" s="53"/>
      <c r="AE120" s="53">
        <f>8268498-1839447</f>
        <v>6429051</v>
      </c>
      <c r="AF120" s="53"/>
      <c r="AG120" s="53">
        <v>1839447</v>
      </c>
      <c r="AH120" s="53"/>
      <c r="AI120" s="45">
        <f t="shared" si="30"/>
        <v>3815569</v>
      </c>
      <c r="AJ120" s="45"/>
      <c r="AK120" s="53">
        <v>-1604723</v>
      </c>
      <c r="AL120" s="45"/>
      <c r="AM120" s="53">
        <v>0</v>
      </c>
      <c r="AN120" s="53"/>
      <c r="AO120" s="53">
        <v>0</v>
      </c>
      <c r="AP120" s="53"/>
      <c r="AQ120" s="53">
        <v>0</v>
      </c>
      <c r="AR120" s="53"/>
      <c r="AS120" s="45">
        <f t="shared" si="34"/>
        <v>2210846</v>
      </c>
      <c r="AT120" s="45"/>
      <c r="AU120" s="53">
        <v>0</v>
      </c>
      <c r="AV120" s="53"/>
      <c r="AW120" s="53">
        <v>0</v>
      </c>
      <c r="AX120" s="53"/>
      <c r="AY120" s="53">
        <f t="shared" si="31"/>
        <v>807626</v>
      </c>
      <c r="AZ120" s="53"/>
      <c r="BA120" s="35" t="s">
        <v>17</v>
      </c>
      <c r="BC120" s="35" t="s">
        <v>17</v>
      </c>
      <c r="BD120" s="53"/>
      <c r="BE120" s="53">
        <f>774310+702291</f>
        <v>1476601</v>
      </c>
      <c r="BF120" s="53"/>
      <c r="BG120" s="53">
        <v>0</v>
      </c>
      <c r="BH120" s="53"/>
      <c r="BI120" s="53">
        <f>35639938+2465310</f>
        <v>38105248</v>
      </c>
      <c r="BJ120" s="53"/>
      <c r="BK120" s="53">
        <f>103824+519482+53532+86648</f>
        <v>763486</v>
      </c>
      <c r="BL120" s="53"/>
      <c r="BM120" s="53">
        <f t="shared" si="32"/>
        <v>40345335</v>
      </c>
      <c r="BN120" s="54" t="s">
        <v>347</v>
      </c>
      <c r="BR120" s="51"/>
      <c r="BS120" s="53"/>
      <c r="BT120" s="53"/>
      <c r="BU120" s="53"/>
      <c r="BV120" s="53"/>
      <c r="BW120" s="53"/>
      <c r="BX120" s="45"/>
      <c r="BY120" s="45"/>
      <c r="BZ120" s="53"/>
      <c r="CA120" s="53"/>
      <c r="CB120" s="53"/>
      <c r="CC120" s="53"/>
      <c r="CD120" s="53"/>
      <c r="CE120" s="53"/>
      <c r="CF120" s="35"/>
      <c r="CH120" s="35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4"/>
    </row>
    <row r="121" spans="1:104" s="55" customFormat="1" ht="12.75" customHeight="1">
      <c r="A121" s="35" t="s">
        <v>148</v>
      </c>
      <c r="B121" s="51"/>
      <c r="C121" s="35" t="s">
        <v>15</v>
      </c>
      <c r="D121" s="44"/>
      <c r="E121" s="53">
        <f t="shared" si="33"/>
        <v>872199</v>
      </c>
      <c r="F121" s="53"/>
      <c r="G121" s="53">
        <v>4791018</v>
      </c>
      <c r="H121" s="53"/>
      <c r="I121" s="53">
        <v>5663217</v>
      </c>
      <c r="J121" s="53"/>
      <c r="K121" s="53">
        <f t="shared" si="28"/>
        <v>603246</v>
      </c>
      <c r="L121" s="53"/>
      <c r="M121" s="53">
        <v>1067093</v>
      </c>
      <c r="N121" s="53"/>
      <c r="O121" s="53">
        <v>1670339</v>
      </c>
      <c r="P121" s="53"/>
      <c r="Q121" s="53">
        <v>3399635</v>
      </c>
      <c r="R121" s="53"/>
      <c r="S121" s="53">
        <v>0</v>
      </c>
      <c r="T121" s="53"/>
      <c r="U121" s="53">
        <v>593243</v>
      </c>
      <c r="V121" s="53"/>
      <c r="W121" s="53">
        <f t="shared" si="29"/>
        <v>3992878</v>
      </c>
      <c r="X121" s="53"/>
      <c r="Y121" s="35" t="s">
        <v>148</v>
      </c>
      <c r="AA121" s="35" t="s">
        <v>15</v>
      </c>
      <c r="AB121" s="35"/>
      <c r="AC121" s="53">
        <v>970591</v>
      </c>
      <c r="AD121" s="53"/>
      <c r="AE121" s="53">
        <f>950830-162765</f>
        <v>788065</v>
      </c>
      <c r="AF121" s="53"/>
      <c r="AG121" s="53">
        <v>162765</v>
      </c>
      <c r="AH121" s="53"/>
      <c r="AI121" s="45">
        <f t="shared" si="30"/>
        <v>19761</v>
      </c>
      <c r="AJ121" s="45"/>
      <c r="AK121" s="53">
        <v>505728</v>
      </c>
      <c r="AL121" s="45"/>
      <c r="AM121" s="53">
        <v>0</v>
      </c>
      <c r="AN121" s="53"/>
      <c r="AO121" s="53">
        <v>153228</v>
      </c>
      <c r="AP121" s="53"/>
      <c r="AQ121" s="53">
        <v>0</v>
      </c>
      <c r="AR121" s="53"/>
      <c r="AS121" s="45">
        <f t="shared" si="34"/>
        <v>372261</v>
      </c>
      <c r="AT121" s="45"/>
      <c r="AU121" s="53">
        <v>0</v>
      </c>
      <c r="AV121" s="53"/>
      <c r="AW121" s="53">
        <v>0</v>
      </c>
      <c r="AX121" s="53"/>
      <c r="AY121" s="53">
        <f t="shared" si="31"/>
        <v>268953</v>
      </c>
      <c r="AZ121" s="53"/>
      <c r="BA121" s="35" t="s">
        <v>148</v>
      </c>
      <c r="BC121" s="35" t="s">
        <v>15</v>
      </c>
      <c r="BD121" s="53"/>
      <c r="BE121" s="53">
        <f>990639+285352</f>
        <v>1275991</v>
      </c>
      <c r="BF121" s="53"/>
      <c r="BG121" s="53">
        <v>0</v>
      </c>
      <c r="BH121" s="53"/>
      <c r="BI121" s="53">
        <v>0</v>
      </c>
      <c r="BJ121" s="53"/>
      <c r="BK121" s="53">
        <f>17571+58883+26187+56509</f>
        <v>159150</v>
      </c>
      <c r="BL121" s="53"/>
      <c r="BM121" s="53">
        <f t="shared" si="32"/>
        <v>1435141</v>
      </c>
      <c r="BN121" s="54" t="s">
        <v>347</v>
      </c>
      <c r="BR121" s="51"/>
      <c r="BS121" s="53"/>
      <c r="BT121" s="53"/>
      <c r="BU121" s="53"/>
      <c r="BV121" s="53"/>
      <c r="BW121" s="53"/>
      <c r="BX121" s="45"/>
      <c r="BY121" s="45"/>
      <c r="BZ121" s="53"/>
      <c r="CA121" s="53"/>
      <c r="CB121" s="53"/>
      <c r="CC121" s="53"/>
      <c r="CD121" s="53"/>
      <c r="CE121" s="53"/>
      <c r="CF121" s="35"/>
      <c r="CH121" s="35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4"/>
    </row>
    <row r="122" spans="1:104" s="55" customFormat="1" ht="12.75" customHeight="1">
      <c r="A122" s="35" t="s">
        <v>149</v>
      </c>
      <c r="B122" s="51"/>
      <c r="C122" s="35" t="s">
        <v>45</v>
      </c>
      <c r="D122" s="44"/>
      <c r="E122" s="53">
        <f t="shared" si="33"/>
        <v>708367</v>
      </c>
      <c r="F122" s="53"/>
      <c r="G122" s="53">
        <f>59460+1367478</f>
        <v>1426938</v>
      </c>
      <c r="H122" s="53"/>
      <c r="I122" s="53">
        <v>2135305</v>
      </c>
      <c r="J122" s="53"/>
      <c r="K122" s="53">
        <f t="shared" si="28"/>
        <v>317068</v>
      </c>
      <c r="L122" s="53"/>
      <c r="M122" s="53">
        <f>39531+19200</f>
        <v>58731</v>
      </c>
      <c r="N122" s="53"/>
      <c r="O122" s="53">
        <v>375799</v>
      </c>
      <c r="P122" s="53"/>
      <c r="Q122" s="53">
        <v>1407768</v>
      </c>
      <c r="R122" s="53"/>
      <c r="S122" s="53">
        <v>0</v>
      </c>
      <c r="T122" s="53"/>
      <c r="U122" s="53">
        <v>351738</v>
      </c>
      <c r="V122" s="53"/>
      <c r="W122" s="53">
        <f t="shared" si="29"/>
        <v>1759506</v>
      </c>
      <c r="X122" s="53"/>
      <c r="Y122" s="35" t="s">
        <v>149</v>
      </c>
      <c r="AA122" s="35" t="s">
        <v>45</v>
      </c>
      <c r="AB122" s="35"/>
      <c r="AC122" s="53">
        <v>2349649</v>
      </c>
      <c r="AD122" s="53"/>
      <c r="AE122" s="53">
        <f>2477515-55847</f>
        <v>2421668</v>
      </c>
      <c r="AF122" s="53"/>
      <c r="AG122" s="53">
        <v>55847</v>
      </c>
      <c r="AH122" s="53"/>
      <c r="AI122" s="45">
        <f t="shared" si="30"/>
        <v>-127866</v>
      </c>
      <c r="AJ122" s="45"/>
      <c r="AK122" s="53">
        <v>-16425</v>
      </c>
      <c r="AL122" s="45"/>
      <c r="AM122" s="53">
        <v>0</v>
      </c>
      <c r="AN122" s="53"/>
      <c r="AO122" s="53">
        <v>0</v>
      </c>
      <c r="AP122" s="53"/>
      <c r="AQ122" s="53">
        <v>0</v>
      </c>
      <c r="AR122" s="53"/>
      <c r="AS122" s="45">
        <f t="shared" si="34"/>
        <v>-144291</v>
      </c>
      <c r="AT122" s="45"/>
      <c r="AU122" s="53">
        <v>0</v>
      </c>
      <c r="AV122" s="53"/>
      <c r="AW122" s="53">
        <v>0</v>
      </c>
      <c r="AX122" s="53"/>
      <c r="AY122" s="53">
        <f t="shared" si="31"/>
        <v>391299</v>
      </c>
      <c r="AZ122" s="53"/>
      <c r="BA122" s="35" t="s">
        <v>149</v>
      </c>
      <c r="BC122" s="35" t="s">
        <v>45</v>
      </c>
      <c r="BD122" s="53"/>
      <c r="BE122" s="53">
        <v>19200</v>
      </c>
      <c r="BF122" s="53"/>
      <c r="BG122" s="53">
        <v>0</v>
      </c>
      <c r="BH122" s="53"/>
      <c r="BI122" s="53">
        <v>0</v>
      </c>
      <c r="BJ122" s="53"/>
      <c r="BK122" s="53">
        <v>39531</v>
      </c>
      <c r="BL122" s="53"/>
      <c r="BM122" s="53">
        <f t="shared" si="32"/>
        <v>58731</v>
      </c>
      <c r="BN122" s="54" t="s">
        <v>347</v>
      </c>
      <c r="BR122" s="51"/>
      <c r="BS122" s="53"/>
      <c r="BT122" s="53"/>
      <c r="BU122" s="53"/>
      <c r="BV122" s="53"/>
      <c r="BW122" s="45"/>
      <c r="BX122" s="45"/>
      <c r="BY122" s="53"/>
      <c r="BZ122" s="53"/>
      <c r="CA122" s="53"/>
      <c r="CB122" s="53"/>
      <c r="CC122" s="53"/>
      <c r="CD122" s="53"/>
      <c r="CE122" s="53"/>
      <c r="CF122" s="35"/>
      <c r="CH122" s="35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4"/>
    </row>
    <row r="123" spans="1:104" s="140" customFormat="1" ht="12.75" hidden="1" customHeight="1">
      <c r="A123" s="126" t="s">
        <v>150</v>
      </c>
      <c r="B123" s="124"/>
      <c r="C123" s="126" t="s">
        <v>27</v>
      </c>
      <c r="D123" s="121"/>
      <c r="E123" s="53">
        <f t="shared" si="33"/>
        <v>0</v>
      </c>
      <c r="F123" s="53"/>
      <c r="G123" s="53">
        <v>0</v>
      </c>
      <c r="H123" s="53"/>
      <c r="I123" s="53">
        <v>0</v>
      </c>
      <c r="J123" s="53"/>
      <c r="K123" s="53">
        <f t="shared" si="28"/>
        <v>0</v>
      </c>
      <c r="L123" s="53"/>
      <c r="M123" s="53">
        <v>0</v>
      </c>
      <c r="N123" s="53"/>
      <c r="O123" s="53">
        <v>0</v>
      </c>
      <c r="P123" s="53"/>
      <c r="Q123" s="53">
        <v>0</v>
      </c>
      <c r="R123" s="53"/>
      <c r="S123" s="53">
        <v>0</v>
      </c>
      <c r="T123" s="53"/>
      <c r="U123" s="53">
        <v>0</v>
      </c>
      <c r="V123" s="53"/>
      <c r="W123" s="53">
        <f t="shared" si="29"/>
        <v>0</v>
      </c>
      <c r="X123" s="137"/>
      <c r="Y123" s="126" t="s">
        <v>150</v>
      </c>
      <c r="AA123" s="126" t="s">
        <v>27</v>
      </c>
      <c r="AB123" s="126"/>
      <c r="AC123" s="53">
        <v>0</v>
      </c>
      <c r="AD123" s="53"/>
      <c r="AE123" s="53">
        <v>0</v>
      </c>
      <c r="AF123" s="53"/>
      <c r="AG123" s="53">
        <v>0</v>
      </c>
      <c r="AH123" s="53"/>
      <c r="AI123" s="45">
        <f t="shared" si="30"/>
        <v>0</v>
      </c>
      <c r="AJ123" s="45"/>
      <c r="AK123" s="53">
        <v>0</v>
      </c>
      <c r="AL123" s="45"/>
      <c r="AM123" s="53">
        <v>0</v>
      </c>
      <c r="AN123" s="53"/>
      <c r="AO123" s="53">
        <v>0</v>
      </c>
      <c r="AP123" s="53"/>
      <c r="AQ123" s="53">
        <v>0</v>
      </c>
      <c r="AR123" s="53"/>
      <c r="AS123" s="45">
        <f t="shared" si="34"/>
        <v>0</v>
      </c>
      <c r="AT123" s="45"/>
      <c r="AU123" s="53">
        <v>0</v>
      </c>
      <c r="AV123" s="53"/>
      <c r="AW123" s="53">
        <v>0</v>
      </c>
      <c r="AX123" s="53"/>
      <c r="AY123" s="53">
        <f t="shared" si="31"/>
        <v>0</v>
      </c>
      <c r="AZ123" s="53"/>
      <c r="BA123" s="126" t="s">
        <v>150</v>
      </c>
      <c r="BC123" s="126" t="s">
        <v>27</v>
      </c>
      <c r="BD123" s="137"/>
      <c r="BE123" s="53">
        <v>0</v>
      </c>
      <c r="BF123" s="53"/>
      <c r="BG123" s="53">
        <v>0</v>
      </c>
      <c r="BH123" s="53"/>
      <c r="BI123" s="53">
        <v>0</v>
      </c>
      <c r="BJ123" s="53"/>
      <c r="BK123" s="53">
        <v>0</v>
      </c>
      <c r="BL123" s="137"/>
      <c r="BM123" s="137">
        <f t="shared" si="32"/>
        <v>0</v>
      </c>
      <c r="BN123" s="139" t="s">
        <v>347</v>
      </c>
      <c r="BO123" s="126"/>
      <c r="BR123" s="124"/>
      <c r="BS123" s="137"/>
      <c r="BT123" s="137"/>
      <c r="BU123" s="137"/>
      <c r="BV123" s="137"/>
      <c r="BW123" s="127"/>
      <c r="BX123" s="127"/>
      <c r="BY123" s="137"/>
      <c r="BZ123" s="137"/>
      <c r="CA123" s="137"/>
      <c r="CB123" s="137"/>
      <c r="CC123" s="137"/>
      <c r="CD123" s="137"/>
      <c r="CE123" s="137"/>
      <c r="CF123" s="126"/>
      <c r="CH123" s="126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9"/>
      <c r="CT123" s="126"/>
    </row>
    <row r="124" spans="1:104" s="140" customFormat="1" ht="12.75" hidden="1" customHeight="1">
      <c r="A124" s="126" t="s">
        <v>151</v>
      </c>
      <c r="B124" s="124"/>
      <c r="C124" s="126" t="s">
        <v>13</v>
      </c>
      <c r="D124" s="121"/>
      <c r="E124" s="53">
        <f t="shared" si="33"/>
        <v>0</v>
      </c>
      <c r="F124" s="53"/>
      <c r="G124" s="53">
        <v>0</v>
      </c>
      <c r="H124" s="53"/>
      <c r="I124" s="53">
        <v>0</v>
      </c>
      <c r="J124" s="53"/>
      <c r="K124" s="53">
        <f t="shared" si="28"/>
        <v>0</v>
      </c>
      <c r="L124" s="53"/>
      <c r="M124" s="53">
        <v>0</v>
      </c>
      <c r="N124" s="53"/>
      <c r="O124" s="53">
        <v>0</v>
      </c>
      <c r="P124" s="53"/>
      <c r="Q124" s="53">
        <v>0</v>
      </c>
      <c r="R124" s="53"/>
      <c r="S124" s="53">
        <v>0</v>
      </c>
      <c r="T124" s="53"/>
      <c r="U124" s="53">
        <v>0</v>
      </c>
      <c r="V124" s="53"/>
      <c r="W124" s="53">
        <f t="shared" si="29"/>
        <v>0</v>
      </c>
      <c r="X124" s="137"/>
      <c r="Y124" s="126" t="s">
        <v>151</v>
      </c>
      <c r="AA124" s="126" t="s">
        <v>13</v>
      </c>
      <c r="AB124" s="126"/>
      <c r="AC124" s="53">
        <v>0</v>
      </c>
      <c r="AD124" s="53"/>
      <c r="AE124" s="53">
        <v>0</v>
      </c>
      <c r="AF124" s="53"/>
      <c r="AG124" s="53">
        <v>0</v>
      </c>
      <c r="AH124" s="53"/>
      <c r="AI124" s="45">
        <f t="shared" si="30"/>
        <v>0</v>
      </c>
      <c r="AJ124" s="45"/>
      <c r="AK124" s="53">
        <v>0</v>
      </c>
      <c r="AL124" s="45"/>
      <c r="AM124" s="53">
        <v>0</v>
      </c>
      <c r="AN124" s="53"/>
      <c r="AO124" s="53">
        <v>0</v>
      </c>
      <c r="AP124" s="53"/>
      <c r="AQ124" s="53">
        <v>0</v>
      </c>
      <c r="AR124" s="53"/>
      <c r="AS124" s="45">
        <f t="shared" si="34"/>
        <v>0</v>
      </c>
      <c r="AT124" s="45"/>
      <c r="AU124" s="53">
        <v>0</v>
      </c>
      <c r="AV124" s="53"/>
      <c r="AW124" s="53">
        <v>0</v>
      </c>
      <c r="AX124" s="53"/>
      <c r="AY124" s="53">
        <f t="shared" si="31"/>
        <v>0</v>
      </c>
      <c r="AZ124" s="53"/>
      <c r="BA124" s="126" t="s">
        <v>151</v>
      </c>
      <c r="BC124" s="126" t="s">
        <v>13</v>
      </c>
      <c r="BD124" s="137"/>
      <c r="BE124" s="53">
        <v>0</v>
      </c>
      <c r="BF124" s="53"/>
      <c r="BG124" s="53">
        <v>0</v>
      </c>
      <c r="BH124" s="53"/>
      <c r="BI124" s="53">
        <v>0</v>
      </c>
      <c r="BJ124" s="53"/>
      <c r="BK124" s="53">
        <v>0</v>
      </c>
      <c r="BL124" s="137"/>
      <c r="BM124" s="137">
        <f t="shared" si="32"/>
        <v>0</v>
      </c>
      <c r="BN124" s="139" t="s">
        <v>347</v>
      </c>
      <c r="BR124" s="124"/>
      <c r="BS124" s="137"/>
      <c r="BT124" s="137"/>
      <c r="BU124" s="137"/>
      <c r="BV124" s="137"/>
      <c r="BW124" s="137"/>
      <c r="BX124" s="127"/>
      <c r="BY124" s="127"/>
      <c r="BZ124" s="137"/>
      <c r="CA124" s="137"/>
      <c r="CB124" s="137"/>
      <c r="CC124" s="137"/>
      <c r="CD124" s="137"/>
      <c r="CE124" s="137"/>
      <c r="CF124" s="126"/>
      <c r="CH124" s="126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9"/>
    </row>
    <row r="125" spans="1:104" s="55" customFormat="1" ht="12.75" customHeight="1">
      <c r="A125" s="35" t="s">
        <v>152</v>
      </c>
      <c r="B125" s="51"/>
      <c r="C125" s="35" t="s">
        <v>153</v>
      </c>
      <c r="D125" s="44"/>
      <c r="E125" s="53">
        <f t="shared" si="33"/>
        <v>9307164</v>
      </c>
      <c r="F125" s="53"/>
      <c r="G125" s="53">
        <v>27003531</v>
      </c>
      <c r="H125" s="53"/>
      <c r="I125" s="53">
        <v>36310695</v>
      </c>
      <c r="J125" s="53"/>
      <c r="K125" s="53">
        <f t="shared" si="28"/>
        <v>682987</v>
      </c>
      <c r="L125" s="53"/>
      <c r="M125" s="53">
        <v>1496455</v>
      </c>
      <c r="N125" s="53"/>
      <c r="O125" s="53">
        <v>2179442</v>
      </c>
      <c r="P125" s="53"/>
      <c r="Q125" s="53">
        <v>25958531</v>
      </c>
      <c r="R125" s="53"/>
      <c r="S125" s="53">
        <v>2998376</v>
      </c>
      <c r="T125" s="53"/>
      <c r="U125" s="53">
        <v>5174346</v>
      </c>
      <c r="V125" s="53"/>
      <c r="W125" s="53">
        <f t="shared" si="29"/>
        <v>34131253</v>
      </c>
      <c r="X125" s="53"/>
      <c r="Y125" s="35" t="s">
        <v>152</v>
      </c>
      <c r="AA125" s="35" t="s">
        <v>153</v>
      </c>
      <c r="AB125" s="35"/>
      <c r="AC125" s="53">
        <v>7816211</v>
      </c>
      <c r="AD125" s="53"/>
      <c r="AE125" s="53">
        <f>10138810-1728661</f>
        <v>8410149</v>
      </c>
      <c r="AF125" s="53"/>
      <c r="AG125" s="53">
        <v>1728661</v>
      </c>
      <c r="AH125" s="53"/>
      <c r="AI125" s="45">
        <f t="shared" si="30"/>
        <v>-2322599</v>
      </c>
      <c r="AJ125" s="45"/>
      <c r="AK125" s="53">
        <v>-48977</v>
      </c>
      <c r="AL125" s="45"/>
      <c r="AM125" s="53">
        <v>0</v>
      </c>
      <c r="AN125" s="53"/>
      <c r="AO125" s="53">
        <v>0</v>
      </c>
      <c r="AP125" s="53"/>
      <c r="AQ125" s="53">
        <v>1126804</v>
      </c>
      <c r="AR125" s="53"/>
      <c r="AS125" s="45">
        <f t="shared" si="34"/>
        <v>-1244772</v>
      </c>
      <c r="AT125" s="45"/>
      <c r="AU125" s="53">
        <v>0</v>
      </c>
      <c r="AV125" s="53"/>
      <c r="AW125" s="53">
        <v>0</v>
      </c>
      <c r="AX125" s="53"/>
      <c r="AY125" s="53">
        <f t="shared" si="31"/>
        <v>8624177</v>
      </c>
      <c r="AZ125" s="53"/>
      <c r="BA125" s="35" t="s">
        <v>152</v>
      </c>
      <c r="BC125" s="35" t="s">
        <v>153</v>
      </c>
      <c r="BD125" s="53"/>
      <c r="BE125" s="53">
        <v>1045000</v>
      </c>
      <c r="BF125" s="53"/>
      <c r="BG125" s="53">
        <v>0</v>
      </c>
      <c r="BH125" s="53"/>
      <c r="BI125" s="53">
        <v>0</v>
      </c>
      <c r="BJ125" s="53"/>
      <c r="BK125" s="53">
        <v>451455</v>
      </c>
      <c r="BL125" s="53"/>
      <c r="BM125" s="53">
        <f t="shared" si="32"/>
        <v>1496455</v>
      </c>
      <c r="BN125" s="54" t="s">
        <v>347</v>
      </c>
      <c r="BO125" s="55" t="s">
        <v>405</v>
      </c>
      <c r="BP125" s="35"/>
      <c r="BQ125" s="35"/>
      <c r="BR125" s="51"/>
      <c r="BS125" s="53"/>
      <c r="BT125" s="53"/>
      <c r="BU125" s="53"/>
      <c r="BV125" s="53"/>
      <c r="BW125" s="45"/>
      <c r="BX125" s="45"/>
      <c r="BY125" s="53"/>
      <c r="BZ125" s="53"/>
      <c r="CA125" s="53"/>
      <c r="CB125" s="53"/>
      <c r="CC125" s="53"/>
      <c r="CD125" s="53"/>
      <c r="CE125" s="53"/>
      <c r="CF125" s="35"/>
      <c r="CH125" s="35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4"/>
      <c r="CU125" s="35"/>
      <c r="CV125" s="35"/>
      <c r="CW125" s="35"/>
      <c r="CX125" s="35"/>
      <c r="CY125" s="35"/>
      <c r="CZ125" s="35"/>
    </row>
    <row r="126" spans="1:104" s="140" customFormat="1" ht="12.75" hidden="1" customHeight="1">
      <c r="A126" s="126" t="s">
        <v>154</v>
      </c>
      <c r="B126" s="124"/>
      <c r="C126" s="126" t="s">
        <v>27</v>
      </c>
      <c r="D126" s="121"/>
      <c r="E126" s="53">
        <f t="shared" si="33"/>
        <v>0</v>
      </c>
      <c r="F126" s="53"/>
      <c r="G126" s="53">
        <v>0</v>
      </c>
      <c r="H126" s="53"/>
      <c r="I126" s="53">
        <v>0</v>
      </c>
      <c r="J126" s="53"/>
      <c r="K126" s="53">
        <f t="shared" si="28"/>
        <v>0</v>
      </c>
      <c r="L126" s="53"/>
      <c r="M126" s="53">
        <v>0</v>
      </c>
      <c r="N126" s="53"/>
      <c r="O126" s="53">
        <v>0</v>
      </c>
      <c r="P126" s="53"/>
      <c r="Q126" s="53">
        <v>0</v>
      </c>
      <c r="R126" s="53"/>
      <c r="S126" s="53">
        <v>0</v>
      </c>
      <c r="T126" s="53"/>
      <c r="U126" s="53">
        <v>0</v>
      </c>
      <c r="V126" s="53"/>
      <c r="W126" s="53">
        <f t="shared" si="29"/>
        <v>0</v>
      </c>
      <c r="X126" s="137"/>
      <c r="Y126" s="126" t="s">
        <v>154</v>
      </c>
      <c r="AA126" s="126" t="s">
        <v>27</v>
      </c>
      <c r="AB126" s="126"/>
      <c r="AC126" s="53">
        <v>0</v>
      </c>
      <c r="AD126" s="53"/>
      <c r="AE126" s="53">
        <v>0</v>
      </c>
      <c r="AF126" s="53"/>
      <c r="AG126" s="53">
        <v>0</v>
      </c>
      <c r="AH126" s="53"/>
      <c r="AI126" s="45">
        <f t="shared" si="30"/>
        <v>0</v>
      </c>
      <c r="AJ126" s="45"/>
      <c r="AK126" s="53">
        <v>0</v>
      </c>
      <c r="AL126" s="45"/>
      <c r="AM126" s="53">
        <v>0</v>
      </c>
      <c r="AN126" s="53"/>
      <c r="AO126" s="53">
        <v>0</v>
      </c>
      <c r="AP126" s="53"/>
      <c r="AQ126" s="53">
        <v>0</v>
      </c>
      <c r="AR126" s="53"/>
      <c r="AS126" s="45">
        <f t="shared" si="34"/>
        <v>0</v>
      </c>
      <c r="AT126" s="45"/>
      <c r="AU126" s="53">
        <v>0</v>
      </c>
      <c r="AV126" s="53"/>
      <c r="AW126" s="53">
        <v>0</v>
      </c>
      <c r="AX126" s="53"/>
      <c r="AY126" s="53">
        <f t="shared" si="31"/>
        <v>0</v>
      </c>
      <c r="AZ126" s="53"/>
      <c r="BA126" s="126" t="s">
        <v>154</v>
      </c>
      <c r="BC126" s="126" t="s">
        <v>27</v>
      </c>
      <c r="BD126" s="137"/>
      <c r="BE126" s="53">
        <v>0</v>
      </c>
      <c r="BF126" s="53"/>
      <c r="BG126" s="53">
        <v>0</v>
      </c>
      <c r="BH126" s="53"/>
      <c r="BI126" s="53">
        <v>0</v>
      </c>
      <c r="BJ126" s="53"/>
      <c r="BK126" s="53">
        <v>0</v>
      </c>
      <c r="BL126" s="137"/>
      <c r="BM126" s="137">
        <f t="shared" si="32"/>
        <v>0</v>
      </c>
      <c r="BN126" s="139" t="s">
        <v>347</v>
      </c>
      <c r="BR126" s="124"/>
      <c r="BS126" s="137"/>
      <c r="BT126" s="137"/>
      <c r="BU126" s="137"/>
      <c r="BV126" s="137"/>
      <c r="BW126" s="127"/>
      <c r="BX126" s="127"/>
      <c r="BY126" s="137"/>
      <c r="BZ126" s="137"/>
      <c r="CA126" s="137"/>
      <c r="CB126" s="137"/>
      <c r="CC126" s="137"/>
      <c r="CD126" s="137"/>
      <c r="CE126" s="137"/>
      <c r="CF126" s="126"/>
      <c r="CH126" s="126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9"/>
    </row>
    <row r="127" spans="1:104" s="55" customFormat="1" ht="12.75" customHeight="1">
      <c r="A127" s="35" t="s">
        <v>155</v>
      </c>
      <c r="C127" s="35" t="s">
        <v>40</v>
      </c>
      <c r="D127" s="44"/>
      <c r="E127" s="53">
        <f t="shared" si="33"/>
        <v>1697297</v>
      </c>
      <c r="F127" s="53"/>
      <c r="G127" s="53">
        <v>4997855</v>
      </c>
      <c r="H127" s="53"/>
      <c r="I127" s="53">
        <v>6695152</v>
      </c>
      <c r="J127" s="53"/>
      <c r="K127" s="53">
        <f t="shared" si="28"/>
        <v>544127</v>
      </c>
      <c r="L127" s="53"/>
      <c r="M127" s="53">
        <v>4635908</v>
      </c>
      <c r="N127" s="53"/>
      <c r="O127" s="53">
        <v>5180035</v>
      </c>
      <c r="P127" s="53"/>
      <c r="Q127" s="53">
        <v>304971</v>
      </c>
      <c r="R127" s="53"/>
      <c r="S127" s="53">
        <v>22500</v>
      </c>
      <c r="T127" s="53"/>
      <c r="U127" s="53">
        <v>1187646</v>
      </c>
      <c r="V127" s="53"/>
      <c r="W127" s="53">
        <f t="shared" si="29"/>
        <v>1515117</v>
      </c>
      <c r="X127" s="53"/>
      <c r="Y127" s="35" t="s">
        <v>155</v>
      </c>
      <c r="AA127" s="35" t="s">
        <v>40</v>
      </c>
      <c r="AB127" s="35"/>
      <c r="AC127" s="53">
        <v>2933695</v>
      </c>
      <c r="AD127" s="53"/>
      <c r="AE127" s="53">
        <f>2840938-563263</f>
        <v>2277675</v>
      </c>
      <c r="AF127" s="53"/>
      <c r="AG127" s="53">
        <v>563263</v>
      </c>
      <c r="AH127" s="53"/>
      <c r="AI127" s="45">
        <f t="shared" si="30"/>
        <v>92757</v>
      </c>
      <c r="AJ127" s="45"/>
      <c r="AK127" s="53">
        <v>-200722</v>
      </c>
      <c r="AL127" s="45"/>
      <c r="AM127" s="53">
        <v>0</v>
      </c>
      <c r="AN127" s="53"/>
      <c r="AO127" s="53">
        <v>0</v>
      </c>
      <c r="AP127" s="53"/>
      <c r="AQ127" s="53">
        <v>0</v>
      </c>
      <c r="AR127" s="53"/>
      <c r="AS127" s="45">
        <f t="shared" si="34"/>
        <v>-107965</v>
      </c>
      <c r="AT127" s="45"/>
      <c r="AU127" s="53">
        <v>0</v>
      </c>
      <c r="AV127" s="53"/>
      <c r="AW127" s="53">
        <v>0</v>
      </c>
      <c r="AX127" s="53"/>
      <c r="AY127" s="53">
        <f t="shared" si="31"/>
        <v>1153170</v>
      </c>
      <c r="AZ127" s="53"/>
      <c r="BA127" s="35" t="s">
        <v>155</v>
      </c>
      <c r="BC127" s="35" t="s">
        <v>40</v>
      </c>
      <c r="BD127" s="53"/>
      <c r="BE127" s="53">
        <f>3479922+270000</f>
        <v>3749922</v>
      </c>
      <c r="BF127" s="53"/>
      <c r="BG127" s="53">
        <v>0</v>
      </c>
      <c r="BH127" s="53"/>
      <c r="BI127" s="53">
        <f>527255+20737</f>
        <v>547992</v>
      </c>
      <c r="BJ127" s="53"/>
      <c r="BK127" s="53">
        <f>96938+156823+375000+20000</f>
        <v>648761</v>
      </c>
      <c r="BL127" s="53"/>
      <c r="BM127" s="53">
        <f t="shared" si="32"/>
        <v>4946675</v>
      </c>
      <c r="BN127" s="54" t="s">
        <v>347</v>
      </c>
      <c r="BO127" s="55" t="s">
        <v>406</v>
      </c>
      <c r="BR127" s="51"/>
      <c r="BS127" s="53"/>
      <c r="BT127" s="53"/>
      <c r="BU127" s="53"/>
      <c r="BV127" s="53"/>
      <c r="BW127" s="53"/>
      <c r="BX127" s="45"/>
      <c r="BY127" s="45"/>
      <c r="BZ127" s="53"/>
      <c r="CA127" s="53"/>
      <c r="CB127" s="53"/>
      <c r="CC127" s="53"/>
      <c r="CD127" s="53"/>
      <c r="CE127" s="53"/>
      <c r="CF127" s="35"/>
      <c r="CH127" s="35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4"/>
    </row>
    <row r="128" spans="1:104" s="55" customFormat="1" ht="12.75" customHeight="1">
      <c r="A128" s="35" t="s">
        <v>156</v>
      </c>
      <c r="B128" s="51"/>
      <c r="C128" s="35" t="s">
        <v>156</v>
      </c>
      <c r="D128" s="44"/>
      <c r="E128" s="53">
        <f t="shared" si="33"/>
        <v>6955735</v>
      </c>
      <c r="F128" s="53"/>
      <c r="G128" s="53">
        <v>24743125</v>
      </c>
      <c r="H128" s="53"/>
      <c r="I128" s="53">
        <v>31698860</v>
      </c>
      <c r="J128" s="53"/>
      <c r="K128" s="53">
        <f t="shared" si="28"/>
        <v>7417125</v>
      </c>
      <c r="L128" s="53"/>
      <c r="M128" s="53">
        <v>20614309</v>
      </c>
      <c r="N128" s="53"/>
      <c r="O128" s="53">
        <v>28031434</v>
      </c>
      <c r="P128" s="53"/>
      <c r="Q128" s="53">
        <v>5014062</v>
      </c>
      <c r="R128" s="53"/>
      <c r="S128" s="53">
        <v>0</v>
      </c>
      <c r="T128" s="53"/>
      <c r="U128" s="53">
        <v>-1346636</v>
      </c>
      <c r="V128" s="53"/>
      <c r="W128" s="53">
        <f t="shared" si="29"/>
        <v>3667426</v>
      </c>
      <c r="X128" s="53"/>
      <c r="Y128" s="35" t="s">
        <v>156</v>
      </c>
      <c r="AA128" s="35" t="s">
        <v>156</v>
      </c>
      <c r="AB128" s="35"/>
      <c r="AC128" s="53">
        <v>5168906</v>
      </c>
      <c r="AD128" s="53"/>
      <c r="AE128" s="53">
        <f>5774741-1880989</f>
        <v>3893752</v>
      </c>
      <c r="AF128" s="53"/>
      <c r="AG128" s="53">
        <v>1880989</v>
      </c>
      <c r="AH128" s="53"/>
      <c r="AI128" s="45">
        <f t="shared" si="30"/>
        <v>-605835</v>
      </c>
      <c r="AJ128" s="45"/>
      <c r="AK128" s="53">
        <v>-605420</v>
      </c>
      <c r="AL128" s="45"/>
      <c r="AM128" s="53">
        <v>37895</v>
      </c>
      <c r="AN128" s="53"/>
      <c r="AO128" s="53">
        <v>0</v>
      </c>
      <c r="AP128" s="53"/>
      <c r="AQ128" s="53">
        <v>91608</v>
      </c>
      <c r="AR128" s="53"/>
      <c r="AS128" s="45">
        <f t="shared" si="34"/>
        <v>-1081752</v>
      </c>
      <c r="AT128" s="45"/>
      <c r="AU128" s="53">
        <v>0</v>
      </c>
      <c r="AV128" s="53"/>
      <c r="AW128" s="53">
        <v>0</v>
      </c>
      <c r="AX128" s="53"/>
      <c r="AY128" s="53">
        <f t="shared" si="31"/>
        <v>-461390</v>
      </c>
      <c r="AZ128" s="53"/>
      <c r="BA128" s="35" t="s">
        <v>156</v>
      </c>
      <c r="BC128" s="35" t="s">
        <v>156</v>
      </c>
      <c r="BD128" s="53"/>
      <c r="BE128" s="53">
        <f>1648551+125000</f>
        <v>1773551</v>
      </c>
      <c r="BF128" s="53"/>
      <c r="BG128" s="53">
        <v>0</v>
      </c>
      <c r="BH128" s="53"/>
      <c r="BI128" s="53">
        <f>17648842+971380+1402694+106803</f>
        <v>20129719</v>
      </c>
      <c r="BJ128" s="53"/>
      <c r="BK128" s="53">
        <f>345536+86312</f>
        <v>431848</v>
      </c>
      <c r="BL128" s="53"/>
      <c r="BM128" s="53">
        <f t="shared" si="32"/>
        <v>22335118</v>
      </c>
      <c r="BN128" s="54" t="s">
        <v>347</v>
      </c>
      <c r="BO128" s="35"/>
      <c r="BR128" s="51"/>
      <c r="BS128" s="53"/>
      <c r="BT128" s="53"/>
      <c r="BU128" s="53"/>
      <c r="BV128" s="53"/>
      <c r="BW128" s="45"/>
      <c r="BX128" s="45"/>
      <c r="BY128" s="53"/>
      <c r="BZ128" s="53"/>
      <c r="CA128" s="53"/>
      <c r="CB128" s="53"/>
      <c r="CC128" s="53"/>
      <c r="CD128" s="53"/>
      <c r="CE128" s="53"/>
      <c r="CF128" s="35"/>
      <c r="CH128" s="35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4"/>
      <c r="CT128" s="35"/>
    </row>
    <row r="129" spans="1:98" s="55" customFormat="1" ht="12.75" hidden="1" customHeight="1">
      <c r="A129" s="35" t="s">
        <v>157</v>
      </c>
      <c r="B129" s="51"/>
      <c r="C129" s="35" t="s">
        <v>33</v>
      </c>
      <c r="D129" s="44"/>
      <c r="E129" s="53">
        <f t="shared" si="33"/>
        <v>0</v>
      </c>
      <c r="F129" s="53"/>
      <c r="G129" s="53">
        <v>0</v>
      </c>
      <c r="H129" s="53"/>
      <c r="I129" s="53">
        <v>0</v>
      </c>
      <c r="J129" s="53"/>
      <c r="K129" s="53">
        <f t="shared" si="28"/>
        <v>0</v>
      </c>
      <c r="L129" s="53"/>
      <c r="M129" s="53">
        <v>0</v>
      </c>
      <c r="N129" s="53"/>
      <c r="O129" s="53">
        <v>0</v>
      </c>
      <c r="P129" s="53"/>
      <c r="Q129" s="53">
        <v>0</v>
      </c>
      <c r="R129" s="53"/>
      <c r="S129" s="53">
        <v>0</v>
      </c>
      <c r="T129" s="53"/>
      <c r="U129" s="53">
        <v>0</v>
      </c>
      <c r="V129" s="53"/>
      <c r="W129" s="53">
        <f t="shared" si="29"/>
        <v>0</v>
      </c>
      <c r="X129" s="53"/>
      <c r="Y129" s="35" t="s">
        <v>157</v>
      </c>
      <c r="AA129" s="35" t="s">
        <v>33</v>
      </c>
      <c r="AB129" s="35"/>
      <c r="AC129" s="53">
        <v>0</v>
      </c>
      <c r="AD129" s="53"/>
      <c r="AE129" s="53">
        <v>0</v>
      </c>
      <c r="AF129" s="53"/>
      <c r="AG129" s="53">
        <v>0</v>
      </c>
      <c r="AH129" s="53"/>
      <c r="AI129" s="45">
        <f t="shared" si="30"/>
        <v>0</v>
      </c>
      <c r="AJ129" s="45"/>
      <c r="AK129" s="53">
        <v>0</v>
      </c>
      <c r="AL129" s="45"/>
      <c r="AM129" s="53">
        <v>0</v>
      </c>
      <c r="AN129" s="53"/>
      <c r="AO129" s="53">
        <v>0</v>
      </c>
      <c r="AP129" s="53"/>
      <c r="AQ129" s="53">
        <v>0</v>
      </c>
      <c r="AR129" s="53"/>
      <c r="AS129" s="45">
        <f t="shared" si="34"/>
        <v>0</v>
      </c>
      <c r="AT129" s="45"/>
      <c r="AU129" s="53">
        <v>0</v>
      </c>
      <c r="AV129" s="53"/>
      <c r="AW129" s="53">
        <v>0</v>
      </c>
      <c r="AX129" s="53"/>
      <c r="AY129" s="53">
        <f t="shared" si="31"/>
        <v>0</v>
      </c>
      <c r="AZ129" s="53"/>
      <c r="BA129" s="35" t="s">
        <v>157</v>
      </c>
      <c r="BC129" s="35" t="s">
        <v>33</v>
      </c>
      <c r="BD129" s="53"/>
      <c r="BE129" s="53">
        <v>0</v>
      </c>
      <c r="BF129" s="53"/>
      <c r="BG129" s="53">
        <v>0</v>
      </c>
      <c r="BH129" s="53"/>
      <c r="BI129" s="53">
        <v>0</v>
      </c>
      <c r="BJ129" s="53"/>
      <c r="BK129" s="53">
        <v>0</v>
      </c>
      <c r="BL129" s="53"/>
      <c r="BM129" s="53">
        <f t="shared" si="32"/>
        <v>0</v>
      </c>
      <c r="BN129" s="54" t="s">
        <v>347</v>
      </c>
      <c r="BR129" s="51"/>
      <c r="BS129" s="53"/>
      <c r="BT129" s="53"/>
      <c r="BU129" s="53"/>
      <c r="BV129" s="53"/>
      <c r="BW129" s="53"/>
      <c r="BX129" s="45"/>
      <c r="BY129" s="45"/>
      <c r="BZ129" s="53"/>
      <c r="CA129" s="53"/>
      <c r="CB129" s="53"/>
      <c r="CC129" s="53"/>
      <c r="CD129" s="53"/>
      <c r="CE129" s="53"/>
      <c r="CF129" s="35"/>
      <c r="CH129" s="35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4"/>
    </row>
    <row r="130" spans="1:98" s="55" customFormat="1" ht="12.75" customHeight="1">
      <c r="A130" s="35" t="s">
        <v>158</v>
      </c>
      <c r="B130" s="51"/>
      <c r="C130" s="35" t="s">
        <v>159</v>
      </c>
      <c r="D130" s="44"/>
      <c r="E130" s="53">
        <f t="shared" si="33"/>
        <v>18047376</v>
      </c>
      <c r="F130" s="53"/>
      <c r="G130" s="53">
        <v>160956853</v>
      </c>
      <c r="H130" s="53"/>
      <c r="I130" s="53">
        <v>179004229</v>
      </c>
      <c r="J130" s="53"/>
      <c r="K130" s="53">
        <f t="shared" si="28"/>
        <v>2677876</v>
      </c>
      <c r="L130" s="53"/>
      <c r="M130" s="53">
        <v>145722538</v>
      </c>
      <c r="N130" s="53"/>
      <c r="O130" s="53">
        <v>148400414</v>
      </c>
      <c r="P130" s="53"/>
      <c r="Q130" s="53">
        <v>14827697</v>
      </c>
      <c r="R130" s="53"/>
      <c r="S130" s="53">
        <v>76255</v>
      </c>
      <c r="T130" s="53"/>
      <c r="U130" s="53">
        <v>15699863</v>
      </c>
      <c r="V130" s="53"/>
      <c r="W130" s="53">
        <f t="shared" si="29"/>
        <v>30603815</v>
      </c>
      <c r="X130" s="53"/>
      <c r="Y130" s="35" t="s">
        <v>158</v>
      </c>
      <c r="AA130" s="35" t="s">
        <v>159</v>
      </c>
      <c r="AB130" s="35"/>
      <c r="AC130" s="53">
        <v>7590941</v>
      </c>
      <c r="AD130" s="53"/>
      <c r="AE130" s="53">
        <f>4470601-768226</f>
        <v>3702375</v>
      </c>
      <c r="AF130" s="53"/>
      <c r="AG130" s="53">
        <v>768226</v>
      </c>
      <c r="AH130" s="53"/>
      <c r="AI130" s="45">
        <f t="shared" si="30"/>
        <v>3120340</v>
      </c>
      <c r="AJ130" s="45"/>
      <c r="AK130" s="53">
        <v>811874</v>
      </c>
      <c r="AL130" s="45"/>
      <c r="AM130" s="53">
        <v>0</v>
      </c>
      <c r="AN130" s="53"/>
      <c r="AO130" s="53">
        <v>83301</v>
      </c>
      <c r="AP130" s="53"/>
      <c r="AQ130" s="53">
        <v>759351</v>
      </c>
      <c r="AR130" s="53"/>
      <c r="AS130" s="45">
        <f t="shared" si="34"/>
        <v>4608264</v>
      </c>
      <c r="AT130" s="45"/>
      <c r="AU130" s="53">
        <v>0</v>
      </c>
      <c r="AV130" s="53"/>
      <c r="AW130" s="53">
        <v>0</v>
      </c>
      <c r="AX130" s="53"/>
      <c r="AY130" s="53">
        <f t="shared" si="31"/>
        <v>15369500</v>
      </c>
      <c r="AZ130" s="53"/>
      <c r="BA130" s="35" t="s">
        <v>158</v>
      </c>
      <c r="BC130" s="35" t="s">
        <v>159</v>
      </c>
      <c r="BD130" s="53"/>
      <c r="BE130" s="53">
        <f>372265+214533</f>
        <v>586798</v>
      </c>
      <c r="BF130" s="53"/>
      <c r="BG130" s="53">
        <f>118728214+319489</f>
        <v>119047703</v>
      </c>
      <c r="BH130" s="53"/>
      <c r="BI130" s="53">
        <f>33712+7927</f>
        <v>41639</v>
      </c>
      <c r="BJ130" s="53"/>
      <c r="BK130" s="53">
        <f>26529900+58447+77839</f>
        <v>26666186</v>
      </c>
      <c r="BL130" s="53"/>
      <c r="BM130" s="53">
        <f t="shared" si="32"/>
        <v>146342326</v>
      </c>
      <c r="BN130" s="54" t="s">
        <v>347</v>
      </c>
      <c r="BR130" s="51"/>
      <c r="BS130" s="53"/>
      <c r="BT130" s="53"/>
      <c r="BU130" s="53"/>
      <c r="BV130" s="53"/>
      <c r="BW130" s="53"/>
      <c r="BX130" s="45"/>
      <c r="BY130" s="45"/>
      <c r="BZ130" s="53"/>
      <c r="CA130" s="53"/>
      <c r="CB130" s="53"/>
      <c r="CC130" s="53"/>
      <c r="CD130" s="53"/>
      <c r="CE130" s="53"/>
      <c r="CF130" s="35"/>
      <c r="CH130" s="35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4"/>
    </row>
    <row r="131" spans="1:98" s="55" customFormat="1" ht="12.75" customHeight="1">
      <c r="A131" s="35" t="s">
        <v>160</v>
      </c>
      <c r="B131" s="51"/>
      <c r="C131" s="35" t="s">
        <v>111</v>
      </c>
      <c r="D131" s="44"/>
      <c r="E131" s="53">
        <f t="shared" si="33"/>
        <v>15040255</v>
      </c>
      <c r="F131" s="53"/>
      <c r="G131" s="53">
        <v>71129438</v>
      </c>
      <c r="H131" s="53"/>
      <c r="I131" s="53">
        <v>86169693</v>
      </c>
      <c r="J131" s="53"/>
      <c r="K131" s="53">
        <f t="shared" si="28"/>
        <v>1515063</v>
      </c>
      <c r="L131" s="53"/>
      <c r="M131" s="53">
        <v>30636300</v>
      </c>
      <c r="N131" s="53"/>
      <c r="O131" s="53">
        <v>32151363</v>
      </c>
      <c r="P131" s="53"/>
      <c r="Q131" s="53">
        <v>39460438</v>
      </c>
      <c r="R131" s="53"/>
      <c r="S131" s="53">
        <v>3297366</v>
      </c>
      <c r="T131" s="53"/>
      <c r="U131" s="53">
        <v>11260526</v>
      </c>
      <c r="V131" s="53"/>
      <c r="W131" s="53">
        <f t="shared" si="29"/>
        <v>54018330</v>
      </c>
      <c r="X131" s="53"/>
      <c r="Y131" s="35" t="s">
        <v>160</v>
      </c>
      <c r="AA131" s="35" t="s">
        <v>111</v>
      </c>
      <c r="AB131" s="35"/>
      <c r="AC131" s="53">
        <v>5413042</v>
      </c>
      <c r="AD131" s="53"/>
      <c r="AE131" s="53">
        <f>4792036-2206703</f>
        <v>2585333</v>
      </c>
      <c r="AF131" s="53"/>
      <c r="AG131" s="53">
        <v>2206703</v>
      </c>
      <c r="AH131" s="53"/>
      <c r="AI131" s="45">
        <f t="shared" si="30"/>
        <v>621006</v>
      </c>
      <c r="AJ131" s="45"/>
      <c r="AK131" s="53">
        <v>-1436348</v>
      </c>
      <c r="AL131" s="45"/>
      <c r="AM131" s="53">
        <v>4000</v>
      </c>
      <c r="AN131" s="53"/>
      <c r="AO131" s="53">
        <v>0</v>
      </c>
      <c r="AP131" s="53"/>
      <c r="AQ131" s="53">
        <v>336954</v>
      </c>
      <c r="AR131" s="53"/>
      <c r="AS131" s="45">
        <f t="shared" si="34"/>
        <v>-474388</v>
      </c>
      <c r="AT131" s="45"/>
      <c r="AU131" s="53">
        <v>0</v>
      </c>
      <c r="AV131" s="53"/>
      <c r="AW131" s="53">
        <v>0</v>
      </c>
      <c r="AX131" s="53"/>
      <c r="AY131" s="53">
        <f t="shared" si="31"/>
        <v>13525192</v>
      </c>
      <c r="AZ131" s="53"/>
      <c r="BA131" s="35" t="s">
        <v>160</v>
      </c>
      <c r="BC131" s="35" t="s">
        <v>111</v>
      </c>
      <c r="BD131" s="53"/>
      <c r="BE131" s="53">
        <f>30564000+1105000</f>
        <v>31669000</v>
      </c>
      <c r="BF131" s="53"/>
      <c r="BG131" s="53">
        <v>0</v>
      </c>
      <c r="BH131" s="53"/>
      <c r="BI131" s="53">
        <v>0</v>
      </c>
      <c r="BJ131" s="53"/>
      <c r="BK131" s="53">
        <v>72300</v>
      </c>
      <c r="BL131" s="53"/>
      <c r="BM131" s="53">
        <f t="shared" si="32"/>
        <v>31741300</v>
      </c>
      <c r="BN131" s="54" t="s">
        <v>347</v>
      </c>
      <c r="BR131" s="51"/>
      <c r="BS131" s="53"/>
      <c r="BT131" s="53"/>
      <c r="BU131" s="53"/>
      <c r="BV131" s="53"/>
      <c r="BW131" s="53"/>
      <c r="BX131" s="45"/>
      <c r="BY131" s="45"/>
      <c r="BZ131" s="53"/>
      <c r="CA131" s="53"/>
      <c r="CB131" s="53"/>
      <c r="CC131" s="53"/>
      <c r="CD131" s="53"/>
      <c r="CE131" s="53"/>
      <c r="CF131" s="35"/>
      <c r="CH131" s="35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4"/>
    </row>
    <row r="132" spans="1:98" s="55" customFormat="1" ht="12.75" customHeight="1">
      <c r="A132" s="35" t="s">
        <v>161</v>
      </c>
      <c r="C132" s="35" t="s">
        <v>15</v>
      </c>
      <c r="D132" s="44"/>
      <c r="E132" s="53">
        <f t="shared" si="33"/>
        <v>5604112</v>
      </c>
      <c r="F132" s="53"/>
      <c r="G132" s="53">
        <v>45822209</v>
      </c>
      <c r="H132" s="53"/>
      <c r="I132" s="53">
        <v>51426321</v>
      </c>
      <c r="J132" s="53"/>
      <c r="K132" s="53">
        <f t="shared" si="28"/>
        <v>507043</v>
      </c>
      <c r="L132" s="53"/>
      <c r="M132" s="53">
        <v>32656795</v>
      </c>
      <c r="N132" s="53"/>
      <c r="O132" s="53">
        <v>33163838</v>
      </c>
      <c r="P132" s="53"/>
      <c r="Q132" s="53">
        <v>13461798</v>
      </c>
      <c r="R132" s="53"/>
      <c r="S132" s="53">
        <v>0</v>
      </c>
      <c r="T132" s="53"/>
      <c r="U132" s="53">
        <v>4800685</v>
      </c>
      <c r="V132" s="53"/>
      <c r="W132" s="53">
        <f t="shared" si="29"/>
        <v>18262483</v>
      </c>
      <c r="X132" s="53"/>
      <c r="Y132" s="35" t="s">
        <v>161</v>
      </c>
      <c r="AA132" s="35" t="s">
        <v>15</v>
      </c>
      <c r="AB132" s="35"/>
      <c r="AC132" s="53">
        <v>8476434</v>
      </c>
      <c r="AD132" s="53"/>
      <c r="AE132" s="53">
        <f>7036897-1511413</f>
        <v>5525484</v>
      </c>
      <c r="AF132" s="53"/>
      <c r="AG132" s="53">
        <v>1511413</v>
      </c>
      <c r="AH132" s="53"/>
      <c r="AI132" s="45">
        <f t="shared" si="30"/>
        <v>1439537</v>
      </c>
      <c r="AJ132" s="45"/>
      <c r="AK132" s="53">
        <v>-474038</v>
      </c>
      <c r="AL132" s="45"/>
      <c r="AM132" s="53">
        <v>0</v>
      </c>
      <c r="AN132" s="53"/>
      <c r="AO132" s="53">
        <v>0</v>
      </c>
      <c r="AP132" s="53"/>
      <c r="AQ132" s="53">
        <v>0</v>
      </c>
      <c r="AR132" s="53"/>
      <c r="AS132" s="45">
        <f t="shared" si="34"/>
        <v>965499</v>
      </c>
      <c r="AT132" s="45"/>
      <c r="AU132" s="53">
        <v>0</v>
      </c>
      <c r="AV132" s="53"/>
      <c r="AW132" s="53">
        <v>0</v>
      </c>
      <c r="AX132" s="53"/>
      <c r="AY132" s="53">
        <f t="shared" si="31"/>
        <v>5097069</v>
      </c>
      <c r="AZ132" s="53"/>
      <c r="BA132" s="35" t="s">
        <v>161</v>
      </c>
      <c r="BC132" s="35" t="s">
        <v>15</v>
      </c>
      <c r="BD132" s="53"/>
      <c r="BE132" s="53">
        <v>0</v>
      </c>
      <c r="BF132" s="53"/>
      <c r="BG132" s="53">
        <v>0</v>
      </c>
      <c r="BH132" s="53"/>
      <c r="BI132" s="53">
        <f>32291663+68748</f>
        <v>32360411</v>
      </c>
      <c r="BJ132" s="53"/>
      <c r="BK132" s="53">
        <f>365132+27679</f>
        <v>392811</v>
      </c>
      <c r="BL132" s="53"/>
      <c r="BM132" s="53">
        <f t="shared" si="32"/>
        <v>32753222</v>
      </c>
      <c r="BN132" s="54" t="s">
        <v>347</v>
      </c>
      <c r="BR132" s="51"/>
      <c r="BS132" s="53"/>
      <c r="BT132" s="53"/>
      <c r="BU132" s="53"/>
      <c r="BV132" s="53"/>
      <c r="BW132" s="53"/>
      <c r="BX132" s="45"/>
      <c r="BY132" s="45"/>
      <c r="BZ132" s="53"/>
      <c r="CA132" s="53"/>
      <c r="CB132" s="53"/>
      <c r="CC132" s="53"/>
      <c r="CD132" s="53"/>
      <c r="CE132" s="53"/>
      <c r="CF132" s="35"/>
      <c r="CH132" s="35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4"/>
    </row>
    <row r="133" spans="1:98" s="55" customFormat="1" ht="12.75" customHeight="1">
      <c r="A133" s="35" t="s">
        <v>162</v>
      </c>
      <c r="B133" s="51"/>
      <c r="C133" s="35" t="s">
        <v>163</v>
      </c>
      <c r="D133" s="44"/>
      <c r="E133" s="53">
        <f t="shared" si="33"/>
        <v>1314208</v>
      </c>
      <c r="F133" s="53"/>
      <c r="G133" s="53">
        <v>4151092</v>
      </c>
      <c r="H133" s="53"/>
      <c r="I133" s="53">
        <v>5465300</v>
      </c>
      <c r="J133" s="53"/>
      <c r="K133" s="53">
        <f t="shared" si="28"/>
        <v>795415</v>
      </c>
      <c r="L133" s="53"/>
      <c r="M133" s="53">
        <v>148416</v>
      </c>
      <c r="N133" s="53"/>
      <c r="O133" s="53">
        <v>943831</v>
      </c>
      <c r="P133" s="53"/>
      <c r="Q133" s="53">
        <v>4151092</v>
      </c>
      <c r="R133" s="53"/>
      <c r="S133" s="53">
        <v>0</v>
      </c>
      <c r="T133" s="53"/>
      <c r="U133" s="53">
        <v>370377</v>
      </c>
      <c r="V133" s="53"/>
      <c r="W133" s="53">
        <f t="shared" si="29"/>
        <v>4521469</v>
      </c>
      <c r="X133" s="53"/>
      <c r="Y133" s="35" t="s">
        <v>162</v>
      </c>
      <c r="AA133" s="35" t="s">
        <v>163</v>
      </c>
      <c r="AB133" s="35"/>
      <c r="AC133" s="53">
        <v>2725985</v>
      </c>
      <c r="AD133" s="53"/>
      <c r="AE133" s="53">
        <f>2006963-292439</f>
        <v>1714524</v>
      </c>
      <c r="AF133" s="53"/>
      <c r="AG133" s="53">
        <v>292439</v>
      </c>
      <c r="AH133" s="53"/>
      <c r="AI133" s="45">
        <f t="shared" si="30"/>
        <v>719022</v>
      </c>
      <c r="AJ133" s="45"/>
      <c r="AK133" s="53">
        <v>0</v>
      </c>
      <c r="AL133" s="45"/>
      <c r="AM133" s="53">
        <v>0</v>
      </c>
      <c r="AN133" s="53"/>
      <c r="AO133" s="53">
        <v>0</v>
      </c>
      <c r="AP133" s="53"/>
      <c r="AQ133" s="53">
        <v>0</v>
      </c>
      <c r="AR133" s="53"/>
      <c r="AS133" s="45">
        <f t="shared" si="34"/>
        <v>719022</v>
      </c>
      <c r="AT133" s="45"/>
      <c r="AU133" s="53">
        <v>0</v>
      </c>
      <c r="AV133" s="53"/>
      <c r="AW133" s="53">
        <v>0</v>
      </c>
      <c r="AX133" s="53"/>
      <c r="AY133" s="53">
        <f t="shared" si="31"/>
        <v>518793</v>
      </c>
      <c r="AZ133" s="53"/>
      <c r="BA133" s="35" t="s">
        <v>162</v>
      </c>
      <c r="BC133" s="35" t="s">
        <v>163</v>
      </c>
      <c r="BD133" s="53"/>
      <c r="BE133" s="53">
        <v>0</v>
      </c>
      <c r="BF133" s="53"/>
      <c r="BG133" s="53">
        <v>0</v>
      </c>
      <c r="BH133" s="53"/>
      <c r="BI133" s="53">
        <v>0</v>
      </c>
      <c r="BJ133" s="53"/>
      <c r="BK133" s="53">
        <v>148416</v>
      </c>
      <c r="BL133" s="53"/>
      <c r="BM133" s="53">
        <f t="shared" si="32"/>
        <v>148416</v>
      </c>
      <c r="BN133" s="54" t="s">
        <v>347</v>
      </c>
      <c r="BO133" s="55" t="s">
        <v>407</v>
      </c>
      <c r="BR133" s="51"/>
      <c r="BS133" s="53"/>
      <c r="BT133" s="53"/>
      <c r="BU133" s="53"/>
      <c r="BV133" s="53"/>
      <c r="BW133" s="53"/>
      <c r="BX133" s="45"/>
      <c r="BY133" s="45"/>
      <c r="BZ133" s="53"/>
      <c r="CA133" s="53"/>
      <c r="CB133" s="53"/>
      <c r="CC133" s="53"/>
      <c r="CD133" s="53"/>
      <c r="CE133" s="53"/>
      <c r="CF133" s="35"/>
      <c r="CH133" s="35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4"/>
    </row>
    <row r="134" spans="1:98" s="140" customFormat="1" ht="12.75" hidden="1" customHeight="1">
      <c r="A134" s="126" t="s">
        <v>164</v>
      </c>
      <c r="B134" s="124"/>
      <c r="C134" s="126" t="s">
        <v>27</v>
      </c>
      <c r="D134" s="121"/>
      <c r="E134" s="53">
        <f t="shared" si="33"/>
        <v>0</v>
      </c>
      <c r="F134" s="53"/>
      <c r="G134" s="53">
        <v>0</v>
      </c>
      <c r="H134" s="53"/>
      <c r="I134" s="53">
        <v>0</v>
      </c>
      <c r="J134" s="53"/>
      <c r="K134" s="53">
        <f t="shared" si="28"/>
        <v>0</v>
      </c>
      <c r="L134" s="53"/>
      <c r="M134" s="53">
        <v>0</v>
      </c>
      <c r="N134" s="53"/>
      <c r="O134" s="53">
        <v>0</v>
      </c>
      <c r="P134" s="53"/>
      <c r="Q134" s="53">
        <v>0</v>
      </c>
      <c r="R134" s="53"/>
      <c r="S134" s="53">
        <v>0</v>
      </c>
      <c r="T134" s="53"/>
      <c r="U134" s="53">
        <v>0</v>
      </c>
      <c r="V134" s="53"/>
      <c r="W134" s="53">
        <f t="shared" si="29"/>
        <v>0</v>
      </c>
      <c r="X134" s="137"/>
      <c r="Y134" s="126" t="s">
        <v>164</v>
      </c>
      <c r="AA134" s="126" t="s">
        <v>27</v>
      </c>
      <c r="AB134" s="126"/>
      <c r="AC134" s="53">
        <v>0</v>
      </c>
      <c r="AD134" s="53"/>
      <c r="AE134" s="53">
        <v>0</v>
      </c>
      <c r="AF134" s="53"/>
      <c r="AG134" s="53">
        <v>0</v>
      </c>
      <c r="AH134" s="53"/>
      <c r="AI134" s="45">
        <f t="shared" si="30"/>
        <v>0</v>
      </c>
      <c r="AJ134" s="45"/>
      <c r="AK134" s="53">
        <v>0</v>
      </c>
      <c r="AL134" s="45"/>
      <c r="AM134" s="53">
        <v>0</v>
      </c>
      <c r="AN134" s="53"/>
      <c r="AO134" s="53">
        <v>0</v>
      </c>
      <c r="AP134" s="53"/>
      <c r="AQ134" s="53">
        <v>0</v>
      </c>
      <c r="AR134" s="53"/>
      <c r="AS134" s="45">
        <f t="shared" si="34"/>
        <v>0</v>
      </c>
      <c r="AT134" s="45"/>
      <c r="AU134" s="53">
        <v>0</v>
      </c>
      <c r="AV134" s="53"/>
      <c r="AW134" s="53">
        <v>0</v>
      </c>
      <c r="AX134" s="53"/>
      <c r="AY134" s="53">
        <f t="shared" si="31"/>
        <v>0</v>
      </c>
      <c r="AZ134" s="53"/>
      <c r="BA134" s="126" t="s">
        <v>164</v>
      </c>
      <c r="BC134" s="126" t="s">
        <v>27</v>
      </c>
      <c r="BD134" s="137"/>
      <c r="BE134" s="53">
        <v>0</v>
      </c>
      <c r="BF134" s="53"/>
      <c r="BG134" s="53">
        <v>0</v>
      </c>
      <c r="BH134" s="53"/>
      <c r="BI134" s="53">
        <v>0</v>
      </c>
      <c r="BJ134" s="53"/>
      <c r="BK134" s="53">
        <v>0</v>
      </c>
      <c r="BL134" s="137"/>
      <c r="BM134" s="137">
        <f t="shared" si="32"/>
        <v>0</v>
      </c>
      <c r="BN134" s="139" t="s">
        <v>347</v>
      </c>
      <c r="BO134" s="126" t="s">
        <v>366</v>
      </c>
      <c r="BR134" s="124"/>
      <c r="BS134" s="137"/>
      <c r="BT134" s="137"/>
      <c r="BU134" s="137"/>
      <c r="BV134" s="137"/>
      <c r="BW134" s="137"/>
      <c r="BX134" s="127"/>
      <c r="BY134" s="127"/>
      <c r="BZ134" s="137"/>
      <c r="CA134" s="137"/>
      <c r="CB134" s="137"/>
      <c r="CC134" s="137"/>
      <c r="CD134" s="137"/>
      <c r="CE134" s="137"/>
      <c r="CF134" s="126"/>
      <c r="CH134" s="126"/>
      <c r="CI134" s="137"/>
      <c r="CJ134" s="137"/>
      <c r="CK134" s="137"/>
      <c r="CL134" s="137"/>
      <c r="CM134" s="137"/>
      <c r="CN134" s="137"/>
      <c r="CO134" s="137"/>
      <c r="CP134" s="137"/>
      <c r="CQ134" s="137"/>
      <c r="CR134" s="137"/>
      <c r="CS134" s="139"/>
      <c r="CT134" s="126"/>
    </row>
    <row r="135" spans="1:98" s="55" customFormat="1" ht="12.75" hidden="1" customHeight="1">
      <c r="A135" s="35" t="s">
        <v>53</v>
      </c>
      <c r="B135" s="51"/>
      <c r="C135" s="35" t="s">
        <v>53</v>
      </c>
      <c r="D135" s="44"/>
      <c r="E135" s="53">
        <f t="shared" si="33"/>
        <v>0</v>
      </c>
      <c r="F135" s="53"/>
      <c r="G135" s="53">
        <v>0</v>
      </c>
      <c r="H135" s="53"/>
      <c r="I135" s="53">
        <v>0</v>
      </c>
      <c r="J135" s="53"/>
      <c r="K135" s="53">
        <f t="shared" si="28"/>
        <v>0</v>
      </c>
      <c r="L135" s="53"/>
      <c r="M135" s="53">
        <v>0</v>
      </c>
      <c r="N135" s="53"/>
      <c r="O135" s="53">
        <v>0</v>
      </c>
      <c r="P135" s="53"/>
      <c r="Q135" s="53">
        <v>0</v>
      </c>
      <c r="R135" s="53"/>
      <c r="S135" s="53">
        <v>0</v>
      </c>
      <c r="T135" s="53"/>
      <c r="U135" s="53">
        <v>0</v>
      </c>
      <c r="V135" s="53"/>
      <c r="W135" s="53">
        <f t="shared" si="29"/>
        <v>0</v>
      </c>
      <c r="X135" s="53"/>
      <c r="Y135" s="35" t="s">
        <v>53</v>
      </c>
      <c r="AA135" s="35" t="s">
        <v>53</v>
      </c>
      <c r="AB135" s="35"/>
      <c r="AC135" s="53">
        <v>0</v>
      </c>
      <c r="AD135" s="53"/>
      <c r="AE135" s="53">
        <v>0</v>
      </c>
      <c r="AF135" s="53"/>
      <c r="AG135" s="53">
        <v>0</v>
      </c>
      <c r="AH135" s="53"/>
      <c r="AI135" s="45">
        <f t="shared" si="30"/>
        <v>0</v>
      </c>
      <c r="AJ135" s="45"/>
      <c r="AK135" s="53">
        <v>0</v>
      </c>
      <c r="AL135" s="45"/>
      <c r="AM135" s="53">
        <v>0</v>
      </c>
      <c r="AN135" s="53"/>
      <c r="AO135" s="53">
        <v>0</v>
      </c>
      <c r="AP135" s="53"/>
      <c r="AQ135" s="53">
        <v>0</v>
      </c>
      <c r="AR135" s="53"/>
      <c r="AS135" s="45">
        <f t="shared" si="34"/>
        <v>0</v>
      </c>
      <c r="AT135" s="45"/>
      <c r="AU135" s="53">
        <v>0</v>
      </c>
      <c r="AV135" s="53"/>
      <c r="AW135" s="53">
        <v>0</v>
      </c>
      <c r="AX135" s="53"/>
      <c r="AY135" s="53">
        <f t="shared" si="31"/>
        <v>0</v>
      </c>
      <c r="AZ135" s="53"/>
      <c r="BA135" s="35" t="s">
        <v>53</v>
      </c>
      <c r="BC135" s="35" t="s">
        <v>53</v>
      </c>
      <c r="BD135" s="53"/>
      <c r="BE135" s="53">
        <v>0</v>
      </c>
      <c r="BF135" s="53"/>
      <c r="BG135" s="53">
        <v>0</v>
      </c>
      <c r="BH135" s="53"/>
      <c r="BI135" s="53">
        <v>0</v>
      </c>
      <c r="BJ135" s="53"/>
      <c r="BK135" s="53">
        <v>0</v>
      </c>
      <c r="BL135" s="53"/>
      <c r="BM135" s="53">
        <f t="shared" si="32"/>
        <v>0</v>
      </c>
      <c r="BN135" s="54" t="s">
        <v>347</v>
      </c>
      <c r="BR135" s="51"/>
      <c r="BS135" s="53"/>
      <c r="BT135" s="53"/>
      <c r="BU135" s="53"/>
      <c r="BV135" s="53"/>
      <c r="BW135" s="53"/>
      <c r="BX135" s="45"/>
      <c r="BY135" s="45"/>
      <c r="BZ135" s="53"/>
      <c r="CA135" s="53"/>
      <c r="CB135" s="53"/>
      <c r="CC135" s="53"/>
      <c r="CD135" s="53"/>
      <c r="CE135" s="53"/>
      <c r="CF135" s="35"/>
      <c r="CH135" s="35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4"/>
    </row>
    <row r="136" spans="1:98" s="140" customFormat="1" ht="12.75" hidden="1" customHeight="1">
      <c r="A136" s="126" t="s">
        <v>165</v>
      </c>
      <c r="B136" s="124"/>
      <c r="C136" s="126" t="s">
        <v>92</v>
      </c>
      <c r="D136" s="121"/>
      <c r="E136" s="53">
        <f t="shared" si="33"/>
        <v>0</v>
      </c>
      <c r="F136" s="53"/>
      <c r="G136" s="53">
        <v>0</v>
      </c>
      <c r="H136" s="53"/>
      <c r="I136" s="53">
        <v>0</v>
      </c>
      <c r="J136" s="53"/>
      <c r="K136" s="53">
        <f t="shared" si="28"/>
        <v>0</v>
      </c>
      <c r="L136" s="53"/>
      <c r="M136" s="53">
        <v>0</v>
      </c>
      <c r="N136" s="53"/>
      <c r="O136" s="53">
        <v>0</v>
      </c>
      <c r="P136" s="53"/>
      <c r="Q136" s="53">
        <v>0</v>
      </c>
      <c r="R136" s="53"/>
      <c r="S136" s="53">
        <v>0</v>
      </c>
      <c r="T136" s="53"/>
      <c r="U136" s="53">
        <v>0</v>
      </c>
      <c r="V136" s="53"/>
      <c r="W136" s="53">
        <f t="shared" si="29"/>
        <v>0</v>
      </c>
      <c r="X136" s="137"/>
      <c r="Y136" s="126" t="s">
        <v>165</v>
      </c>
      <c r="AA136" s="126" t="s">
        <v>92</v>
      </c>
      <c r="AB136" s="126"/>
      <c r="AC136" s="53">
        <v>0</v>
      </c>
      <c r="AD136" s="53"/>
      <c r="AE136" s="53">
        <v>0</v>
      </c>
      <c r="AF136" s="53"/>
      <c r="AG136" s="53">
        <v>0</v>
      </c>
      <c r="AH136" s="53"/>
      <c r="AI136" s="45">
        <f t="shared" si="30"/>
        <v>0</v>
      </c>
      <c r="AJ136" s="45"/>
      <c r="AK136" s="53">
        <v>0</v>
      </c>
      <c r="AL136" s="45"/>
      <c r="AM136" s="53">
        <v>0</v>
      </c>
      <c r="AN136" s="53"/>
      <c r="AO136" s="53">
        <v>0</v>
      </c>
      <c r="AP136" s="53"/>
      <c r="AQ136" s="53">
        <v>0</v>
      </c>
      <c r="AR136" s="53"/>
      <c r="AS136" s="45">
        <f t="shared" si="34"/>
        <v>0</v>
      </c>
      <c r="AT136" s="45"/>
      <c r="AU136" s="53">
        <v>0</v>
      </c>
      <c r="AV136" s="53"/>
      <c r="AW136" s="53">
        <v>0</v>
      </c>
      <c r="AX136" s="53"/>
      <c r="AY136" s="53">
        <f t="shared" si="31"/>
        <v>0</v>
      </c>
      <c r="AZ136" s="53"/>
      <c r="BA136" s="126" t="s">
        <v>165</v>
      </c>
      <c r="BC136" s="126" t="s">
        <v>92</v>
      </c>
      <c r="BD136" s="137"/>
      <c r="BE136" s="53">
        <v>0</v>
      </c>
      <c r="BF136" s="53"/>
      <c r="BG136" s="53">
        <v>0</v>
      </c>
      <c r="BH136" s="53"/>
      <c r="BI136" s="53">
        <v>0</v>
      </c>
      <c r="BJ136" s="53"/>
      <c r="BK136" s="53">
        <v>0</v>
      </c>
      <c r="BL136" s="137"/>
      <c r="BM136" s="137">
        <f t="shared" si="32"/>
        <v>0</v>
      </c>
      <c r="BN136" s="139" t="s">
        <v>347</v>
      </c>
      <c r="BR136" s="124"/>
      <c r="BS136" s="137"/>
      <c r="BT136" s="137"/>
      <c r="BU136" s="137"/>
      <c r="BV136" s="137"/>
      <c r="BW136" s="137"/>
      <c r="BX136" s="127"/>
      <c r="BY136" s="127"/>
      <c r="BZ136" s="137"/>
      <c r="CA136" s="137"/>
      <c r="CB136" s="137"/>
      <c r="CC136" s="137"/>
      <c r="CD136" s="137"/>
      <c r="CE136" s="137"/>
      <c r="CF136" s="126"/>
      <c r="CH136" s="126"/>
      <c r="CI136" s="137"/>
      <c r="CJ136" s="137"/>
      <c r="CK136" s="137"/>
      <c r="CL136" s="137"/>
      <c r="CM136" s="137"/>
      <c r="CN136" s="137"/>
      <c r="CO136" s="137"/>
      <c r="CP136" s="137"/>
      <c r="CQ136" s="137"/>
      <c r="CR136" s="137"/>
      <c r="CS136" s="139"/>
    </row>
    <row r="137" spans="1:98" s="140" customFormat="1" ht="12.75" hidden="1" customHeight="1">
      <c r="A137" s="126" t="s">
        <v>166</v>
      </c>
      <c r="B137" s="124"/>
      <c r="C137" s="126" t="s">
        <v>92</v>
      </c>
      <c r="D137" s="121"/>
      <c r="E137" s="53">
        <f t="shared" si="33"/>
        <v>0</v>
      </c>
      <c r="F137" s="53"/>
      <c r="G137" s="53">
        <v>0</v>
      </c>
      <c r="H137" s="53"/>
      <c r="I137" s="53">
        <v>0</v>
      </c>
      <c r="J137" s="53"/>
      <c r="K137" s="53">
        <f t="shared" si="28"/>
        <v>0</v>
      </c>
      <c r="L137" s="53"/>
      <c r="M137" s="53">
        <v>0</v>
      </c>
      <c r="N137" s="53"/>
      <c r="O137" s="53">
        <v>0</v>
      </c>
      <c r="P137" s="53"/>
      <c r="Q137" s="53">
        <v>0</v>
      </c>
      <c r="R137" s="53"/>
      <c r="S137" s="53">
        <v>0</v>
      </c>
      <c r="T137" s="53"/>
      <c r="U137" s="53">
        <v>0</v>
      </c>
      <c r="V137" s="53"/>
      <c r="W137" s="53">
        <f t="shared" si="29"/>
        <v>0</v>
      </c>
      <c r="X137" s="137"/>
      <c r="Y137" s="126" t="s">
        <v>166</v>
      </c>
      <c r="AA137" s="126" t="s">
        <v>92</v>
      </c>
      <c r="AB137" s="126"/>
      <c r="AC137" s="53">
        <v>0</v>
      </c>
      <c r="AD137" s="53"/>
      <c r="AE137" s="53">
        <v>0</v>
      </c>
      <c r="AF137" s="53"/>
      <c r="AG137" s="53">
        <v>0</v>
      </c>
      <c r="AH137" s="53"/>
      <c r="AI137" s="45">
        <f t="shared" si="30"/>
        <v>0</v>
      </c>
      <c r="AJ137" s="45"/>
      <c r="AK137" s="53">
        <v>0</v>
      </c>
      <c r="AL137" s="45"/>
      <c r="AM137" s="53">
        <v>0</v>
      </c>
      <c r="AN137" s="53"/>
      <c r="AO137" s="53">
        <v>0</v>
      </c>
      <c r="AP137" s="53"/>
      <c r="AQ137" s="53">
        <v>0</v>
      </c>
      <c r="AR137" s="53"/>
      <c r="AS137" s="45">
        <f t="shared" si="34"/>
        <v>0</v>
      </c>
      <c r="AT137" s="45"/>
      <c r="AU137" s="53">
        <v>0</v>
      </c>
      <c r="AV137" s="53"/>
      <c r="AW137" s="53">
        <v>0</v>
      </c>
      <c r="AX137" s="53"/>
      <c r="AY137" s="53">
        <f t="shared" si="31"/>
        <v>0</v>
      </c>
      <c r="AZ137" s="53"/>
      <c r="BA137" s="126" t="s">
        <v>166</v>
      </c>
      <c r="BC137" s="126" t="s">
        <v>92</v>
      </c>
      <c r="BD137" s="137"/>
      <c r="BE137" s="53">
        <v>0</v>
      </c>
      <c r="BF137" s="53"/>
      <c r="BG137" s="53">
        <v>0</v>
      </c>
      <c r="BH137" s="53"/>
      <c r="BI137" s="53">
        <v>0</v>
      </c>
      <c r="BJ137" s="53"/>
      <c r="BK137" s="53">
        <v>0</v>
      </c>
      <c r="BL137" s="137"/>
      <c r="BM137" s="137">
        <f t="shared" si="32"/>
        <v>0</v>
      </c>
      <c r="BN137" s="139"/>
      <c r="BR137" s="124"/>
      <c r="BS137" s="137"/>
      <c r="BT137" s="137"/>
      <c r="BU137" s="137"/>
      <c r="BV137" s="137"/>
      <c r="BW137" s="137"/>
      <c r="BX137" s="127"/>
      <c r="BY137" s="127"/>
      <c r="BZ137" s="137"/>
      <c r="CA137" s="137"/>
      <c r="CB137" s="137"/>
      <c r="CC137" s="137"/>
      <c r="CD137" s="137"/>
      <c r="CE137" s="137"/>
      <c r="CF137" s="126"/>
      <c r="CH137" s="126"/>
      <c r="CI137" s="137"/>
      <c r="CJ137" s="137"/>
      <c r="CK137" s="137"/>
      <c r="CL137" s="137"/>
      <c r="CM137" s="137"/>
      <c r="CN137" s="137"/>
      <c r="CO137" s="137"/>
      <c r="CP137" s="137"/>
      <c r="CQ137" s="137"/>
      <c r="CR137" s="137"/>
      <c r="CS137" s="139"/>
    </row>
    <row r="138" spans="1:98" s="55" customFormat="1" ht="12.75" customHeight="1">
      <c r="A138" s="35" t="s">
        <v>167</v>
      </c>
      <c r="B138" s="51"/>
      <c r="C138" s="35" t="s">
        <v>66</v>
      </c>
      <c r="D138" s="44"/>
      <c r="E138" s="53">
        <f t="shared" si="33"/>
        <v>2848439</v>
      </c>
      <c r="F138" s="53"/>
      <c r="G138" s="53">
        <v>14476203</v>
      </c>
      <c r="H138" s="53"/>
      <c r="I138" s="53">
        <v>17324642</v>
      </c>
      <c r="J138" s="53"/>
      <c r="K138" s="53">
        <f t="shared" si="28"/>
        <v>463244</v>
      </c>
      <c r="L138" s="53"/>
      <c r="M138" s="53">
        <v>5019705</v>
      </c>
      <c r="N138" s="53"/>
      <c r="O138" s="53">
        <v>5482949</v>
      </c>
      <c r="P138" s="53"/>
      <c r="Q138" s="53">
        <v>9186203</v>
      </c>
      <c r="R138" s="53"/>
      <c r="S138" s="53">
        <v>549361</v>
      </c>
      <c r="T138" s="53"/>
      <c r="U138" s="53">
        <v>2103129</v>
      </c>
      <c r="V138" s="53"/>
      <c r="W138" s="53">
        <f t="shared" si="29"/>
        <v>11838693</v>
      </c>
      <c r="X138" s="53"/>
      <c r="Y138" s="35" t="s">
        <v>167</v>
      </c>
      <c r="AA138" s="35" t="s">
        <v>66</v>
      </c>
      <c r="AB138" s="35"/>
      <c r="AC138" s="53">
        <v>1475619</v>
      </c>
      <c r="AD138" s="53"/>
      <c r="AE138" s="53">
        <f>2848950-464327</f>
        <v>2384623</v>
      </c>
      <c r="AF138" s="53"/>
      <c r="AG138" s="53">
        <v>464327</v>
      </c>
      <c r="AH138" s="53"/>
      <c r="AI138" s="45">
        <f t="shared" si="30"/>
        <v>-1373331</v>
      </c>
      <c r="AJ138" s="45"/>
      <c r="AK138" s="53">
        <v>-65047</v>
      </c>
      <c r="AL138" s="45"/>
      <c r="AM138" s="53">
        <v>0</v>
      </c>
      <c r="AN138" s="53"/>
      <c r="AO138" s="53">
        <v>0</v>
      </c>
      <c r="AP138" s="53"/>
      <c r="AQ138" s="53">
        <v>0</v>
      </c>
      <c r="AR138" s="53"/>
      <c r="AS138" s="45">
        <f t="shared" si="34"/>
        <v>-1438378</v>
      </c>
      <c r="AT138" s="45"/>
      <c r="AU138" s="53">
        <v>0</v>
      </c>
      <c r="AV138" s="53"/>
      <c r="AW138" s="53">
        <v>0</v>
      </c>
      <c r="AX138" s="53"/>
      <c r="AY138" s="53">
        <f t="shared" si="31"/>
        <v>2385195</v>
      </c>
      <c r="AZ138" s="53"/>
      <c r="BA138" s="35" t="s">
        <v>167</v>
      </c>
      <c r="BC138" s="35" t="s">
        <v>66</v>
      </c>
      <c r="BD138" s="53"/>
      <c r="BE138" s="53">
        <f>5014525+365563</f>
        <v>5380088</v>
      </c>
      <c r="BF138" s="53"/>
      <c r="BG138" s="53">
        <v>0</v>
      </c>
      <c r="BH138" s="53"/>
      <c r="BI138" s="53">
        <v>0</v>
      </c>
      <c r="BJ138" s="53"/>
      <c r="BK138" s="53">
        <f>5180+41959</f>
        <v>47139</v>
      </c>
      <c r="BL138" s="53"/>
      <c r="BM138" s="53">
        <f t="shared" si="32"/>
        <v>5427227</v>
      </c>
      <c r="BN138" s="54" t="s">
        <v>347</v>
      </c>
      <c r="BR138" s="51"/>
      <c r="BS138" s="53"/>
      <c r="BT138" s="53"/>
      <c r="BU138" s="53"/>
      <c r="BV138" s="53"/>
      <c r="BW138" s="53"/>
      <c r="BX138" s="45"/>
      <c r="BY138" s="45"/>
      <c r="BZ138" s="53"/>
      <c r="CA138" s="53"/>
      <c r="CB138" s="53"/>
      <c r="CC138" s="53"/>
      <c r="CD138" s="53"/>
      <c r="CE138" s="53"/>
      <c r="CF138" s="35"/>
      <c r="CH138" s="35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4"/>
    </row>
    <row r="139" spans="1:98" s="140" customFormat="1" ht="12.75" hidden="1" customHeight="1">
      <c r="A139" s="121" t="s">
        <v>168</v>
      </c>
      <c r="B139" s="124"/>
      <c r="C139" s="121" t="s">
        <v>27</v>
      </c>
      <c r="D139" s="121"/>
      <c r="E139" s="53">
        <f t="shared" si="33"/>
        <v>0</v>
      </c>
      <c r="F139" s="53"/>
      <c r="G139" s="53">
        <v>0</v>
      </c>
      <c r="H139" s="53"/>
      <c r="I139" s="53">
        <v>0</v>
      </c>
      <c r="J139" s="53"/>
      <c r="K139" s="53">
        <f t="shared" si="28"/>
        <v>0</v>
      </c>
      <c r="L139" s="53"/>
      <c r="M139" s="53">
        <v>0</v>
      </c>
      <c r="N139" s="53"/>
      <c r="O139" s="53">
        <v>0</v>
      </c>
      <c r="P139" s="53"/>
      <c r="Q139" s="53">
        <v>0</v>
      </c>
      <c r="R139" s="53"/>
      <c r="S139" s="53">
        <v>0</v>
      </c>
      <c r="T139" s="53"/>
      <c r="U139" s="53">
        <v>0</v>
      </c>
      <c r="V139" s="53"/>
      <c r="W139" s="53">
        <f t="shared" si="29"/>
        <v>0</v>
      </c>
      <c r="X139" s="137"/>
      <c r="Y139" s="121" t="s">
        <v>168</v>
      </c>
      <c r="AA139" s="121" t="s">
        <v>27</v>
      </c>
      <c r="AB139" s="121"/>
      <c r="AC139" s="53">
        <v>0</v>
      </c>
      <c r="AD139" s="53"/>
      <c r="AE139" s="53">
        <v>0</v>
      </c>
      <c r="AF139" s="53"/>
      <c r="AG139" s="53">
        <v>0</v>
      </c>
      <c r="AH139" s="53"/>
      <c r="AI139" s="45">
        <f t="shared" si="30"/>
        <v>0</v>
      </c>
      <c r="AJ139" s="45"/>
      <c r="AK139" s="53">
        <v>0</v>
      </c>
      <c r="AL139" s="45"/>
      <c r="AM139" s="53">
        <v>0</v>
      </c>
      <c r="AN139" s="53"/>
      <c r="AO139" s="53">
        <v>0</v>
      </c>
      <c r="AP139" s="53"/>
      <c r="AQ139" s="53">
        <v>0</v>
      </c>
      <c r="AR139" s="53"/>
      <c r="AS139" s="45">
        <f t="shared" si="34"/>
        <v>0</v>
      </c>
      <c r="AT139" s="45"/>
      <c r="AU139" s="53">
        <v>0</v>
      </c>
      <c r="AV139" s="53"/>
      <c r="AW139" s="53">
        <v>0</v>
      </c>
      <c r="AX139" s="53"/>
      <c r="AY139" s="53">
        <f t="shared" si="31"/>
        <v>0</v>
      </c>
      <c r="AZ139" s="53"/>
      <c r="BA139" s="121" t="s">
        <v>168</v>
      </c>
      <c r="BC139" s="121" t="s">
        <v>27</v>
      </c>
      <c r="BD139" s="137"/>
      <c r="BE139" s="53">
        <v>0</v>
      </c>
      <c r="BF139" s="53"/>
      <c r="BG139" s="53">
        <v>0</v>
      </c>
      <c r="BH139" s="53"/>
      <c r="BI139" s="53">
        <v>0</v>
      </c>
      <c r="BJ139" s="53"/>
      <c r="BK139" s="53">
        <v>0</v>
      </c>
      <c r="BL139" s="137"/>
      <c r="BM139" s="137">
        <f t="shared" si="32"/>
        <v>0</v>
      </c>
      <c r="BN139" s="139" t="s">
        <v>347</v>
      </c>
      <c r="BR139" s="124"/>
      <c r="BS139" s="137"/>
      <c r="BT139" s="137"/>
      <c r="BU139" s="137"/>
      <c r="BV139" s="137"/>
      <c r="BW139" s="137"/>
      <c r="BX139" s="127"/>
      <c r="BY139" s="127"/>
      <c r="BZ139" s="137"/>
      <c r="CA139" s="137"/>
      <c r="CB139" s="137"/>
      <c r="CC139" s="137"/>
      <c r="CD139" s="137"/>
      <c r="CE139" s="137"/>
      <c r="CF139" s="126"/>
      <c r="CH139" s="126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9"/>
    </row>
    <row r="140" spans="1:98" s="55" customFormat="1" ht="12.75" customHeight="1">
      <c r="A140" s="35" t="s">
        <v>169</v>
      </c>
      <c r="B140" s="51"/>
      <c r="C140" s="35" t="s">
        <v>103</v>
      </c>
      <c r="D140" s="44"/>
      <c r="E140" s="53">
        <f t="shared" si="33"/>
        <v>3852861</v>
      </c>
      <c r="F140" s="53"/>
      <c r="G140" s="53">
        <v>34765135</v>
      </c>
      <c r="H140" s="53"/>
      <c r="I140" s="53">
        <v>38617996</v>
      </c>
      <c r="J140" s="53"/>
      <c r="K140" s="53">
        <f t="shared" si="28"/>
        <v>1006851</v>
      </c>
      <c r="L140" s="53"/>
      <c r="M140" s="53">
        <v>10006280</v>
      </c>
      <c r="N140" s="53"/>
      <c r="O140" s="53">
        <v>11013131</v>
      </c>
      <c r="P140" s="53"/>
      <c r="Q140" s="53">
        <v>24085855</v>
      </c>
      <c r="R140" s="53"/>
      <c r="S140" s="53">
        <v>675257</v>
      </c>
      <c r="T140" s="53"/>
      <c r="U140" s="53">
        <v>2843753</v>
      </c>
      <c r="V140" s="53"/>
      <c r="W140" s="53">
        <f t="shared" si="29"/>
        <v>27604865</v>
      </c>
      <c r="X140" s="53"/>
      <c r="Y140" s="35" t="s">
        <v>169</v>
      </c>
      <c r="AA140" s="35" t="s">
        <v>103</v>
      </c>
      <c r="AB140" s="35"/>
      <c r="AC140" s="53">
        <v>7211961</v>
      </c>
      <c r="AD140" s="53"/>
      <c r="AE140" s="53">
        <f>6674615-1573921</f>
        <v>5100694</v>
      </c>
      <c r="AF140" s="53"/>
      <c r="AG140" s="53">
        <v>1573921</v>
      </c>
      <c r="AH140" s="53"/>
      <c r="AI140" s="45">
        <f t="shared" si="30"/>
        <v>537346</v>
      </c>
      <c r="AJ140" s="45"/>
      <c r="AK140" s="53">
        <v>-319025</v>
      </c>
      <c r="AL140" s="45"/>
      <c r="AM140" s="53">
        <v>0</v>
      </c>
      <c r="AN140" s="53"/>
      <c r="AO140" s="53">
        <v>29069</v>
      </c>
      <c r="AP140" s="53"/>
      <c r="AQ140" s="53">
        <v>211743</v>
      </c>
      <c r="AR140" s="53"/>
      <c r="AS140" s="45">
        <f t="shared" si="34"/>
        <v>400995</v>
      </c>
      <c r="AT140" s="45"/>
      <c r="AU140" s="53">
        <v>0</v>
      </c>
      <c r="AV140" s="53"/>
      <c r="AW140" s="53">
        <v>0</v>
      </c>
      <c r="AX140" s="53"/>
      <c r="AY140" s="53">
        <f t="shared" si="31"/>
        <v>2846010</v>
      </c>
      <c r="AZ140" s="53"/>
      <c r="BA140" s="35" t="s">
        <v>169</v>
      </c>
      <c r="BC140" s="35" t="s">
        <v>103</v>
      </c>
      <c r="BD140" s="53"/>
      <c r="BE140" s="53">
        <f>7040000+300000</f>
        <v>7340000</v>
      </c>
      <c r="BF140" s="53"/>
      <c r="BG140" s="53">
        <v>0</v>
      </c>
      <c r="BH140" s="53"/>
      <c r="BI140" s="53">
        <v>0</v>
      </c>
      <c r="BJ140" s="53"/>
      <c r="BK140" s="53">
        <f>159393+2645237+119184+42466+375257+61398+7502</f>
        <v>3410437</v>
      </c>
      <c r="BL140" s="53"/>
      <c r="BM140" s="53">
        <f t="shared" si="32"/>
        <v>10750437</v>
      </c>
      <c r="BN140" s="54" t="s">
        <v>347</v>
      </c>
      <c r="BR140" s="51"/>
      <c r="BS140" s="53"/>
      <c r="BT140" s="53"/>
      <c r="BU140" s="53"/>
      <c r="BV140" s="53"/>
      <c r="BW140" s="53"/>
      <c r="BX140" s="45"/>
      <c r="BY140" s="45"/>
      <c r="BZ140" s="53"/>
      <c r="CA140" s="53"/>
      <c r="CB140" s="53"/>
      <c r="CC140" s="53"/>
      <c r="CD140" s="53"/>
      <c r="CE140" s="53"/>
      <c r="CF140" s="35"/>
      <c r="CH140" s="35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4"/>
    </row>
    <row r="141" spans="1:98" s="55" customFormat="1" ht="12.75" customHeight="1">
      <c r="A141" s="35" t="s">
        <v>170</v>
      </c>
      <c r="B141" s="51"/>
      <c r="C141" s="35" t="s">
        <v>171</v>
      </c>
      <c r="D141" s="44"/>
      <c r="E141" s="53">
        <f t="shared" si="33"/>
        <v>2749915</v>
      </c>
      <c r="F141" s="53"/>
      <c r="G141" s="53">
        <v>10144822</v>
      </c>
      <c r="H141" s="53"/>
      <c r="I141" s="53">
        <v>12894737</v>
      </c>
      <c r="J141" s="53"/>
      <c r="K141" s="53">
        <f t="shared" si="28"/>
        <v>360411</v>
      </c>
      <c r="L141" s="53"/>
      <c r="M141" s="53">
        <v>3543517</v>
      </c>
      <c r="N141" s="53"/>
      <c r="O141" s="53">
        <v>3903928</v>
      </c>
      <c r="P141" s="53"/>
      <c r="Q141" s="53">
        <v>6320819</v>
      </c>
      <c r="R141" s="53"/>
      <c r="S141" s="53">
        <v>0</v>
      </c>
      <c r="T141" s="53"/>
      <c r="U141" s="53">
        <v>2669990</v>
      </c>
      <c r="V141" s="53"/>
      <c r="W141" s="53">
        <f t="shared" si="29"/>
        <v>8990809</v>
      </c>
      <c r="X141" s="53"/>
      <c r="Y141" s="35" t="s">
        <v>170</v>
      </c>
      <c r="AA141" s="35" t="s">
        <v>171</v>
      </c>
      <c r="AB141" s="35"/>
      <c r="AC141" s="53">
        <v>997256</v>
      </c>
      <c r="AD141" s="53"/>
      <c r="AE141" s="53">
        <f>109118-249586</f>
        <v>-140468</v>
      </c>
      <c r="AF141" s="53"/>
      <c r="AG141" s="53">
        <v>249586</v>
      </c>
      <c r="AH141" s="53"/>
      <c r="AI141" s="45">
        <f t="shared" si="30"/>
        <v>888138</v>
      </c>
      <c r="AJ141" s="45"/>
      <c r="AK141" s="53">
        <v>2854</v>
      </c>
      <c r="AL141" s="45"/>
      <c r="AM141" s="53">
        <v>0</v>
      </c>
      <c r="AN141" s="53"/>
      <c r="AO141" s="53">
        <v>0</v>
      </c>
      <c r="AP141" s="53"/>
      <c r="AQ141" s="53">
        <v>0</v>
      </c>
      <c r="AR141" s="53"/>
      <c r="AS141" s="45">
        <f t="shared" si="34"/>
        <v>890992</v>
      </c>
      <c r="AT141" s="45"/>
      <c r="AU141" s="53">
        <v>0</v>
      </c>
      <c r="AV141" s="53"/>
      <c r="AW141" s="53">
        <v>0</v>
      </c>
      <c r="AX141" s="53"/>
      <c r="AY141" s="53">
        <f t="shared" si="31"/>
        <v>2389504</v>
      </c>
      <c r="AZ141" s="53"/>
      <c r="BA141" s="35" t="s">
        <v>170</v>
      </c>
      <c r="BC141" s="35" t="s">
        <v>171</v>
      </c>
      <c r="BD141" s="53"/>
      <c r="BE141" s="53">
        <v>0</v>
      </c>
      <c r="BF141" s="53"/>
      <c r="BG141" s="53">
        <v>0</v>
      </c>
      <c r="BH141" s="53"/>
      <c r="BI141" s="53">
        <f>2518731+1009022+218331+77919</f>
        <v>3824003</v>
      </c>
      <c r="BJ141" s="53"/>
      <c r="BK141" s="53">
        <f>15764+11228</f>
        <v>26992</v>
      </c>
      <c r="BL141" s="53"/>
      <c r="BM141" s="53">
        <f t="shared" si="32"/>
        <v>3850995</v>
      </c>
      <c r="BN141" s="54" t="s">
        <v>347</v>
      </c>
      <c r="BR141" s="51"/>
      <c r="BS141" s="53"/>
      <c r="BT141" s="53"/>
      <c r="BU141" s="53"/>
      <c r="BV141" s="53"/>
      <c r="BW141" s="53"/>
      <c r="BX141" s="45"/>
      <c r="BY141" s="45"/>
      <c r="BZ141" s="53"/>
      <c r="CA141" s="53"/>
      <c r="CB141" s="53"/>
      <c r="CC141" s="53"/>
      <c r="CD141" s="53"/>
      <c r="CE141" s="53"/>
      <c r="CF141" s="35"/>
      <c r="CH141" s="35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4"/>
    </row>
    <row r="142" spans="1:98" s="55" customFormat="1" ht="12.75" customHeight="1">
      <c r="A142" s="35" t="s">
        <v>172</v>
      </c>
      <c r="B142" s="51"/>
      <c r="C142" s="35" t="s">
        <v>103</v>
      </c>
      <c r="D142" s="44"/>
      <c r="E142" s="53">
        <f t="shared" si="33"/>
        <v>452553</v>
      </c>
      <c r="F142" s="53"/>
      <c r="G142" s="53">
        <v>0</v>
      </c>
      <c r="H142" s="53"/>
      <c r="I142" s="53">
        <v>452553</v>
      </c>
      <c r="J142" s="53"/>
      <c r="K142" s="53">
        <f t="shared" si="28"/>
        <v>79319</v>
      </c>
      <c r="L142" s="53"/>
      <c r="M142" s="53">
        <v>0</v>
      </c>
      <c r="N142" s="53"/>
      <c r="O142" s="53">
        <v>79319</v>
      </c>
      <c r="P142" s="53"/>
      <c r="Q142" s="53">
        <v>0</v>
      </c>
      <c r="R142" s="53"/>
      <c r="S142" s="53">
        <v>0</v>
      </c>
      <c r="T142" s="53"/>
      <c r="U142" s="53">
        <v>373234</v>
      </c>
      <c r="V142" s="53"/>
      <c r="W142" s="53">
        <f t="shared" si="29"/>
        <v>373234</v>
      </c>
      <c r="X142" s="53"/>
      <c r="Y142" s="35" t="s">
        <v>172</v>
      </c>
      <c r="AA142" s="35" t="s">
        <v>103</v>
      </c>
      <c r="AB142" s="35"/>
      <c r="AC142" s="53">
        <v>1087705</v>
      </c>
      <c r="AD142" s="53"/>
      <c r="AE142" s="53">
        <v>1090190</v>
      </c>
      <c r="AF142" s="53"/>
      <c r="AG142" s="53">
        <v>0</v>
      </c>
      <c r="AH142" s="53"/>
      <c r="AI142" s="45">
        <f t="shared" si="30"/>
        <v>-2485</v>
      </c>
      <c r="AJ142" s="45"/>
      <c r="AK142" s="53">
        <v>0</v>
      </c>
      <c r="AL142" s="45"/>
      <c r="AM142" s="53">
        <v>0</v>
      </c>
      <c r="AN142" s="53"/>
      <c r="AO142" s="53">
        <v>0</v>
      </c>
      <c r="AP142" s="53"/>
      <c r="AQ142" s="53">
        <v>0</v>
      </c>
      <c r="AR142" s="53"/>
      <c r="AS142" s="45">
        <f t="shared" si="34"/>
        <v>-2485</v>
      </c>
      <c r="AT142" s="45"/>
      <c r="AU142" s="53">
        <v>0</v>
      </c>
      <c r="AV142" s="53"/>
      <c r="AW142" s="53">
        <v>0</v>
      </c>
      <c r="AX142" s="53"/>
      <c r="AY142" s="53">
        <f t="shared" si="31"/>
        <v>373234</v>
      </c>
      <c r="AZ142" s="53"/>
      <c r="BA142" s="35" t="s">
        <v>172</v>
      </c>
      <c r="BC142" s="35" t="s">
        <v>103</v>
      </c>
      <c r="BD142" s="53"/>
      <c r="BE142" s="53">
        <v>0</v>
      </c>
      <c r="BF142" s="53"/>
      <c r="BG142" s="53">
        <v>0</v>
      </c>
      <c r="BH142" s="53"/>
      <c r="BI142" s="53">
        <v>0</v>
      </c>
      <c r="BJ142" s="53"/>
      <c r="BK142" s="53">
        <v>0</v>
      </c>
      <c r="BL142" s="53"/>
      <c r="BM142" s="53">
        <f t="shared" si="32"/>
        <v>0</v>
      </c>
      <c r="BN142" s="54" t="s">
        <v>347</v>
      </c>
      <c r="BR142" s="51"/>
      <c r="BS142" s="53"/>
      <c r="BT142" s="53"/>
      <c r="BU142" s="53"/>
      <c r="BV142" s="53"/>
      <c r="BW142" s="53"/>
      <c r="BX142" s="45"/>
      <c r="BY142" s="45"/>
      <c r="BZ142" s="53"/>
      <c r="CA142" s="53"/>
      <c r="CB142" s="53"/>
      <c r="CC142" s="53"/>
      <c r="CD142" s="53"/>
      <c r="CE142" s="53"/>
      <c r="CF142" s="35"/>
      <c r="CH142" s="35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4"/>
    </row>
    <row r="143" spans="1:98" s="55" customFormat="1" ht="12.75" hidden="1" customHeight="1">
      <c r="A143" s="35" t="s">
        <v>66</v>
      </c>
      <c r="B143" s="51"/>
      <c r="C143" s="35" t="s">
        <v>45</v>
      </c>
      <c r="D143" s="44"/>
      <c r="E143" s="53">
        <f t="shared" si="33"/>
        <v>0</v>
      </c>
      <c r="F143" s="53"/>
      <c r="G143" s="53">
        <v>0</v>
      </c>
      <c r="H143" s="53"/>
      <c r="I143" s="53">
        <v>0</v>
      </c>
      <c r="J143" s="53"/>
      <c r="K143" s="53">
        <f t="shared" si="28"/>
        <v>0</v>
      </c>
      <c r="L143" s="53"/>
      <c r="M143" s="53">
        <v>0</v>
      </c>
      <c r="N143" s="53"/>
      <c r="O143" s="53">
        <v>0</v>
      </c>
      <c r="P143" s="53"/>
      <c r="Q143" s="53">
        <v>0</v>
      </c>
      <c r="R143" s="53"/>
      <c r="S143" s="53">
        <v>0</v>
      </c>
      <c r="T143" s="53"/>
      <c r="U143" s="53">
        <v>0</v>
      </c>
      <c r="V143" s="53"/>
      <c r="W143" s="53">
        <f t="shared" si="29"/>
        <v>0</v>
      </c>
      <c r="X143" s="53"/>
      <c r="Y143" s="35" t="s">
        <v>66</v>
      </c>
      <c r="AA143" s="35" t="s">
        <v>45</v>
      </c>
      <c r="AB143" s="35"/>
      <c r="AC143" s="53">
        <v>0</v>
      </c>
      <c r="AD143" s="53"/>
      <c r="AE143" s="53">
        <v>0</v>
      </c>
      <c r="AF143" s="53"/>
      <c r="AG143" s="53">
        <v>0</v>
      </c>
      <c r="AH143" s="53"/>
      <c r="AI143" s="45">
        <f t="shared" si="30"/>
        <v>0</v>
      </c>
      <c r="AJ143" s="45"/>
      <c r="AK143" s="53">
        <v>0</v>
      </c>
      <c r="AL143" s="45"/>
      <c r="AM143" s="53">
        <v>0</v>
      </c>
      <c r="AN143" s="53"/>
      <c r="AO143" s="53">
        <v>0</v>
      </c>
      <c r="AP143" s="53"/>
      <c r="AQ143" s="53">
        <v>0</v>
      </c>
      <c r="AR143" s="53"/>
      <c r="AS143" s="45">
        <f t="shared" si="34"/>
        <v>0</v>
      </c>
      <c r="AT143" s="45"/>
      <c r="AU143" s="53">
        <v>0</v>
      </c>
      <c r="AV143" s="53"/>
      <c r="AW143" s="53">
        <v>0</v>
      </c>
      <c r="AX143" s="53"/>
      <c r="AY143" s="53">
        <f t="shared" si="31"/>
        <v>0</v>
      </c>
      <c r="AZ143" s="53"/>
      <c r="BA143" s="35" t="s">
        <v>66</v>
      </c>
      <c r="BC143" s="35" t="s">
        <v>45</v>
      </c>
      <c r="BD143" s="53"/>
      <c r="BE143" s="53">
        <v>0</v>
      </c>
      <c r="BF143" s="53"/>
      <c r="BG143" s="53">
        <v>0</v>
      </c>
      <c r="BH143" s="53"/>
      <c r="BI143" s="53">
        <v>0</v>
      </c>
      <c r="BJ143" s="53"/>
      <c r="BK143" s="53">
        <v>0</v>
      </c>
      <c r="BL143" s="53"/>
      <c r="BM143" s="53">
        <f t="shared" si="32"/>
        <v>0</v>
      </c>
      <c r="BN143" s="54" t="s">
        <v>347</v>
      </c>
      <c r="BR143" s="51"/>
      <c r="BS143" s="53"/>
      <c r="BT143" s="53"/>
      <c r="BU143" s="53"/>
      <c r="BV143" s="53"/>
      <c r="BW143" s="53"/>
      <c r="BX143" s="45"/>
      <c r="BY143" s="45"/>
      <c r="BZ143" s="53"/>
      <c r="CA143" s="53"/>
      <c r="CB143" s="53"/>
      <c r="CC143" s="53"/>
      <c r="CD143" s="53"/>
      <c r="CE143" s="53"/>
      <c r="CF143" s="35"/>
      <c r="CH143" s="35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4"/>
    </row>
    <row r="144" spans="1:98" s="140" customFormat="1" ht="12.75" hidden="1" customHeight="1">
      <c r="A144" s="126" t="s">
        <v>173</v>
      </c>
      <c r="B144" s="124"/>
      <c r="C144" s="126" t="s">
        <v>66</v>
      </c>
      <c r="D144" s="121"/>
      <c r="E144" s="53">
        <f t="shared" si="33"/>
        <v>0</v>
      </c>
      <c r="F144" s="53"/>
      <c r="G144" s="53">
        <v>0</v>
      </c>
      <c r="H144" s="53"/>
      <c r="I144" s="53">
        <v>0</v>
      </c>
      <c r="J144" s="53"/>
      <c r="K144" s="53">
        <f t="shared" si="28"/>
        <v>0</v>
      </c>
      <c r="L144" s="53"/>
      <c r="M144" s="53">
        <v>0</v>
      </c>
      <c r="N144" s="53"/>
      <c r="O144" s="53">
        <v>0</v>
      </c>
      <c r="P144" s="53"/>
      <c r="Q144" s="53">
        <v>0</v>
      </c>
      <c r="R144" s="53"/>
      <c r="S144" s="53">
        <v>0</v>
      </c>
      <c r="T144" s="53"/>
      <c r="U144" s="53">
        <v>0</v>
      </c>
      <c r="V144" s="53"/>
      <c r="W144" s="53">
        <f t="shared" si="29"/>
        <v>0</v>
      </c>
      <c r="X144" s="137"/>
      <c r="Y144" s="126" t="s">
        <v>173</v>
      </c>
      <c r="AA144" s="126" t="s">
        <v>66</v>
      </c>
      <c r="AB144" s="126"/>
      <c r="AC144" s="53">
        <v>0</v>
      </c>
      <c r="AD144" s="53"/>
      <c r="AE144" s="53">
        <v>0</v>
      </c>
      <c r="AF144" s="53"/>
      <c r="AG144" s="53">
        <v>0</v>
      </c>
      <c r="AH144" s="53"/>
      <c r="AI144" s="45">
        <f t="shared" si="30"/>
        <v>0</v>
      </c>
      <c r="AJ144" s="45"/>
      <c r="AK144" s="53">
        <v>0</v>
      </c>
      <c r="AL144" s="45"/>
      <c r="AM144" s="53">
        <v>0</v>
      </c>
      <c r="AN144" s="53"/>
      <c r="AO144" s="53">
        <v>0</v>
      </c>
      <c r="AP144" s="53"/>
      <c r="AQ144" s="53">
        <v>0</v>
      </c>
      <c r="AR144" s="53"/>
      <c r="AS144" s="45">
        <f t="shared" si="34"/>
        <v>0</v>
      </c>
      <c r="AT144" s="45"/>
      <c r="AU144" s="53">
        <v>0</v>
      </c>
      <c r="AV144" s="53"/>
      <c r="AW144" s="53">
        <v>0</v>
      </c>
      <c r="AX144" s="53"/>
      <c r="AY144" s="53">
        <f t="shared" si="31"/>
        <v>0</v>
      </c>
      <c r="AZ144" s="53"/>
      <c r="BA144" s="126" t="s">
        <v>173</v>
      </c>
      <c r="BC144" s="126" t="s">
        <v>66</v>
      </c>
      <c r="BD144" s="137"/>
      <c r="BE144" s="53">
        <v>0</v>
      </c>
      <c r="BF144" s="53"/>
      <c r="BG144" s="53">
        <v>0</v>
      </c>
      <c r="BH144" s="53"/>
      <c r="BI144" s="53">
        <v>0</v>
      </c>
      <c r="BJ144" s="53"/>
      <c r="BK144" s="53">
        <v>0</v>
      </c>
      <c r="BL144" s="137"/>
      <c r="BM144" s="137">
        <f t="shared" ref="BM144:BM209" si="43">SUM(BE144:BK144)</f>
        <v>0</v>
      </c>
      <c r="BN144" s="139" t="s">
        <v>347</v>
      </c>
      <c r="BR144" s="124"/>
      <c r="BS144" s="137"/>
      <c r="BT144" s="137"/>
      <c r="BU144" s="137"/>
      <c r="BV144" s="137"/>
      <c r="BW144" s="137"/>
      <c r="BX144" s="127"/>
      <c r="BY144" s="127"/>
      <c r="BZ144" s="137"/>
      <c r="CA144" s="137"/>
      <c r="CB144" s="137"/>
      <c r="CC144" s="137"/>
      <c r="CD144" s="137"/>
      <c r="CE144" s="137"/>
      <c r="CF144" s="126"/>
      <c r="CH144" s="126"/>
      <c r="CI144" s="137"/>
      <c r="CJ144" s="137"/>
      <c r="CK144" s="137"/>
      <c r="CL144" s="137"/>
      <c r="CM144" s="137"/>
      <c r="CN144" s="137"/>
      <c r="CO144" s="137"/>
      <c r="CP144" s="137"/>
      <c r="CQ144" s="137"/>
      <c r="CR144" s="137"/>
      <c r="CS144" s="139"/>
    </row>
    <row r="145" spans="1:97" s="140" customFormat="1" ht="12.75" hidden="1" customHeight="1">
      <c r="A145" s="126" t="s">
        <v>174</v>
      </c>
      <c r="B145" s="124"/>
      <c r="C145" s="126" t="s">
        <v>45</v>
      </c>
      <c r="D145" s="121"/>
      <c r="E145" s="53">
        <f t="shared" si="33"/>
        <v>0</v>
      </c>
      <c r="F145" s="53"/>
      <c r="G145" s="53">
        <v>0</v>
      </c>
      <c r="H145" s="53"/>
      <c r="I145" s="53">
        <v>0</v>
      </c>
      <c r="J145" s="53"/>
      <c r="K145" s="53">
        <f t="shared" ref="K145:K174" si="44">O145-M145</f>
        <v>0</v>
      </c>
      <c r="L145" s="53"/>
      <c r="M145" s="53">
        <v>0</v>
      </c>
      <c r="N145" s="53"/>
      <c r="O145" s="53">
        <v>0</v>
      </c>
      <c r="P145" s="53"/>
      <c r="Q145" s="53">
        <v>0</v>
      </c>
      <c r="R145" s="53"/>
      <c r="S145" s="53">
        <v>0</v>
      </c>
      <c r="T145" s="53"/>
      <c r="U145" s="53">
        <v>0</v>
      </c>
      <c r="V145" s="53"/>
      <c r="W145" s="53">
        <f t="shared" ref="W145:W174" si="45">SUM(Q145:U145)</f>
        <v>0</v>
      </c>
      <c r="X145" s="137"/>
      <c r="Y145" s="126" t="s">
        <v>174</v>
      </c>
      <c r="AA145" s="126" t="s">
        <v>45</v>
      </c>
      <c r="AB145" s="126"/>
      <c r="AC145" s="53">
        <v>0</v>
      </c>
      <c r="AD145" s="53"/>
      <c r="AE145" s="53">
        <v>0</v>
      </c>
      <c r="AF145" s="53"/>
      <c r="AG145" s="53">
        <v>0</v>
      </c>
      <c r="AH145" s="53"/>
      <c r="AI145" s="45">
        <f t="shared" ref="AI145:AI174" si="46">+AC145-AE145-AG145</f>
        <v>0</v>
      </c>
      <c r="AJ145" s="45"/>
      <c r="AK145" s="53">
        <v>0</v>
      </c>
      <c r="AL145" s="45"/>
      <c r="AM145" s="53">
        <v>0</v>
      </c>
      <c r="AN145" s="53"/>
      <c r="AO145" s="53">
        <v>0</v>
      </c>
      <c r="AP145" s="53"/>
      <c r="AQ145" s="53">
        <v>0</v>
      </c>
      <c r="AR145" s="53"/>
      <c r="AS145" s="45">
        <f t="shared" si="34"/>
        <v>0</v>
      </c>
      <c r="AT145" s="45"/>
      <c r="AU145" s="53">
        <v>0</v>
      </c>
      <c r="AV145" s="53"/>
      <c r="AW145" s="53">
        <v>0</v>
      </c>
      <c r="AX145" s="53"/>
      <c r="AY145" s="53">
        <f t="shared" ref="AY145:AY174" si="47">+E145-K145</f>
        <v>0</v>
      </c>
      <c r="AZ145" s="53"/>
      <c r="BA145" s="126" t="s">
        <v>174</v>
      </c>
      <c r="BC145" s="126" t="s">
        <v>45</v>
      </c>
      <c r="BD145" s="137"/>
      <c r="BE145" s="53">
        <v>0</v>
      </c>
      <c r="BF145" s="53"/>
      <c r="BG145" s="53">
        <v>0</v>
      </c>
      <c r="BH145" s="53"/>
      <c r="BI145" s="53">
        <v>0</v>
      </c>
      <c r="BJ145" s="53"/>
      <c r="BK145" s="53">
        <v>0</v>
      </c>
      <c r="BL145" s="137"/>
      <c r="BM145" s="137">
        <f t="shared" si="43"/>
        <v>0</v>
      </c>
      <c r="BN145" s="139" t="s">
        <v>347</v>
      </c>
      <c r="BO145" s="140" t="s">
        <v>406</v>
      </c>
      <c r="BR145" s="124"/>
      <c r="BS145" s="137"/>
      <c r="BT145" s="137"/>
      <c r="BU145" s="137"/>
      <c r="BV145" s="137"/>
      <c r="BW145" s="137"/>
      <c r="BX145" s="127"/>
      <c r="BY145" s="127"/>
      <c r="BZ145" s="137"/>
      <c r="CA145" s="137"/>
      <c r="CB145" s="137"/>
      <c r="CC145" s="137"/>
      <c r="CD145" s="137"/>
      <c r="CE145" s="137"/>
      <c r="CF145" s="126"/>
      <c r="CH145" s="126"/>
      <c r="CI145" s="137"/>
      <c r="CJ145" s="137"/>
      <c r="CK145" s="137"/>
      <c r="CL145" s="137"/>
      <c r="CM145" s="137"/>
      <c r="CN145" s="137"/>
      <c r="CO145" s="137"/>
      <c r="CP145" s="137"/>
      <c r="CQ145" s="137"/>
      <c r="CR145" s="137"/>
      <c r="CS145" s="139"/>
    </row>
    <row r="146" spans="1:97" s="55" customFormat="1" ht="12.75" customHeight="1">
      <c r="A146" s="35" t="s">
        <v>175</v>
      </c>
      <c r="B146" s="51"/>
      <c r="C146" s="35" t="s">
        <v>176</v>
      </c>
      <c r="D146" s="44"/>
      <c r="E146" s="53">
        <f t="shared" si="33"/>
        <v>5636083</v>
      </c>
      <c r="F146" s="53"/>
      <c r="G146" s="53">
        <v>13425875</v>
      </c>
      <c r="H146" s="53"/>
      <c r="I146" s="53">
        <v>19061958</v>
      </c>
      <c r="J146" s="53"/>
      <c r="K146" s="53">
        <f t="shared" si="44"/>
        <v>679240</v>
      </c>
      <c r="L146" s="53"/>
      <c r="M146" s="53">
        <v>7483556</v>
      </c>
      <c r="N146" s="53"/>
      <c r="O146" s="53">
        <v>8162796</v>
      </c>
      <c r="P146" s="53"/>
      <c r="Q146" s="53">
        <v>8181502</v>
      </c>
      <c r="R146" s="53"/>
      <c r="S146" s="53">
        <v>2527724</v>
      </c>
      <c r="T146" s="53"/>
      <c r="U146" s="53">
        <v>189963</v>
      </c>
      <c r="V146" s="53"/>
      <c r="W146" s="53">
        <f t="shared" si="45"/>
        <v>10899189</v>
      </c>
      <c r="X146" s="53"/>
      <c r="Y146" s="35" t="s">
        <v>175</v>
      </c>
      <c r="AA146" s="35" t="s">
        <v>176</v>
      </c>
      <c r="AB146" s="35"/>
      <c r="AC146" s="53">
        <v>2718245</v>
      </c>
      <c r="AD146" s="53"/>
      <c r="AE146" s="53">
        <f>2552448-554146</f>
        <v>1998302</v>
      </c>
      <c r="AF146" s="53"/>
      <c r="AG146" s="53">
        <v>554146</v>
      </c>
      <c r="AH146" s="53"/>
      <c r="AI146" s="45">
        <f t="shared" si="46"/>
        <v>165797</v>
      </c>
      <c r="AJ146" s="45"/>
      <c r="AK146" s="53">
        <v>-332497</v>
      </c>
      <c r="AL146" s="45"/>
      <c r="AM146" s="53">
        <v>0</v>
      </c>
      <c r="AN146" s="53"/>
      <c r="AO146" s="53">
        <v>0</v>
      </c>
      <c r="AP146" s="53"/>
      <c r="AQ146" s="53">
        <v>0</v>
      </c>
      <c r="AR146" s="53"/>
      <c r="AS146" s="45">
        <f t="shared" si="34"/>
        <v>-166700</v>
      </c>
      <c r="AT146" s="45"/>
      <c r="AU146" s="53">
        <v>0</v>
      </c>
      <c r="AV146" s="53"/>
      <c r="AW146" s="53">
        <v>0</v>
      </c>
      <c r="AX146" s="53"/>
      <c r="AY146" s="53">
        <f t="shared" si="47"/>
        <v>4956843</v>
      </c>
      <c r="AZ146" s="53"/>
      <c r="BA146" s="35" t="s">
        <v>175</v>
      </c>
      <c r="BC146" s="35" t="s">
        <v>176</v>
      </c>
      <c r="BD146" s="53"/>
      <c r="BE146" s="53">
        <f>7359517+434482</f>
        <v>7793999</v>
      </c>
      <c r="BF146" s="53"/>
      <c r="BG146" s="53">
        <v>0</v>
      </c>
      <c r="BH146" s="53"/>
      <c r="BI146" s="53">
        <v>0</v>
      </c>
      <c r="BJ146" s="53"/>
      <c r="BK146" s="53">
        <f>124039+63455</f>
        <v>187494</v>
      </c>
      <c r="BL146" s="53"/>
      <c r="BM146" s="53">
        <f t="shared" si="43"/>
        <v>7981493</v>
      </c>
      <c r="BN146" s="54" t="s">
        <v>347</v>
      </c>
      <c r="BO146" s="55" t="s">
        <v>406</v>
      </c>
      <c r="BR146" s="51"/>
      <c r="BS146" s="53"/>
      <c r="BT146" s="53"/>
      <c r="BU146" s="53"/>
      <c r="BV146" s="53"/>
      <c r="BW146" s="53"/>
      <c r="BX146" s="45"/>
      <c r="BY146" s="45"/>
      <c r="BZ146" s="53"/>
      <c r="CA146" s="53"/>
      <c r="CB146" s="53"/>
      <c r="CC146" s="53"/>
      <c r="CD146" s="53"/>
      <c r="CE146" s="53"/>
      <c r="CF146" s="35"/>
      <c r="CH146" s="35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4"/>
    </row>
    <row r="147" spans="1:97" s="140" customFormat="1" ht="12.75" hidden="1" customHeight="1">
      <c r="A147" s="126" t="s">
        <v>177</v>
      </c>
      <c r="B147" s="124"/>
      <c r="C147" s="126" t="s">
        <v>13</v>
      </c>
      <c r="D147" s="121"/>
      <c r="E147" s="53">
        <f t="shared" si="33"/>
        <v>0</v>
      </c>
      <c r="F147" s="53"/>
      <c r="G147" s="53">
        <v>0</v>
      </c>
      <c r="H147" s="53"/>
      <c r="I147" s="53">
        <v>0</v>
      </c>
      <c r="J147" s="53"/>
      <c r="K147" s="53">
        <f t="shared" si="44"/>
        <v>0</v>
      </c>
      <c r="L147" s="53"/>
      <c r="M147" s="53">
        <v>0</v>
      </c>
      <c r="N147" s="53"/>
      <c r="O147" s="53">
        <v>0</v>
      </c>
      <c r="P147" s="53"/>
      <c r="Q147" s="53">
        <v>0</v>
      </c>
      <c r="R147" s="53"/>
      <c r="S147" s="53">
        <v>0</v>
      </c>
      <c r="T147" s="53"/>
      <c r="U147" s="53">
        <v>0</v>
      </c>
      <c r="V147" s="53"/>
      <c r="W147" s="53">
        <f t="shared" si="45"/>
        <v>0</v>
      </c>
      <c r="X147" s="137"/>
      <c r="Y147" s="126" t="s">
        <v>177</v>
      </c>
      <c r="AA147" s="126" t="s">
        <v>13</v>
      </c>
      <c r="AB147" s="126"/>
      <c r="AC147" s="53">
        <v>0</v>
      </c>
      <c r="AD147" s="53"/>
      <c r="AE147" s="53">
        <v>0</v>
      </c>
      <c r="AF147" s="53"/>
      <c r="AG147" s="53">
        <v>0</v>
      </c>
      <c r="AH147" s="53"/>
      <c r="AI147" s="45">
        <f t="shared" si="46"/>
        <v>0</v>
      </c>
      <c r="AJ147" s="45"/>
      <c r="AK147" s="53">
        <v>0</v>
      </c>
      <c r="AL147" s="45"/>
      <c r="AM147" s="53">
        <v>0</v>
      </c>
      <c r="AN147" s="53"/>
      <c r="AO147" s="53">
        <v>0</v>
      </c>
      <c r="AP147" s="53"/>
      <c r="AQ147" s="53">
        <v>0</v>
      </c>
      <c r="AR147" s="53"/>
      <c r="AS147" s="45">
        <f t="shared" si="34"/>
        <v>0</v>
      </c>
      <c r="AT147" s="45"/>
      <c r="AU147" s="53">
        <v>0</v>
      </c>
      <c r="AV147" s="53"/>
      <c r="AW147" s="53">
        <v>0</v>
      </c>
      <c r="AX147" s="53"/>
      <c r="AY147" s="53">
        <f t="shared" si="47"/>
        <v>0</v>
      </c>
      <c r="AZ147" s="53"/>
      <c r="BA147" s="126" t="s">
        <v>177</v>
      </c>
      <c r="BC147" s="126" t="s">
        <v>13</v>
      </c>
      <c r="BD147" s="137"/>
      <c r="BE147" s="53">
        <v>0</v>
      </c>
      <c r="BF147" s="53"/>
      <c r="BG147" s="53">
        <v>0</v>
      </c>
      <c r="BH147" s="53"/>
      <c r="BI147" s="53">
        <v>0</v>
      </c>
      <c r="BJ147" s="53"/>
      <c r="BK147" s="53">
        <v>0</v>
      </c>
      <c r="BL147" s="137"/>
      <c r="BM147" s="137">
        <f t="shared" si="43"/>
        <v>0</v>
      </c>
      <c r="BN147" s="139" t="s">
        <v>347</v>
      </c>
      <c r="BR147" s="124"/>
      <c r="BS147" s="137"/>
      <c r="BT147" s="137"/>
      <c r="BU147" s="137"/>
      <c r="BV147" s="137"/>
      <c r="BW147" s="137"/>
      <c r="BX147" s="127"/>
      <c r="BY147" s="127"/>
      <c r="BZ147" s="137"/>
      <c r="CA147" s="137"/>
      <c r="CB147" s="137"/>
      <c r="CC147" s="137"/>
      <c r="CD147" s="137"/>
      <c r="CE147" s="137"/>
      <c r="CF147" s="126"/>
      <c r="CH147" s="126"/>
      <c r="CI147" s="137"/>
      <c r="CJ147" s="137"/>
      <c r="CK147" s="137"/>
      <c r="CL147" s="137"/>
      <c r="CM147" s="137"/>
      <c r="CN147" s="137"/>
      <c r="CO147" s="137"/>
      <c r="CP147" s="137"/>
      <c r="CQ147" s="137"/>
      <c r="CR147" s="137"/>
      <c r="CS147" s="139"/>
    </row>
    <row r="148" spans="1:97" s="55" customFormat="1" ht="12.75" customHeight="1">
      <c r="A148" s="35" t="s">
        <v>178</v>
      </c>
      <c r="B148" s="51"/>
      <c r="C148" s="35" t="s">
        <v>179</v>
      </c>
      <c r="D148" s="44"/>
      <c r="E148" s="53">
        <f t="shared" si="33"/>
        <v>7030994</v>
      </c>
      <c r="F148" s="53"/>
      <c r="G148" s="53">
        <v>16675491</v>
      </c>
      <c r="H148" s="53"/>
      <c r="I148" s="53">
        <v>23706485</v>
      </c>
      <c r="J148" s="53"/>
      <c r="K148" s="53">
        <f t="shared" si="44"/>
        <v>3366538</v>
      </c>
      <c r="L148" s="53"/>
      <c r="M148" s="53">
        <v>16771821</v>
      </c>
      <c r="N148" s="53"/>
      <c r="O148" s="53">
        <v>20138359</v>
      </c>
      <c r="P148" s="53"/>
      <c r="Q148" s="53">
        <v>3462842</v>
      </c>
      <c r="R148" s="53"/>
      <c r="S148" s="53">
        <v>0</v>
      </c>
      <c r="T148" s="53"/>
      <c r="U148" s="53">
        <v>3485284</v>
      </c>
      <c r="V148" s="53"/>
      <c r="W148" s="53">
        <f t="shared" si="45"/>
        <v>6948126</v>
      </c>
      <c r="X148" s="53"/>
      <c r="Y148" s="35" t="s">
        <v>178</v>
      </c>
      <c r="AA148" s="35" t="s">
        <v>179</v>
      </c>
      <c r="AB148" s="35"/>
      <c r="AC148" s="53">
        <v>3349175</v>
      </c>
      <c r="AD148" s="53"/>
      <c r="AE148" s="53">
        <f>2858208-417238</f>
        <v>2440970</v>
      </c>
      <c r="AF148" s="53"/>
      <c r="AG148" s="53">
        <v>417238</v>
      </c>
      <c r="AH148" s="53"/>
      <c r="AI148" s="45">
        <f t="shared" si="46"/>
        <v>490967</v>
      </c>
      <c r="AJ148" s="45"/>
      <c r="AK148" s="53">
        <v>-263730</v>
      </c>
      <c r="AL148" s="45"/>
      <c r="AM148" s="53">
        <v>0</v>
      </c>
      <c r="AN148" s="53"/>
      <c r="AO148" s="53">
        <v>1913007</v>
      </c>
      <c r="AP148" s="53"/>
      <c r="AQ148" s="53">
        <v>948279</v>
      </c>
      <c r="AR148" s="53"/>
      <c r="AS148" s="45">
        <f t="shared" si="34"/>
        <v>-737491</v>
      </c>
      <c r="AT148" s="45"/>
      <c r="AU148" s="53">
        <v>0</v>
      </c>
      <c r="AV148" s="53"/>
      <c r="AW148" s="53">
        <v>0</v>
      </c>
      <c r="AX148" s="53"/>
      <c r="AY148" s="53">
        <f t="shared" si="47"/>
        <v>3664456</v>
      </c>
      <c r="AZ148" s="53"/>
      <c r="BA148" s="35" t="s">
        <v>178</v>
      </c>
      <c r="BC148" s="35" t="s">
        <v>179</v>
      </c>
      <c r="BD148" s="53"/>
      <c r="BE148" s="53">
        <f>3380000+5589600</f>
        <v>8969600</v>
      </c>
      <c r="BF148" s="53"/>
      <c r="BG148" s="53">
        <f>1770000+180000</f>
        <v>1950000</v>
      </c>
      <c r="BH148" s="53"/>
      <c r="BI148" s="53">
        <f>1837393+483161+507904+5166957+37609+365299+28685</f>
        <v>8427008</v>
      </c>
      <c r="BJ148" s="53"/>
      <c r="BK148" s="53">
        <f>4800+88606+82754+3380000+75046</f>
        <v>3631206</v>
      </c>
      <c r="BL148" s="53"/>
      <c r="BM148" s="53">
        <f t="shared" si="43"/>
        <v>22977814</v>
      </c>
      <c r="BN148" s="54" t="s">
        <v>347</v>
      </c>
      <c r="BR148" s="51"/>
      <c r="BS148" s="53"/>
      <c r="BT148" s="53"/>
      <c r="BU148" s="53"/>
      <c r="BV148" s="53"/>
      <c r="BW148" s="53"/>
      <c r="BX148" s="45"/>
      <c r="BY148" s="45"/>
      <c r="BZ148" s="53"/>
      <c r="CA148" s="53"/>
      <c r="CB148" s="53"/>
      <c r="CC148" s="53"/>
      <c r="CD148" s="53"/>
      <c r="CE148" s="53"/>
      <c r="CF148" s="35"/>
      <c r="CH148" s="35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4"/>
    </row>
    <row r="149" spans="1:97" s="55" customFormat="1" ht="12.75" customHeight="1">
      <c r="A149" s="35" t="s">
        <v>180</v>
      </c>
      <c r="B149" s="51"/>
      <c r="C149" s="35" t="s">
        <v>20</v>
      </c>
      <c r="D149" s="44"/>
      <c r="E149" s="53">
        <f t="shared" si="33"/>
        <v>742317</v>
      </c>
      <c r="F149" s="53"/>
      <c r="G149" s="53">
        <v>3756552</v>
      </c>
      <c r="H149" s="53"/>
      <c r="I149" s="53">
        <v>4498869</v>
      </c>
      <c r="J149" s="53"/>
      <c r="K149" s="53">
        <f t="shared" si="44"/>
        <v>277978</v>
      </c>
      <c r="L149" s="53"/>
      <c r="M149" s="53">
        <v>1556804</v>
      </c>
      <c r="N149" s="53"/>
      <c r="O149" s="53">
        <v>1834782</v>
      </c>
      <c r="P149" s="53"/>
      <c r="Q149" s="53">
        <v>2061933</v>
      </c>
      <c r="R149" s="53"/>
      <c r="S149" s="53">
        <v>0</v>
      </c>
      <c r="T149" s="53"/>
      <c r="U149" s="53">
        <v>602154</v>
      </c>
      <c r="V149" s="53"/>
      <c r="W149" s="53">
        <f t="shared" si="45"/>
        <v>2664087</v>
      </c>
      <c r="X149" s="53"/>
      <c r="Y149" s="35" t="s">
        <v>180</v>
      </c>
      <c r="AA149" s="35" t="s">
        <v>20</v>
      </c>
      <c r="AB149" s="35"/>
      <c r="AC149" s="53">
        <v>992286</v>
      </c>
      <c r="AD149" s="53"/>
      <c r="AE149" s="53">
        <f>920724-214108</f>
        <v>706616</v>
      </c>
      <c r="AF149" s="53"/>
      <c r="AG149" s="53">
        <v>214108</v>
      </c>
      <c r="AH149" s="53"/>
      <c r="AI149" s="45">
        <f t="shared" si="46"/>
        <v>71562</v>
      </c>
      <c r="AJ149" s="45"/>
      <c r="AK149" s="53">
        <v>-55715</v>
      </c>
      <c r="AL149" s="45"/>
      <c r="AM149" s="53">
        <v>0</v>
      </c>
      <c r="AN149" s="53"/>
      <c r="AO149" s="53">
        <v>0</v>
      </c>
      <c r="AP149" s="53"/>
      <c r="AQ149" s="53">
        <v>11220</v>
      </c>
      <c r="AR149" s="53"/>
      <c r="AS149" s="45">
        <f t="shared" si="34"/>
        <v>27067</v>
      </c>
      <c r="AT149" s="45"/>
      <c r="AU149" s="53">
        <v>0</v>
      </c>
      <c r="AV149" s="53"/>
      <c r="AW149" s="53">
        <v>0</v>
      </c>
      <c r="AX149" s="53"/>
      <c r="AY149" s="53">
        <f t="shared" si="47"/>
        <v>464339</v>
      </c>
      <c r="AZ149" s="53"/>
      <c r="BA149" s="35" t="s">
        <v>180</v>
      </c>
      <c r="BC149" s="35" t="s">
        <v>20</v>
      </c>
      <c r="BD149" s="53"/>
      <c r="BE149" s="53">
        <v>0</v>
      </c>
      <c r="BF149" s="53"/>
      <c r="BG149" s="53">
        <v>0</v>
      </c>
      <c r="BH149" s="53"/>
      <c r="BI149" s="53">
        <f>1407508+104145+176247+2905</f>
        <v>1690805</v>
      </c>
      <c r="BJ149" s="53"/>
      <c r="BK149" s="53">
        <f>3814+5013+10633+34518</f>
        <v>53978</v>
      </c>
      <c r="BL149" s="53"/>
      <c r="BM149" s="53">
        <f t="shared" si="43"/>
        <v>1744783</v>
      </c>
      <c r="BN149" s="54" t="s">
        <v>347</v>
      </c>
      <c r="BR149" s="51"/>
      <c r="BS149" s="53"/>
      <c r="BT149" s="53"/>
      <c r="BU149" s="53"/>
      <c r="BV149" s="53"/>
      <c r="BW149" s="53"/>
      <c r="BX149" s="45"/>
      <c r="BY149" s="45"/>
      <c r="BZ149" s="53"/>
      <c r="CA149" s="53"/>
      <c r="CB149" s="53"/>
      <c r="CC149" s="53"/>
      <c r="CD149" s="53"/>
      <c r="CE149" s="53"/>
      <c r="CF149" s="35"/>
      <c r="CH149" s="35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4"/>
    </row>
    <row r="150" spans="1:97" s="55" customFormat="1" ht="12.75" customHeight="1">
      <c r="A150" s="35" t="s">
        <v>182</v>
      </c>
      <c r="C150" s="35" t="s">
        <v>183</v>
      </c>
      <c r="D150" s="44"/>
      <c r="E150" s="53">
        <f t="shared" si="33"/>
        <v>861496</v>
      </c>
      <c r="F150" s="53"/>
      <c r="G150" s="53">
        <v>1118915</v>
      </c>
      <c r="H150" s="53"/>
      <c r="I150" s="53">
        <v>1980411</v>
      </c>
      <c r="J150" s="53"/>
      <c r="K150" s="53">
        <f t="shared" si="44"/>
        <v>197190</v>
      </c>
      <c r="L150" s="53"/>
      <c r="M150" s="53">
        <v>989624</v>
      </c>
      <c r="N150" s="53"/>
      <c r="O150" s="53">
        <v>1186814</v>
      </c>
      <c r="P150" s="53"/>
      <c r="Q150" s="53">
        <v>0</v>
      </c>
      <c r="R150" s="53"/>
      <c r="S150" s="53">
        <v>0</v>
      </c>
      <c r="T150" s="53"/>
      <c r="U150" s="53">
        <v>793597</v>
      </c>
      <c r="V150" s="53"/>
      <c r="W150" s="53">
        <f t="shared" si="45"/>
        <v>793597</v>
      </c>
      <c r="X150" s="53"/>
      <c r="Y150" s="35" t="s">
        <v>182</v>
      </c>
      <c r="AA150" s="35" t="s">
        <v>183</v>
      </c>
      <c r="AB150" s="35"/>
      <c r="AC150" s="53">
        <v>874719</v>
      </c>
      <c r="AD150" s="53"/>
      <c r="AE150" s="53">
        <f>1028345-477970</f>
        <v>550375</v>
      </c>
      <c r="AF150" s="53"/>
      <c r="AG150" s="53">
        <v>477970</v>
      </c>
      <c r="AH150" s="53"/>
      <c r="AI150" s="45">
        <f t="shared" si="46"/>
        <v>-153626</v>
      </c>
      <c r="AJ150" s="45"/>
      <c r="AK150" s="53">
        <v>-39742</v>
      </c>
      <c r="AL150" s="45"/>
      <c r="AM150" s="53">
        <v>0</v>
      </c>
      <c r="AN150" s="53"/>
      <c r="AO150" s="53">
        <v>0</v>
      </c>
      <c r="AP150" s="53"/>
      <c r="AQ150" s="53">
        <v>0</v>
      </c>
      <c r="AR150" s="53"/>
      <c r="AS150" s="45">
        <f t="shared" si="34"/>
        <v>-193368</v>
      </c>
      <c r="AT150" s="45"/>
      <c r="AU150" s="53">
        <v>0</v>
      </c>
      <c r="AV150" s="53"/>
      <c r="AW150" s="53">
        <v>0</v>
      </c>
      <c r="AX150" s="53"/>
      <c r="AY150" s="53">
        <f t="shared" si="47"/>
        <v>664306</v>
      </c>
      <c r="AZ150" s="53"/>
      <c r="BA150" s="35" t="s">
        <v>182</v>
      </c>
      <c r="BC150" s="35" t="s">
        <v>183</v>
      </c>
      <c r="BD150" s="53"/>
      <c r="BE150" s="53">
        <v>0</v>
      </c>
      <c r="BF150" s="53"/>
      <c r="BG150" s="53">
        <v>0</v>
      </c>
      <c r="BH150" s="53"/>
      <c r="BI150" s="53">
        <f>961301+158714</f>
        <v>1120015</v>
      </c>
      <c r="BJ150" s="53"/>
      <c r="BK150" s="53">
        <f>6916+28323</f>
        <v>35239</v>
      </c>
      <c r="BL150" s="53"/>
      <c r="BM150" s="53">
        <f t="shared" si="43"/>
        <v>1155254</v>
      </c>
      <c r="BN150" s="54" t="s">
        <v>347</v>
      </c>
      <c r="BR150" s="51"/>
      <c r="BS150" s="53"/>
      <c r="BT150" s="53"/>
      <c r="BU150" s="53"/>
      <c r="BV150" s="53"/>
      <c r="BW150" s="53"/>
      <c r="BX150" s="45"/>
      <c r="BY150" s="45"/>
      <c r="BZ150" s="53"/>
      <c r="CA150" s="53"/>
      <c r="CB150" s="53"/>
      <c r="CC150" s="53"/>
      <c r="CD150" s="53"/>
      <c r="CE150" s="53"/>
      <c r="CF150" s="35"/>
      <c r="CH150" s="35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4"/>
    </row>
    <row r="151" spans="1:97" s="55" customFormat="1" ht="12.75" customHeight="1">
      <c r="A151" s="35" t="s">
        <v>184</v>
      </c>
      <c r="B151" s="51"/>
      <c r="C151" s="35" t="s">
        <v>89</v>
      </c>
      <c r="D151" s="44"/>
      <c r="E151" s="53">
        <f t="shared" si="33"/>
        <v>867992</v>
      </c>
      <c r="F151" s="53"/>
      <c r="G151" s="53">
        <v>11827772</v>
      </c>
      <c r="H151" s="53"/>
      <c r="I151" s="53">
        <v>12695764</v>
      </c>
      <c r="J151" s="53"/>
      <c r="K151" s="53">
        <f t="shared" si="44"/>
        <v>748640</v>
      </c>
      <c r="L151" s="53"/>
      <c r="M151" s="53">
        <v>7693583</v>
      </c>
      <c r="N151" s="53"/>
      <c r="O151" s="53">
        <v>8442223</v>
      </c>
      <c r="P151" s="53"/>
      <c r="Q151" s="53">
        <v>4724223</v>
      </c>
      <c r="R151" s="53"/>
      <c r="S151" s="53">
        <v>0</v>
      </c>
      <c r="T151" s="53"/>
      <c r="U151" s="53">
        <v>-470682</v>
      </c>
      <c r="V151" s="53"/>
      <c r="W151" s="53">
        <f t="shared" si="45"/>
        <v>4253541</v>
      </c>
      <c r="X151" s="53"/>
      <c r="Y151" s="35" t="s">
        <v>184</v>
      </c>
      <c r="AA151" s="35" t="s">
        <v>89</v>
      </c>
      <c r="AB151" s="35"/>
      <c r="AC151" s="53">
        <v>1979964</v>
      </c>
      <c r="AD151" s="53"/>
      <c r="AE151" s="53">
        <f>1696535-506538</f>
        <v>1189997</v>
      </c>
      <c r="AF151" s="53"/>
      <c r="AG151" s="53">
        <v>506538</v>
      </c>
      <c r="AH151" s="53"/>
      <c r="AI151" s="45">
        <f t="shared" si="46"/>
        <v>283429</v>
      </c>
      <c r="AJ151" s="45"/>
      <c r="AK151" s="53">
        <v>-15286</v>
      </c>
      <c r="AL151" s="45"/>
      <c r="AM151" s="53">
        <v>0</v>
      </c>
      <c r="AN151" s="53"/>
      <c r="AO151" s="53">
        <v>0</v>
      </c>
      <c r="AP151" s="53"/>
      <c r="AQ151" s="53">
        <v>0</v>
      </c>
      <c r="AR151" s="53"/>
      <c r="AS151" s="45">
        <f t="shared" si="34"/>
        <v>268143</v>
      </c>
      <c r="AT151" s="45"/>
      <c r="AU151" s="53">
        <v>0</v>
      </c>
      <c r="AV151" s="53"/>
      <c r="AW151" s="53">
        <v>0</v>
      </c>
      <c r="AX151" s="53"/>
      <c r="AY151" s="53">
        <f t="shared" si="47"/>
        <v>119352</v>
      </c>
      <c r="AZ151" s="53"/>
      <c r="BA151" s="35" t="s">
        <v>184</v>
      </c>
      <c r="BC151" s="35" t="s">
        <v>89</v>
      </c>
      <c r="BD151" s="53"/>
      <c r="BE151" s="53">
        <v>0</v>
      </c>
      <c r="BF151" s="53"/>
      <c r="BG151" s="53">
        <v>0</v>
      </c>
      <c r="BH151" s="53"/>
      <c r="BI151" s="53">
        <f>305781+7269360+31540+536249</f>
        <v>8142930</v>
      </c>
      <c r="BJ151" s="53"/>
      <c r="BK151" s="53">
        <f>59355+59087+8470+53592</f>
        <v>180504</v>
      </c>
      <c r="BL151" s="53"/>
      <c r="BM151" s="53">
        <f t="shared" si="43"/>
        <v>8323434</v>
      </c>
      <c r="BN151" s="54" t="s">
        <v>347</v>
      </c>
      <c r="BR151" s="51"/>
      <c r="BS151" s="53"/>
      <c r="BT151" s="53"/>
      <c r="BU151" s="53"/>
      <c r="BV151" s="53"/>
      <c r="BW151" s="53"/>
      <c r="BX151" s="45"/>
      <c r="BY151" s="45"/>
      <c r="BZ151" s="53"/>
      <c r="CA151" s="53"/>
      <c r="CB151" s="53"/>
      <c r="CC151" s="53"/>
      <c r="CD151" s="53"/>
      <c r="CE151" s="53"/>
      <c r="CF151" s="35"/>
      <c r="CH151" s="35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4"/>
    </row>
    <row r="152" spans="1:97" s="55" customFormat="1" ht="12.75" customHeight="1">
      <c r="A152" s="35" t="s">
        <v>181</v>
      </c>
      <c r="B152" s="51"/>
      <c r="C152" s="35" t="s">
        <v>125</v>
      </c>
      <c r="D152" s="44"/>
      <c r="E152" s="53">
        <f t="shared" si="33"/>
        <v>4944717</v>
      </c>
      <c r="F152" s="53"/>
      <c r="G152" s="53">
        <v>19421065</v>
      </c>
      <c r="H152" s="53"/>
      <c r="I152" s="53">
        <v>24365782</v>
      </c>
      <c r="J152" s="53"/>
      <c r="K152" s="53">
        <f t="shared" si="44"/>
        <v>2963410</v>
      </c>
      <c r="L152" s="53"/>
      <c r="M152" s="53">
        <v>10809849</v>
      </c>
      <c r="N152" s="53"/>
      <c r="O152" s="53">
        <v>13773259</v>
      </c>
      <c r="P152" s="53"/>
      <c r="Q152" s="53">
        <v>7735604</v>
      </c>
      <c r="R152" s="53"/>
      <c r="S152" s="53">
        <v>0</v>
      </c>
      <c r="T152" s="53"/>
      <c r="U152" s="53">
        <v>2856919</v>
      </c>
      <c r="V152" s="53"/>
      <c r="W152" s="53">
        <f t="shared" si="45"/>
        <v>10592523</v>
      </c>
      <c r="X152" s="53"/>
      <c r="Y152" s="35" t="s">
        <v>181</v>
      </c>
      <c r="AA152" s="35" t="s">
        <v>125</v>
      </c>
      <c r="AB152" s="35"/>
      <c r="AC152" s="53">
        <v>5918464</v>
      </c>
      <c r="AD152" s="53"/>
      <c r="AE152" s="53">
        <f>5279788-1574496</f>
        <v>3705292</v>
      </c>
      <c r="AF152" s="53"/>
      <c r="AG152" s="53">
        <v>1574496</v>
      </c>
      <c r="AH152" s="53"/>
      <c r="AI152" s="45">
        <f t="shared" si="46"/>
        <v>638676</v>
      </c>
      <c r="AJ152" s="45"/>
      <c r="AK152" s="53">
        <v>-654386</v>
      </c>
      <c r="AL152" s="45"/>
      <c r="AM152" s="53">
        <v>439810</v>
      </c>
      <c r="AN152" s="53"/>
      <c r="AO152" s="53">
        <v>1005061</v>
      </c>
      <c r="AP152" s="53"/>
      <c r="AQ152" s="53">
        <v>3691191</v>
      </c>
      <c r="AR152" s="53"/>
      <c r="AS152" s="45">
        <f t="shared" si="34"/>
        <v>3110230</v>
      </c>
      <c r="AT152" s="45"/>
      <c r="AU152" s="53">
        <v>0</v>
      </c>
      <c r="AV152" s="53"/>
      <c r="AW152" s="53">
        <v>0</v>
      </c>
      <c r="AX152" s="53"/>
      <c r="AY152" s="53">
        <f t="shared" si="47"/>
        <v>1981307</v>
      </c>
      <c r="AZ152" s="53"/>
      <c r="BA152" s="35" t="s">
        <v>181</v>
      </c>
      <c r="BC152" s="35" t="s">
        <v>125</v>
      </c>
      <c r="BD152" s="53"/>
      <c r="BE152" s="53">
        <v>0</v>
      </c>
      <c r="BF152" s="53"/>
      <c r="BG152" s="53">
        <v>0</v>
      </c>
      <c r="BH152" s="53"/>
      <c r="BI152" s="53">
        <f>10200840+469141+947698+28433</f>
        <v>11646112</v>
      </c>
      <c r="BJ152" s="53"/>
      <c r="BK152" s="53">
        <f>13705+105647+161766+5128</f>
        <v>286246</v>
      </c>
      <c r="BL152" s="53"/>
      <c r="BM152" s="53">
        <f t="shared" si="43"/>
        <v>11932358</v>
      </c>
      <c r="BN152" s="54" t="s">
        <v>347</v>
      </c>
      <c r="BR152" s="51"/>
      <c r="BS152" s="53"/>
      <c r="BT152" s="53"/>
      <c r="BU152" s="53"/>
      <c r="BV152" s="53"/>
      <c r="BW152" s="53"/>
      <c r="BX152" s="45"/>
      <c r="BY152" s="45"/>
      <c r="BZ152" s="53"/>
      <c r="CA152" s="53"/>
      <c r="CB152" s="53"/>
      <c r="CC152" s="53"/>
      <c r="CD152" s="53"/>
      <c r="CE152" s="53"/>
      <c r="CF152" s="35"/>
      <c r="CH152" s="35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4"/>
    </row>
    <row r="153" spans="1:97" s="55" customFormat="1" ht="12.75" customHeight="1">
      <c r="A153" s="35" t="s">
        <v>185</v>
      </c>
      <c r="B153" s="51"/>
      <c r="C153" s="35" t="s">
        <v>80</v>
      </c>
      <c r="D153" s="44"/>
      <c r="E153" s="53">
        <f t="shared" si="33"/>
        <v>2089865</v>
      </c>
      <c r="F153" s="53"/>
      <c r="G153" s="53">
        <v>3955038</v>
      </c>
      <c r="H153" s="53"/>
      <c r="I153" s="53">
        <v>6044903</v>
      </c>
      <c r="J153" s="53"/>
      <c r="K153" s="53">
        <f t="shared" si="44"/>
        <v>2635863</v>
      </c>
      <c r="L153" s="53"/>
      <c r="M153" s="53">
        <v>1364706</v>
      </c>
      <c r="N153" s="53"/>
      <c r="O153" s="53">
        <v>4000569</v>
      </c>
      <c r="P153" s="53"/>
      <c r="Q153" s="53">
        <v>167089</v>
      </c>
      <c r="R153" s="53"/>
      <c r="S153" s="53">
        <v>0</v>
      </c>
      <c r="T153" s="53"/>
      <c r="U153" s="53">
        <v>1877245</v>
      </c>
      <c r="V153" s="53"/>
      <c r="W153" s="53">
        <f t="shared" si="45"/>
        <v>2044334</v>
      </c>
      <c r="X153" s="53"/>
      <c r="Y153" s="35" t="s">
        <v>185</v>
      </c>
      <c r="AA153" s="35" t="s">
        <v>80</v>
      </c>
      <c r="AB153" s="35"/>
      <c r="AC153" s="53">
        <v>2872408</v>
      </c>
      <c r="AD153" s="53"/>
      <c r="AE153" s="53">
        <f>2894022-222695</f>
        <v>2671327</v>
      </c>
      <c r="AF153" s="53"/>
      <c r="AG153" s="53">
        <v>222695</v>
      </c>
      <c r="AH153" s="53"/>
      <c r="AI153" s="45">
        <f t="shared" si="46"/>
        <v>-21614</v>
      </c>
      <c r="AJ153" s="45"/>
      <c r="AK153" s="53">
        <v>-210732</v>
      </c>
      <c r="AL153" s="45"/>
      <c r="AM153" s="53">
        <v>0</v>
      </c>
      <c r="AN153" s="53"/>
      <c r="AO153" s="53">
        <v>0</v>
      </c>
      <c r="AP153" s="53"/>
      <c r="AQ153" s="53">
        <v>0</v>
      </c>
      <c r="AR153" s="53"/>
      <c r="AS153" s="45">
        <f t="shared" si="34"/>
        <v>-232346</v>
      </c>
      <c r="AT153" s="45"/>
      <c r="AU153" s="53">
        <v>0</v>
      </c>
      <c r="AV153" s="53"/>
      <c r="AW153" s="53">
        <v>0</v>
      </c>
      <c r="AX153" s="53"/>
      <c r="AY153" s="53">
        <f t="shared" si="47"/>
        <v>-545998</v>
      </c>
      <c r="AZ153" s="53"/>
      <c r="BA153" s="35" t="s">
        <v>185</v>
      </c>
      <c r="BC153" s="35" t="s">
        <v>80</v>
      </c>
      <c r="BD153" s="53"/>
      <c r="BE153" s="53">
        <v>0</v>
      </c>
      <c r="BF153" s="53"/>
      <c r="BG153" s="53">
        <v>0</v>
      </c>
      <c r="BH153" s="53"/>
      <c r="BI153" s="53">
        <f>112534+1184016+37511+523494</f>
        <v>1857555</v>
      </c>
      <c r="BJ153" s="53"/>
      <c r="BK153" s="53">
        <f>6145+68156</f>
        <v>74301</v>
      </c>
      <c r="BL153" s="53"/>
      <c r="BM153" s="53">
        <f t="shared" si="43"/>
        <v>1931856</v>
      </c>
      <c r="BN153" s="54" t="s">
        <v>347</v>
      </c>
      <c r="BR153" s="51"/>
      <c r="BS153" s="53"/>
      <c r="BT153" s="53"/>
      <c r="BU153" s="53"/>
      <c r="BV153" s="53"/>
      <c r="BW153" s="53"/>
      <c r="BX153" s="45"/>
      <c r="BY153" s="45"/>
      <c r="BZ153" s="53"/>
      <c r="CA153" s="53"/>
      <c r="CB153" s="53"/>
      <c r="CC153" s="53"/>
      <c r="CD153" s="53"/>
      <c r="CE153" s="53"/>
      <c r="CF153" s="35"/>
      <c r="CH153" s="35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4"/>
    </row>
    <row r="154" spans="1:97" s="55" customFormat="1" ht="12.75" customHeight="1">
      <c r="A154" s="35" t="s">
        <v>186</v>
      </c>
      <c r="B154" s="51"/>
      <c r="C154" s="35" t="s">
        <v>15</v>
      </c>
      <c r="D154" s="44"/>
      <c r="E154" s="53">
        <f t="shared" si="33"/>
        <v>1399032</v>
      </c>
      <c r="F154" s="53"/>
      <c r="G154" s="53">
        <v>6250027</v>
      </c>
      <c r="H154" s="53"/>
      <c r="I154" s="53">
        <v>7649059</v>
      </c>
      <c r="J154" s="53"/>
      <c r="K154" s="53">
        <f t="shared" si="44"/>
        <v>39474</v>
      </c>
      <c r="L154" s="53"/>
      <c r="M154" s="53">
        <v>0</v>
      </c>
      <c r="N154" s="53"/>
      <c r="O154" s="53">
        <v>39474</v>
      </c>
      <c r="P154" s="53"/>
      <c r="Q154" s="53">
        <v>6250027</v>
      </c>
      <c r="R154" s="53"/>
      <c r="S154" s="53">
        <v>0</v>
      </c>
      <c r="T154" s="53"/>
      <c r="U154" s="53">
        <v>1359558</v>
      </c>
      <c r="V154" s="53"/>
      <c r="W154" s="53">
        <f t="shared" si="45"/>
        <v>7609585</v>
      </c>
      <c r="X154" s="53"/>
      <c r="Y154" s="35" t="s">
        <v>186</v>
      </c>
      <c r="AA154" s="35" t="s">
        <v>15</v>
      </c>
      <c r="AB154" s="35"/>
      <c r="AC154" s="53">
        <v>2286131</v>
      </c>
      <c r="AD154" s="53"/>
      <c r="AE154" s="53">
        <f>2003481-300121</f>
        <v>1703360</v>
      </c>
      <c r="AF154" s="53"/>
      <c r="AG154" s="53">
        <v>300121</v>
      </c>
      <c r="AH154" s="53"/>
      <c r="AI154" s="45">
        <f t="shared" si="46"/>
        <v>282650</v>
      </c>
      <c r="AJ154" s="45"/>
      <c r="AK154" s="53">
        <v>-11280</v>
      </c>
      <c r="AL154" s="45"/>
      <c r="AM154" s="53">
        <v>0</v>
      </c>
      <c r="AN154" s="53"/>
      <c r="AO154" s="53">
        <v>0</v>
      </c>
      <c r="AP154" s="53"/>
      <c r="AQ154" s="53">
        <v>69522</v>
      </c>
      <c r="AR154" s="53"/>
      <c r="AS154" s="45">
        <f t="shared" si="34"/>
        <v>340892</v>
      </c>
      <c r="AT154" s="45"/>
      <c r="AU154" s="53">
        <v>0</v>
      </c>
      <c r="AV154" s="53"/>
      <c r="AW154" s="53">
        <v>0</v>
      </c>
      <c r="AX154" s="53"/>
      <c r="AY154" s="53">
        <f t="shared" si="47"/>
        <v>1359558</v>
      </c>
      <c r="AZ154" s="53"/>
      <c r="BA154" s="35" t="s">
        <v>186</v>
      </c>
      <c r="BC154" s="35" t="s">
        <v>15</v>
      </c>
      <c r="BD154" s="53"/>
      <c r="BE154" s="53">
        <v>0</v>
      </c>
      <c r="BF154" s="53"/>
      <c r="BG154" s="53">
        <v>0</v>
      </c>
      <c r="BH154" s="53"/>
      <c r="BI154" s="53">
        <v>0</v>
      </c>
      <c r="BJ154" s="53"/>
      <c r="BK154" s="53">
        <v>0</v>
      </c>
      <c r="BL154" s="53"/>
      <c r="BM154" s="53">
        <f t="shared" si="43"/>
        <v>0</v>
      </c>
      <c r="BN154" s="54" t="s">
        <v>347</v>
      </c>
      <c r="BR154" s="51"/>
      <c r="BS154" s="53"/>
      <c r="BT154" s="53"/>
      <c r="BU154" s="53"/>
      <c r="BV154" s="53"/>
      <c r="BW154" s="53"/>
      <c r="BX154" s="45"/>
      <c r="BY154" s="45"/>
      <c r="BZ154" s="53"/>
      <c r="CA154" s="53"/>
      <c r="CB154" s="53"/>
      <c r="CC154" s="53"/>
      <c r="CD154" s="53"/>
      <c r="CE154" s="53"/>
      <c r="CF154" s="35"/>
      <c r="CH154" s="35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4"/>
    </row>
    <row r="155" spans="1:97" s="55" customFormat="1" ht="12.75" customHeight="1">
      <c r="A155" s="35" t="s">
        <v>187</v>
      </c>
      <c r="B155" s="51"/>
      <c r="C155" s="35" t="s">
        <v>27</v>
      </c>
      <c r="D155" s="44"/>
      <c r="E155" s="53">
        <f t="shared" si="33"/>
        <v>3130124</v>
      </c>
      <c r="F155" s="53"/>
      <c r="G155" s="53">
        <v>22516803</v>
      </c>
      <c r="H155" s="53"/>
      <c r="I155" s="53">
        <v>25646927</v>
      </c>
      <c r="J155" s="53"/>
      <c r="K155" s="53">
        <f t="shared" si="44"/>
        <v>2420180</v>
      </c>
      <c r="L155" s="53"/>
      <c r="M155" s="53">
        <v>9550853</v>
      </c>
      <c r="N155" s="53"/>
      <c r="O155" s="53">
        <v>11971033</v>
      </c>
      <c r="P155" s="53"/>
      <c r="Q155" s="53">
        <v>11926105</v>
      </c>
      <c r="R155" s="53"/>
      <c r="S155" s="53">
        <v>0</v>
      </c>
      <c r="T155" s="53"/>
      <c r="U155" s="53">
        <v>1749789</v>
      </c>
      <c r="V155" s="53"/>
      <c r="W155" s="53">
        <f t="shared" si="45"/>
        <v>13675894</v>
      </c>
      <c r="X155" s="53"/>
      <c r="Y155" s="35" t="s">
        <v>187</v>
      </c>
      <c r="AA155" s="35" t="s">
        <v>27</v>
      </c>
      <c r="AB155" s="35"/>
      <c r="AC155" s="53">
        <v>6370783</v>
      </c>
      <c r="AD155" s="53"/>
      <c r="AE155" s="53">
        <f>5762195-1428577</f>
        <v>4333618</v>
      </c>
      <c r="AF155" s="53"/>
      <c r="AG155" s="53">
        <v>1428577</v>
      </c>
      <c r="AH155" s="53"/>
      <c r="AI155" s="45">
        <f t="shared" si="46"/>
        <v>608588</v>
      </c>
      <c r="AJ155" s="45"/>
      <c r="AK155" s="53">
        <v>-500353</v>
      </c>
      <c r="AL155" s="45"/>
      <c r="AM155" s="53">
        <v>27781</v>
      </c>
      <c r="AN155" s="53"/>
      <c r="AO155" s="53">
        <v>0</v>
      </c>
      <c r="AP155" s="53"/>
      <c r="AQ155" s="53">
        <v>124197</v>
      </c>
      <c r="AR155" s="53"/>
      <c r="AS155" s="45">
        <f t="shared" si="34"/>
        <v>260213</v>
      </c>
      <c r="AT155" s="45"/>
      <c r="AU155" s="53">
        <v>0</v>
      </c>
      <c r="AV155" s="53"/>
      <c r="AW155" s="53">
        <v>0</v>
      </c>
      <c r="AX155" s="53"/>
      <c r="AY155" s="53">
        <f t="shared" si="47"/>
        <v>709944</v>
      </c>
      <c r="AZ155" s="53"/>
      <c r="BA155" s="35" t="s">
        <v>187</v>
      </c>
      <c r="BC155" s="35" t="s">
        <v>27</v>
      </c>
      <c r="BD155" s="53"/>
      <c r="BE155" s="53">
        <f>7681210+1053500</f>
        <v>8734710</v>
      </c>
      <c r="BF155" s="53"/>
      <c r="BG155" s="53">
        <v>0</v>
      </c>
      <c r="BH155" s="53"/>
      <c r="BI155" s="53">
        <f>950223+651668+67853+130333</f>
        <v>1800077</v>
      </c>
      <c r="BJ155" s="53"/>
      <c r="BK155" s="53">
        <f>267752+181485</f>
        <v>449237</v>
      </c>
      <c r="BL155" s="53"/>
      <c r="BM155" s="53">
        <f t="shared" si="43"/>
        <v>10984024</v>
      </c>
      <c r="BN155" s="54" t="s">
        <v>347</v>
      </c>
      <c r="BR155" s="51"/>
      <c r="BS155" s="53"/>
      <c r="BT155" s="53"/>
      <c r="BU155" s="53"/>
      <c r="BV155" s="53"/>
      <c r="BW155" s="53"/>
      <c r="BX155" s="45"/>
      <c r="BY155" s="45"/>
      <c r="BZ155" s="53"/>
      <c r="CA155" s="53"/>
      <c r="CB155" s="53"/>
      <c r="CC155" s="53"/>
      <c r="CD155" s="53"/>
      <c r="CE155" s="53"/>
      <c r="CF155" s="35"/>
      <c r="CH155" s="35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4"/>
    </row>
    <row r="156" spans="1:97" s="55" customFormat="1" ht="11.25" customHeight="1">
      <c r="A156" s="35" t="s">
        <v>189</v>
      </c>
      <c r="B156" s="51"/>
      <c r="C156" s="35" t="s">
        <v>17</v>
      </c>
      <c r="D156" s="44"/>
      <c r="E156" s="53">
        <f t="shared" si="33"/>
        <v>8844702</v>
      </c>
      <c r="F156" s="53"/>
      <c r="G156" s="53">
        <v>58581844</v>
      </c>
      <c r="H156" s="53"/>
      <c r="I156" s="53">
        <v>67426546</v>
      </c>
      <c r="J156" s="53"/>
      <c r="K156" s="53">
        <f t="shared" si="44"/>
        <v>1578453</v>
      </c>
      <c r="L156" s="53"/>
      <c r="M156" s="53">
        <v>17931982</v>
      </c>
      <c r="N156" s="53"/>
      <c r="O156" s="53">
        <v>19510435</v>
      </c>
      <c r="P156" s="53"/>
      <c r="Q156" s="53">
        <v>36294311</v>
      </c>
      <c r="R156" s="53"/>
      <c r="S156" s="53">
        <v>0</v>
      </c>
      <c r="T156" s="53"/>
      <c r="U156" s="53">
        <v>11621800</v>
      </c>
      <c r="V156" s="53"/>
      <c r="W156" s="53">
        <f t="shared" si="45"/>
        <v>47916111</v>
      </c>
      <c r="X156" s="53"/>
      <c r="Y156" s="35" t="s">
        <v>189</v>
      </c>
      <c r="AA156" s="35" t="s">
        <v>17</v>
      </c>
      <c r="AB156" s="35"/>
      <c r="AC156" s="53">
        <v>4619780</v>
      </c>
      <c r="AD156" s="53"/>
      <c r="AE156" s="53">
        <f>7480886-1819265</f>
        <v>5661621</v>
      </c>
      <c r="AF156" s="53"/>
      <c r="AG156" s="53">
        <v>1819265</v>
      </c>
      <c r="AH156" s="53"/>
      <c r="AI156" s="45">
        <f t="shared" si="46"/>
        <v>-2861106</v>
      </c>
      <c r="AJ156" s="45"/>
      <c r="AK156" s="53">
        <v>-724677</v>
      </c>
      <c r="AL156" s="45"/>
      <c r="AM156" s="53">
        <v>0</v>
      </c>
      <c r="AN156" s="53"/>
      <c r="AO156" s="53">
        <v>0</v>
      </c>
      <c r="AP156" s="53"/>
      <c r="AQ156" s="53">
        <v>1697161</v>
      </c>
      <c r="AR156" s="53"/>
      <c r="AS156" s="45">
        <f t="shared" si="34"/>
        <v>-1888622</v>
      </c>
      <c r="AT156" s="45"/>
      <c r="AU156" s="53">
        <v>0</v>
      </c>
      <c r="AV156" s="53"/>
      <c r="AW156" s="53">
        <v>0</v>
      </c>
      <c r="AX156" s="53"/>
      <c r="AY156" s="53">
        <f t="shared" si="47"/>
        <v>7266249</v>
      </c>
      <c r="AZ156" s="53"/>
      <c r="BA156" s="35" t="s">
        <v>189</v>
      </c>
      <c r="BC156" s="35" t="s">
        <v>17</v>
      </c>
      <c r="BD156" s="53"/>
      <c r="BE156" s="53">
        <f>15360000+915000</f>
        <v>16275000</v>
      </c>
      <c r="BF156" s="53"/>
      <c r="BG156" s="53">
        <v>0</v>
      </c>
      <c r="BH156" s="53"/>
      <c r="BI156" s="53">
        <f>80282+8451</f>
        <v>88733</v>
      </c>
      <c r="BJ156" s="53"/>
      <c r="BK156" s="53">
        <f>2155000+336700+90000+54300</f>
        <v>2636000</v>
      </c>
      <c r="BL156" s="53"/>
      <c r="BM156" s="53">
        <f t="shared" si="43"/>
        <v>18999733</v>
      </c>
      <c r="BN156" s="54" t="s">
        <v>347</v>
      </c>
      <c r="BR156" s="51"/>
      <c r="BS156" s="53"/>
      <c r="BT156" s="53"/>
      <c r="BU156" s="53"/>
      <c r="BV156" s="53"/>
      <c r="BW156" s="53"/>
      <c r="BX156" s="45"/>
      <c r="BY156" s="45"/>
      <c r="BZ156" s="53"/>
      <c r="CA156" s="53"/>
      <c r="CB156" s="53"/>
      <c r="CC156" s="53"/>
      <c r="CD156" s="53"/>
      <c r="CE156" s="53"/>
      <c r="CF156" s="35"/>
      <c r="CH156" s="35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4"/>
    </row>
    <row r="157" spans="1:97" s="55" customFormat="1" ht="12.75" customHeight="1">
      <c r="A157" s="35" t="s">
        <v>188</v>
      </c>
      <c r="B157" s="51"/>
      <c r="C157" s="35" t="s">
        <v>27</v>
      </c>
      <c r="D157" s="44"/>
      <c r="E157" s="53">
        <f t="shared" ref="E157:E174" si="48">+I157-G157</f>
        <v>2397830</v>
      </c>
      <c r="F157" s="53"/>
      <c r="G157" s="53">
        <v>31441654</v>
      </c>
      <c r="H157" s="53"/>
      <c r="I157" s="53">
        <v>33839484</v>
      </c>
      <c r="J157" s="53"/>
      <c r="K157" s="53">
        <f t="shared" si="44"/>
        <v>2250832</v>
      </c>
      <c r="L157" s="53"/>
      <c r="M157" s="53">
        <v>9795084</v>
      </c>
      <c r="N157" s="53"/>
      <c r="O157" s="53">
        <v>12045916</v>
      </c>
      <c r="P157" s="53"/>
      <c r="Q157" s="53">
        <v>19798777</v>
      </c>
      <c r="R157" s="53"/>
      <c r="S157" s="53">
        <v>0</v>
      </c>
      <c r="T157" s="53"/>
      <c r="U157" s="53">
        <v>1994791</v>
      </c>
      <c r="V157" s="53"/>
      <c r="W157" s="53">
        <f t="shared" si="45"/>
        <v>21793568</v>
      </c>
      <c r="X157" s="53"/>
      <c r="Y157" s="35" t="s">
        <v>188</v>
      </c>
      <c r="AA157" s="35" t="s">
        <v>27</v>
      </c>
      <c r="AB157" s="35"/>
      <c r="AC157" s="53">
        <v>5088413</v>
      </c>
      <c r="AD157" s="53"/>
      <c r="AE157" s="53">
        <f>4481299-1181504</f>
        <v>3299795</v>
      </c>
      <c r="AF157" s="53"/>
      <c r="AG157" s="53">
        <v>1181504</v>
      </c>
      <c r="AH157" s="53"/>
      <c r="AI157" s="45">
        <f t="shared" si="46"/>
        <v>607114</v>
      </c>
      <c r="AJ157" s="45"/>
      <c r="AK157" s="53">
        <v>-600323</v>
      </c>
      <c r="AL157" s="45"/>
      <c r="AM157" s="53">
        <v>0</v>
      </c>
      <c r="AN157" s="53"/>
      <c r="AO157" s="53">
        <v>0</v>
      </c>
      <c r="AP157" s="53"/>
      <c r="AQ157" s="53">
        <v>0</v>
      </c>
      <c r="AR157" s="53"/>
      <c r="AS157" s="45">
        <f t="shared" ref="AS157:AS174" si="49">+AI157+AK157+AM157-AO157+AQ157</f>
        <v>6791</v>
      </c>
      <c r="AT157" s="45"/>
      <c r="AU157" s="53">
        <v>0</v>
      </c>
      <c r="AV157" s="53"/>
      <c r="AW157" s="53">
        <v>0</v>
      </c>
      <c r="AX157" s="53"/>
      <c r="AY157" s="53">
        <f t="shared" si="47"/>
        <v>146998</v>
      </c>
      <c r="AZ157" s="53"/>
      <c r="BA157" s="35" t="s">
        <v>188</v>
      </c>
      <c r="BC157" s="35" t="s">
        <v>27</v>
      </c>
      <c r="BD157" s="53"/>
      <c r="BE157" s="53">
        <v>0</v>
      </c>
      <c r="BF157" s="53"/>
      <c r="BG157" s="53">
        <v>0</v>
      </c>
      <c r="BH157" s="53"/>
      <c r="BI157" s="53">
        <f>9190298+418702+1974066+59812</f>
        <v>11642878</v>
      </c>
      <c r="BJ157" s="53"/>
      <c r="BK157" s="53">
        <f>93498+186084</f>
        <v>279582</v>
      </c>
      <c r="BL157" s="53"/>
      <c r="BM157" s="53">
        <f t="shared" si="43"/>
        <v>11922460</v>
      </c>
      <c r="BN157" s="54" t="s">
        <v>347</v>
      </c>
      <c r="BR157" s="51"/>
      <c r="BS157" s="53"/>
      <c r="BT157" s="53"/>
      <c r="BU157" s="53"/>
      <c r="BV157" s="53"/>
      <c r="BW157" s="53"/>
      <c r="BX157" s="45"/>
      <c r="BY157" s="45"/>
      <c r="BZ157" s="53"/>
      <c r="CA157" s="53"/>
      <c r="CB157" s="53"/>
      <c r="CC157" s="53"/>
      <c r="CD157" s="53"/>
      <c r="CE157" s="53"/>
      <c r="CF157" s="35"/>
      <c r="CH157" s="35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4"/>
    </row>
    <row r="158" spans="1:97" s="140" customFormat="1" ht="12.75" hidden="1" customHeight="1">
      <c r="A158" s="126" t="s">
        <v>190</v>
      </c>
      <c r="B158" s="124"/>
      <c r="C158" s="126" t="s">
        <v>47</v>
      </c>
      <c r="D158" s="121"/>
      <c r="E158" s="53">
        <f t="shared" si="48"/>
        <v>0</v>
      </c>
      <c r="F158" s="53"/>
      <c r="G158" s="53">
        <v>0</v>
      </c>
      <c r="H158" s="53"/>
      <c r="I158" s="53">
        <v>0</v>
      </c>
      <c r="J158" s="53"/>
      <c r="K158" s="53">
        <f t="shared" si="44"/>
        <v>0</v>
      </c>
      <c r="L158" s="53"/>
      <c r="M158" s="53">
        <v>0</v>
      </c>
      <c r="N158" s="53"/>
      <c r="O158" s="53">
        <v>0</v>
      </c>
      <c r="P158" s="53"/>
      <c r="Q158" s="53">
        <v>0</v>
      </c>
      <c r="R158" s="53"/>
      <c r="S158" s="53">
        <v>0</v>
      </c>
      <c r="T158" s="53"/>
      <c r="U158" s="53">
        <v>0</v>
      </c>
      <c r="V158" s="53"/>
      <c r="W158" s="53">
        <f t="shared" si="45"/>
        <v>0</v>
      </c>
      <c r="X158" s="137"/>
      <c r="Y158" s="126" t="s">
        <v>190</v>
      </c>
      <c r="AA158" s="126" t="s">
        <v>47</v>
      </c>
      <c r="AB158" s="126"/>
      <c r="AC158" s="53">
        <v>0</v>
      </c>
      <c r="AD158" s="53"/>
      <c r="AE158" s="53">
        <v>0</v>
      </c>
      <c r="AF158" s="53"/>
      <c r="AG158" s="53">
        <v>0</v>
      </c>
      <c r="AH158" s="53"/>
      <c r="AI158" s="45">
        <f t="shared" si="46"/>
        <v>0</v>
      </c>
      <c r="AJ158" s="45"/>
      <c r="AK158" s="53">
        <v>0</v>
      </c>
      <c r="AL158" s="45"/>
      <c r="AM158" s="53">
        <v>0</v>
      </c>
      <c r="AN158" s="53"/>
      <c r="AO158" s="53">
        <v>0</v>
      </c>
      <c r="AP158" s="53"/>
      <c r="AQ158" s="53">
        <v>0</v>
      </c>
      <c r="AR158" s="53"/>
      <c r="AS158" s="45">
        <f t="shared" si="49"/>
        <v>0</v>
      </c>
      <c r="AT158" s="45"/>
      <c r="AU158" s="53">
        <v>0</v>
      </c>
      <c r="AV158" s="53"/>
      <c r="AW158" s="53">
        <v>0</v>
      </c>
      <c r="AX158" s="53"/>
      <c r="AY158" s="53">
        <f t="shared" si="47"/>
        <v>0</v>
      </c>
      <c r="AZ158" s="53"/>
      <c r="BA158" s="126" t="s">
        <v>190</v>
      </c>
      <c r="BC158" s="126" t="s">
        <v>47</v>
      </c>
      <c r="BD158" s="137"/>
      <c r="BE158" s="53">
        <v>0</v>
      </c>
      <c r="BF158" s="53"/>
      <c r="BG158" s="53">
        <v>0</v>
      </c>
      <c r="BH158" s="53"/>
      <c r="BI158" s="53">
        <v>0</v>
      </c>
      <c r="BJ158" s="53"/>
      <c r="BK158" s="53">
        <v>0</v>
      </c>
      <c r="BL158" s="137"/>
      <c r="BM158" s="137">
        <f t="shared" si="43"/>
        <v>0</v>
      </c>
      <c r="BN158" s="139" t="s">
        <v>347</v>
      </c>
      <c r="BR158" s="124"/>
      <c r="BS158" s="137" t="s">
        <v>450</v>
      </c>
      <c r="BT158" s="137"/>
      <c r="BU158" s="137"/>
      <c r="BV158" s="137"/>
      <c r="BW158" s="137"/>
      <c r="BX158" s="127"/>
      <c r="BY158" s="127"/>
      <c r="BZ158" s="137"/>
      <c r="CA158" s="137"/>
      <c r="CB158" s="137"/>
      <c r="CC158" s="137"/>
      <c r="CD158" s="137"/>
      <c r="CE158" s="137"/>
      <c r="CF158" s="126"/>
      <c r="CH158" s="126"/>
      <c r="CI158" s="137"/>
      <c r="CJ158" s="137"/>
      <c r="CK158" s="137"/>
      <c r="CL158" s="137"/>
      <c r="CM158" s="137"/>
      <c r="CN158" s="137"/>
      <c r="CO158" s="137"/>
      <c r="CP158" s="137"/>
      <c r="CQ158" s="137"/>
      <c r="CR158" s="137"/>
      <c r="CS158" s="139"/>
    </row>
    <row r="159" spans="1:97" s="140" customFormat="1" ht="12.75" hidden="1" customHeight="1">
      <c r="A159" s="126" t="s">
        <v>191</v>
      </c>
      <c r="B159" s="124"/>
      <c r="C159" s="126" t="s">
        <v>13</v>
      </c>
      <c r="D159" s="121"/>
      <c r="E159" s="53">
        <f t="shared" si="48"/>
        <v>0</v>
      </c>
      <c r="F159" s="53"/>
      <c r="G159" s="53">
        <v>0</v>
      </c>
      <c r="H159" s="53"/>
      <c r="I159" s="53">
        <v>0</v>
      </c>
      <c r="J159" s="53"/>
      <c r="K159" s="53">
        <f t="shared" si="44"/>
        <v>0</v>
      </c>
      <c r="L159" s="53"/>
      <c r="M159" s="53">
        <v>0</v>
      </c>
      <c r="N159" s="53"/>
      <c r="O159" s="53">
        <v>0</v>
      </c>
      <c r="P159" s="53"/>
      <c r="Q159" s="53">
        <v>0</v>
      </c>
      <c r="R159" s="53"/>
      <c r="S159" s="53">
        <v>0</v>
      </c>
      <c r="T159" s="53"/>
      <c r="U159" s="53">
        <v>0</v>
      </c>
      <c r="V159" s="53"/>
      <c r="W159" s="53">
        <f t="shared" si="45"/>
        <v>0</v>
      </c>
      <c r="X159" s="137"/>
      <c r="Y159" s="126" t="s">
        <v>191</v>
      </c>
      <c r="AA159" s="126" t="s">
        <v>13</v>
      </c>
      <c r="AB159" s="126"/>
      <c r="AC159" s="53">
        <v>0</v>
      </c>
      <c r="AD159" s="53"/>
      <c r="AE159" s="53">
        <v>0</v>
      </c>
      <c r="AF159" s="53"/>
      <c r="AG159" s="53">
        <v>0</v>
      </c>
      <c r="AH159" s="53"/>
      <c r="AI159" s="45">
        <f t="shared" si="46"/>
        <v>0</v>
      </c>
      <c r="AJ159" s="45"/>
      <c r="AK159" s="53">
        <v>0</v>
      </c>
      <c r="AL159" s="45"/>
      <c r="AM159" s="53">
        <v>0</v>
      </c>
      <c r="AN159" s="53"/>
      <c r="AO159" s="53">
        <v>0</v>
      </c>
      <c r="AP159" s="53"/>
      <c r="AQ159" s="53">
        <v>0</v>
      </c>
      <c r="AR159" s="53"/>
      <c r="AS159" s="45">
        <f t="shared" si="49"/>
        <v>0</v>
      </c>
      <c r="AT159" s="45"/>
      <c r="AU159" s="53">
        <v>0</v>
      </c>
      <c r="AV159" s="53"/>
      <c r="AW159" s="53">
        <v>0</v>
      </c>
      <c r="AX159" s="53"/>
      <c r="AY159" s="53">
        <f t="shared" si="47"/>
        <v>0</v>
      </c>
      <c r="AZ159" s="53"/>
      <c r="BA159" s="126" t="s">
        <v>191</v>
      </c>
      <c r="BC159" s="126" t="s">
        <v>13</v>
      </c>
      <c r="BD159" s="137"/>
      <c r="BE159" s="53">
        <v>0</v>
      </c>
      <c r="BF159" s="53"/>
      <c r="BG159" s="53">
        <v>0</v>
      </c>
      <c r="BH159" s="53"/>
      <c r="BI159" s="53">
        <v>0</v>
      </c>
      <c r="BJ159" s="53"/>
      <c r="BK159" s="53">
        <v>0</v>
      </c>
      <c r="BL159" s="137"/>
      <c r="BM159" s="137">
        <f t="shared" si="43"/>
        <v>0</v>
      </c>
      <c r="BN159" s="139" t="s">
        <v>347</v>
      </c>
      <c r="BO159" s="140" t="s">
        <v>404</v>
      </c>
      <c r="BR159" s="124"/>
      <c r="BS159" s="137"/>
      <c r="BT159" s="137"/>
      <c r="BU159" s="137"/>
      <c r="BV159" s="137"/>
      <c r="BW159" s="137"/>
      <c r="BX159" s="127"/>
      <c r="BY159" s="127"/>
      <c r="BZ159" s="137"/>
      <c r="CA159" s="137"/>
      <c r="CB159" s="137"/>
      <c r="CC159" s="137"/>
      <c r="CD159" s="137"/>
      <c r="CE159" s="137"/>
      <c r="CF159" s="126"/>
      <c r="CH159" s="126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9"/>
    </row>
    <row r="160" spans="1:97" s="55" customFormat="1" ht="12.75" customHeight="1">
      <c r="A160" s="35" t="s">
        <v>192</v>
      </c>
      <c r="C160" s="35" t="s">
        <v>38</v>
      </c>
      <c r="D160" s="44"/>
      <c r="E160" s="53">
        <f t="shared" si="48"/>
        <v>1520083</v>
      </c>
      <c r="F160" s="53"/>
      <c r="G160" s="53">
        <v>17769806</v>
      </c>
      <c r="H160" s="53"/>
      <c r="I160" s="53">
        <v>19289889</v>
      </c>
      <c r="J160" s="53"/>
      <c r="K160" s="53">
        <f t="shared" si="44"/>
        <v>736263</v>
      </c>
      <c r="L160" s="53"/>
      <c r="M160" s="53">
        <v>9622027</v>
      </c>
      <c r="N160" s="53"/>
      <c r="O160" s="53">
        <v>10358290</v>
      </c>
      <c r="P160" s="53"/>
      <c r="Q160" s="53">
        <v>7699647</v>
      </c>
      <c r="R160" s="53"/>
      <c r="S160" s="53">
        <v>0</v>
      </c>
      <c r="T160" s="53"/>
      <c r="U160" s="53">
        <v>1231952</v>
      </c>
      <c r="V160" s="53"/>
      <c r="W160" s="53">
        <f t="shared" si="45"/>
        <v>8931599</v>
      </c>
      <c r="X160" s="53"/>
      <c r="Y160" s="35" t="s">
        <v>192</v>
      </c>
      <c r="AA160" s="35" t="s">
        <v>38</v>
      </c>
      <c r="AB160" s="35"/>
      <c r="AC160" s="53">
        <v>2768798</v>
      </c>
      <c r="AD160" s="53"/>
      <c r="AE160" s="53">
        <f>2589165-725623</f>
        <v>1863542</v>
      </c>
      <c r="AF160" s="53"/>
      <c r="AG160" s="53">
        <v>725623</v>
      </c>
      <c r="AH160" s="53"/>
      <c r="AI160" s="45">
        <f t="shared" si="46"/>
        <v>179633</v>
      </c>
      <c r="AJ160" s="45"/>
      <c r="AK160" s="53">
        <v>-15166</v>
      </c>
      <c r="AL160" s="45"/>
      <c r="AM160" s="53">
        <v>0</v>
      </c>
      <c r="AN160" s="53"/>
      <c r="AO160" s="53">
        <v>0</v>
      </c>
      <c r="AP160" s="53"/>
      <c r="AQ160" s="53">
        <v>0</v>
      </c>
      <c r="AR160" s="53"/>
      <c r="AS160" s="45">
        <f t="shared" si="49"/>
        <v>164467</v>
      </c>
      <c r="AT160" s="45"/>
      <c r="AU160" s="53">
        <v>0</v>
      </c>
      <c r="AV160" s="53"/>
      <c r="AW160" s="53">
        <v>0</v>
      </c>
      <c r="AX160" s="53"/>
      <c r="AY160" s="53">
        <f t="shared" si="47"/>
        <v>783820</v>
      </c>
      <c r="AZ160" s="53"/>
      <c r="BA160" s="35" t="s">
        <v>192</v>
      </c>
      <c r="BC160" s="35" t="s">
        <v>38</v>
      </c>
      <c r="BD160" s="53"/>
      <c r="BE160" s="53">
        <v>0</v>
      </c>
      <c r="BF160" s="53"/>
      <c r="BG160" s="53">
        <v>0</v>
      </c>
      <c r="BH160" s="53"/>
      <c r="BI160" s="53">
        <f>144501+9308127+14450+542488</f>
        <v>10009566</v>
      </c>
      <c r="BJ160" s="53"/>
      <c r="BK160" s="53">
        <f>128035+41364+60884+19229</f>
        <v>249512</v>
      </c>
      <c r="BL160" s="53"/>
      <c r="BM160" s="53">
        <f t="shared" si="43"/>
        <v>10259078</v>
      </c>
      <c r="BN160" s="54" t="s">
        <v>347</v>
      </c>
      <c r="BR160" s="51"/>
      <c r="BS160" s="53"/>
      <c r="BT160" s="53"/>
      <c r="BU160" s="53"/>
      <c r="BV160" s="53"/>
      <c r="BW160" s="53"/>
      <c r="BX160" s="45"/>
      <c r="BY160" s="45"/>
      <c r="BZ160" s="53"/>
      <c r="CA160" s="53"/>
      <c r="CB160" s="53"/>
      <c r="CC160" s="53"/>
      <c r="CD160" s="53"/>
      <c r="CE160" s="53"/>
      <c r="CF160" s="35"/>
      <c r="CH160" s="35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4"/>
    </row>
    <row r="161" spans="1:98" s="140" customFormat="1" ht="12.75" hidden="1" customHeight="1">
      <c r="A161" s="126" t="s">
        <v>193</v>
      </c>
      <c r="B161" s="124"/>
      <c r="C161" s="126" t="s">
        <v>45</v>
      </c>
      <c r="D161" s="121"/>
      <c r="E161" s="53">
        <f t="shared" si="48"/>
        <v>0</v>
      </c>
      <c r="F161" s="53"/>
      <c r="G161" s="53">
        <v>0</v>
      </c>
      <c r="H161" s="53"/>
      <c r="I161" s="53">
        <v>0</v>
      </c>
      <c r="J161" s="53"/>
      <c r="K161" s="53">
        <f t="shared" si="44"/>
        <v>0</v>
      </c>
      <c r="L161" s="53"/>
      <c r="M161" s="53">
        <v>0</v>
      </c>
      <c r="N161" s="53"/>
      <c r="O161" s="53">
        <v>0</v>
      </c>
      <c r="P161" s="53"/>
      <c r="Q161" s="53">
        <v>0</v>
      </c>
      <c r="R161" s="53"/>
      <c r="S161" s="53">
        <v>0</v>
      </c>
      <c r="T161" s="53"/>
      <c r="U161" s="53">
        <v>0</v>
      </c>
      <c r="V161" s="53"/>
      <c r="W161" s="53">
        <f t="shared" si="45"/>
        <v>0</v>
      </c>
      <c r="X161" s="137"/>
      <c r="Y161" s="126" t="s">
        <v>193</v>
      </c>
      <c r="AA161" s="126" t="s">
        <v>45</v>
      </c>
      <c r="AB161" s="126"/>
      <c r="AC161" s="53">
        <v>0</v>
      </c>
      <c r="AD161" s="53"/>
      <c r="AE161" s="53">
        <v>0</v>
      </c>
      <c r="AF161" s="53"/>
      <c r="AG161" s="53">
        <v>0</v>
      </c>
      <c r="AH161" s="53"/>
      <c r="AI161" s="45">
        <f t="shared" si="46"/>
        <v>0</v>
      </c>
      <c r="AJ161" s="45"/>
      <c r="AK161" s="53">
        <v>0</v>
      </c>
      <c r="AL161" s="45"/>
      <c r="AM161" s="53">
        <v>0</v>
      </c>
      <c r="AN161" s="53"/>
      <c r="AO161" s="53">
        <v>0</v>
      </c>
      <c r="AP161" s="53"/>
      <c r="AQ161" s="53">
        <v>0</v>
      </c>
      <c r="AR161" s="53"/>
      <c r="AS161" s="45">
        <f t="shared" si="49"/>
        <v>0</v>
      </c>
      <c r="AT161" s="45"/>
      <c r="AU161" s="53">
        <v>0</v>
      </c>
      <c r="AV161" s="53"/>
      <c r="AW161" s="53">
        <v>0</v>
      </c>
      <c r="AX161" s="53"/>
      <c r="AY161" s="53">
        <f t="shared" si="47"/>
        <v>0</v>
      </c>
      <c r="AZ161" s="53"/>
      <c r="BA161" s="126" t="s">
        <v>193</v>
      </c>
      <c r="BC161" s="126" t="s">
        <v>45</v>
      </c>
      <c r="BD161" s="137"/>
      <c r="BE161" s="53">
        <v>0</v>
      </c>
      <c r="BF161" s="53"/>
      <c r="BG161" s="53">
        <v>0</v>
      </c>
      <c r="BH161" s="53"/>
      <c r="BI161" s="53">
        <v>0</v>
      </c>
      <c r="BJ161" s="53"/>
      <c r="BK161" s="53">
        <v>0</v>
      </c>
      <c r="BL161" s="137"/>
      <c r="BM161" s="137">
        <f t="shared" si="43"/>
        <v>0</v>
      </c>
      <c r="BN161" s="139" t="s">
        <v>347</v>
      </c>
      <c r="BR161" s="124"/>
      <c r="BS161" s="137"/>
      <c r="BT161" s="137"/>
      <c r="BU161" s="137"/>
      <c r="BV161" s="127"/>
      <c r="BW161" s="127"/>
      <c r="BX161" s="127"/>
      <c r="BY161" s="127"/>
      <c r="BZ161" s="137"/>
      <c r="CA161" s="137"/>
      <c r="CB161" s="137"/>
      <c r="CC161" s="137"/>
      <c r="CD161" s="137"/>
      <c r="CE161" s="137"/>
      <c r="CF161" s="126"/>
      <c r="CH161" s="126"/>
      <c r="CI161" s="137"/>
      <c r="CJ161" s="137"/>
      <c r="CK161" s="137"/>
      <c r="CL161" s="137"/>
      <c r="CM161" s="137"/>
      <c r="CN161" s="137"/>
      <c r="CO161" s="137"/>
      <c r="CP161" s="137"/>
      <c r="CQ161" s="137"/>
      <c r="CR161" s="137"/>
      <c r="CS161" s="139"/>
    </row>
    <row r="162" spans="1:98" s="55" customFormat="1" ht="12.75" customHeight="1">
      <c r="A162" s="35" t="s">
        <v>194</v>
      </c>
      <c r="B162" s="51"/>
      <c r="C162" s="35" t="s">
        <v>66</v>
      </c>
      <c r="D162" s="44"/>
      <c r="E162" s="53">
        <f t="shared" si="48"/>
        <v>648948</v>
      </c>
      <c r="F162" s="53"/>
      <c r="G162" s="53">
        <v>1029392</v>
      </c>
      <c r="H162" s="53"/>
      <c r="I162" s="53">
        <v>1678340</v>
      </c>
      <c r="J162" s="53"/>
      <c r="K162" s="53">
        <f t="shared" si="44"/>
        <v>176819</v>
      </c>
      <c r="L162" s="53"/>
      <c r="M162" s="53">
        <v>177269</v>
      </c>
      <c r="N162" s="53"/>
      <c r="O162" s="53">
        <v>354088</v>
      </c>
      <c r="P162" s="53"/>
      <c r="Q162" s="53">
        <v>861309</v>
      </c>
      <c r="R162" s="53"/>
      <c r="S162" s="53">
        <v>0</v>
      </c>
      <c r="T162" s="53"/>
      <c r="U162" s="53">
        <v>462943</v>
      </c>
      <c r="V162" s="53"/>
      <c r="W162" s="53">
        <f t="shared" si="45"/>
        <v>1324252</v>
      </c>
      <c r="X162" s="53"/>
      <c r="Y162" s="35" t="s">
        <v>194</v>
      </c>
      <c r="AA162" s="35" t="s">
        <v>66</v>
      </c>
      <c r="AB162" s="35"/>
      <c r="AC162" s="53">
        <v>1444334</v>
      </c>
      <c r="AD162" s="53"/>
      <c r="AE162" s="53">
        <f>1257164-27106</f>
        <v>1230058</v>
      </c>
      <c r="AF162" s="53"/>
      <c r="AG162" s="53">
        <v>27109</v>
      </c>
      <c r="AH162" s="53"/>
      <c r="AI162" s="45">
        <f t="shared" si="46"/>
        <v>187167</v>
      </c>
      <c r="AJ162" s="45"/>
      <c r="AK162" s="53">
        <v>9891</v>
      </c>
      <c r="AL162" s="45"/>
      <c r="AM162" s="53">
        <v>0</v>
      </c>
      <c r="AN162" s="53"/>
      <c r="AO162" s="53">
        <v>0</v>
      </c>
      <c r="AP162" s="53"/>
      <c r="AQ162" s="53">
        <v>0</v>
      </c>
      <c r="AR162" s="53"/>
      <c r="AS162" s="45">
        <f t="shared" si="49"/>
        <v>197058</v>
      </c>
      <c r="AT162" s="45"/>
      <c r="AU162" s="53">
        <v>0</v>
      </c>
      <c r="AV162" s="53"/>
      <c r="AW162" s="53">
        <v>0</v>
      </c>
      <c r="AX162" s="53"/>
      <c r="AY162" s="53">
        <f t="shared" si="47"/>
        <v>472129</v>
      </c>
      <c r="AZ162" s="53"/>
      <c r="BA162" s="35" t="s">
        <v>194</v>
      </c>
      <c r="BC162" s="35" t="s">
        <v>66</v>
      </c>
      <c r="BD162" s="53"/>
      <c r="BE162" s="53">
        <v>0</v>
      </c>
      <c r="BF162" s="53"/>
      <c r="BG162" s="53">
        <v>0</v>
      </c>
      <c r="BH162" s="53"/>
      <c r="BI162" s="53">
        <f>142224+25859</f>
        <v>168083</v>
      </c>
      <c r="BJ162" s="53"/>
      <c r="BK162" s="53">
        <f>35045+8761</f>
        <v>43806</v>
      </c>
      <c r="BL162" s="53"/>
      <c r="BM162" s="53">
        <f>SUM(BE162:BK162)</f>
        <v>211889</v>
      </c>
      <c r="BN162" s="54" t="s">
        <v>347</v>
      </c>
      <c r="BR162" s="51"/>
      <c r="BS162" s="53"/>
      <c r="BT162" s="53"/>
      <c r="BU162" s="53"/>
      <c r="BV162" s="53"/>
      <c r="BW162" s="53"/>
      <c r="BX162" s="45"/>
      <c r="BY162" s="45"/>
      <c r="BZ162" s="53"/>
      <c r="CA162" s="53"/>
      <c r="CB162" s="53"/>
      <c r="CC162" s="53"/>
      <c r="CD162" s="53"/>
      <c r="CE162" s="53"/>
      <c r="CF162" s="35"/>
      <c r="CH162" s="35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4"/>
    </row>
    <row r="163" spans="1:98" s="55" customFormat="1" ht="12.75" customHeight="1">
      <c r="A163" s="35" t="s">
        <v>195</v>
      </c>
      <c r="B163" s="51"/>
      <c r="C163" s="35" t="s">
        <v>17</v>
      </c>
      <c r="D163" s="44"/>
      <c r="E163" s="53">
        <f t="shared" si="48"/>
        <v>4472457</v>
      </c>
      <c r="F163" s="53"/>
      <c r="G163" s="53">
        <v>7506982</v>
      </c>
      <c r="H163" s="53"/>
      <c r="I163" s="53">
        <v>11979439</v>
      </c>
      <c r="J163" s="53"/>
      <c r="K163" s="53">
        <f t="shared" si="44"/>
        <v>397876</v>
      </c>
      <c r="L163" s="53"/>
      <c r="M163" s="53">
        <f>62364+1435400</f>
        <v>1497764</v>
      </c>
      <c r="N163" s="53"/>
      <c r="O163" s="53">
        <v>1895640</v>
      </c>
      <c r="P163" s="53"/>
      <c r="Q163" s="53">
        <v>5713533</v>
      </c>
      <c r="R163" s="53"/>
      <c r="S163" s="53">
        <v>0</v>
      </c>
      <c r="T163" s="53"/>
      <c r="U163" s="53">
        <v>4370266</v>
      </c>
      <c r="V163" s="53"/>
      <c r="W163" s="53">
        <f t="shared" si="45"/>
        <v>10083799</v>
      </c>
      <c r="X163" s="53"/>
      <c r="Y163" s="35" t="s">
        <v>195</v>
      </c>
      <c r="AA163" s="35" t="s">
        <v>17</v>
      </c>
      <c r="AB163" s="35"/>
      <c r="AC163" s="53">
        <v>1716221</v>
      </c>
      <c r="AD163" s="53"/>
      <c r="AE163" s="53">
        <f>1411281-399571</f>
        <v>1011710</v>
      </c>
      <c r="AF163" s="53"/>
      <c r="AG163" s="53">
        <v>399571</v>
      </c>
      <c r="AH163" s="53"/>
      <c r="AI163" s="45">
        <f t="shared" si="46"/>
        <v>304940</v>
      </c>
      <c r="AJ163" s="45"/>
      <c r="AK163" s="53">
        <v>-358218</v>
      </c>
      <c r="AL163" s="45"/>
      <c r="AM163" s="53">
        <v>0</v>
      </c>
      <c r="AN163" s="53"/>
      <c r="AO163" s="53">
        <v>24876</v>
      </c>
      <c r="AP163" s="53"/>
      <c r="AQ163" s="53">
        <v>0</v>
      </c>
      <c r="AR163" s="53"/>
      <c r="AS163" s="45">
        <f t="shared" si="49"/>
        <v>-78154</v>
      </c>
      <c r="AT163" s="45"/>
      <c r="AU163" s="53">
        <v>0</v>
      </c>
      <c r="AV163" s="53"/>
      <c r="AW163" s="53">
        <v>0</v>
      </c>
      <c r="AX163" s="53"/>
      <c r="AY163" s="53">
        <f t="shared" si="47"/>
        <v>4074581</v>
      </c>
      <c r="AZ163" s="53"/>
      <c r="BA163" s="35" t="s">
        <v>195</v>
      </c>
      <c r="BC163" s="35" t="s">
        <v>17</v>
      </c>
      <c r="BD163" s="53"/>
      <c r="BE163" s="53">
        <v>0</v>
      </c>
      <c r="BF163" s="53"/>
      <c r="BG163" s="53">
        <v>0</v>
      </c>
      <c r="BH163" s="53"/>
      <c r="BI163" s="53">
        <f>1435400+358049</f>
        <v>1793449</v>
      </c>
      <c r="BJ163" s="53"/>
      <c r="BK163" s="53">
        <v>62364</v>
      </c>
      <c r="BL163" s="53"/>
      <c r="BM163" s="53">
        <f t="shared" si="43"/>
        <v>1855813</v>
      </c>
      <c r="BN163" s="54" t="s">
        <v>347</v>
      </c>
      <c r="BR163" s="51"/>
      <c r="BS163" s="53"/>
      <c r="BT163" s="53"/>
      <c r="BU163" s="53"/>
      <c r="BV163" s="53"/>
      <c r="BW163" s="53"/>
      <c r="BX163" s="45"/>
      <c r="BY163" s="45"/>
      <c r="BZ163" s="53"/>
      <c r="CA163" s="53"/>
      <c r="CB163" s="53"/>
      <c r="CC163" s="53"/>
      <c r="CD163" s="53"/>
      <c r="CE163" s="53"/>
      <c r="CF163" s="35"/>
      <c r="CH163" s="35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4"/>
    </row>
    <row r="164" spans="1:98" s="140" customFormat="1" ht="12.75" hidden="1" customHeight="1">
      <c r="A164" s="126" t="s">
        <v>196</v>
      </c>
      <c r="B164" s="124"/>
      <c r="C164" s="126" t="s">
        <v>27</v>
      </c>
      <c r="D164" s="121"/>
      <c r="E164" s="53">
        <f t="shared" si="48"/>
        <v>0</v>
      </c>
      <c r="F164" s="53"/>
      <c r="G164" s="53">
        <v>0</v>
      </c>
      <c r="H164" s="53"/>
      <c r="I164" s="53">
        <v>0</v>
      </c>
      <c r="J164" s="53"/>
      <c r="K164" s="53">
        <f t="shared" si="44"/>
        <v>0</v>
      </c>
      <c r="L164" s="53"/>
      <c r="M164" s="53">
        <v>0</v>
      </c>
      <c r="N164" s="53"/>
      <c r="O164" s="53">
        <v>0</v>
      </c>
      <c r="P164" s="53"/>
      <c r="Q164" s="53">
        <v>0</v>
      </c>
      <c r="R164" s="53"/>
      <c r="S164" s="53">
        <v>0</v>
      </c>
      <c r="T164" s="53"/>
      <c r="U164" s="53">
        <v>0</v>
      </c>
      <c r="V164" s="53"/>
      <c r="W164" s="53">
        <f t="shared" si="45"/>
        <v>0</v>
      </c>
      <c r="X164" s="137"/>
      <c r="Y164" s="126" t="s">
        <v>196</v>
      </c>
      <c r="AA164" s="126" t="s">
        <v>27</v>
      </c>
      <c r="AB164" s="126"/>
      <c r="AC164" s="53">
        <v>0</v>
      </c>
      <c r="AD164" s="53"/>
      <c r="AE164" s="53">
        <v>0</v>
      </c>
      <c r="AF164" s="53"/>
      <c r="AG164" s="53">
        <v>0</v>
      </c>
      <c r="AH164" s="53"/>
      <c r="AI164" s="45">
        <f t="shared" si="46"/>
        <v>0</v>
      </c>
      <c r="AJ164" s="45"/>
      <c r="AK164" s="53">
        <v>0</v>
      </c>
      <c r="AL164" s="45"/>
      <c r="AM164" s="53">
        <v>0</v>
      </c>
      <c r="AN164" s="53"/>
      <c r="AO164" s="53">
        <v>0</v>
      </c>
      <c r="AP164" s="53"/>
      <c r="AQ164" s="53">
        <v>0</v>
      </c>
      <c r="AR164" s="53"/>
      <c r="AS164" s="45">
        <f t="shared" si="49"/>
        <v>0</v>
      </c>
      <c r="AT164" s="45"/>
      <c r="AU164" s="53">
        <v>0</v>
      </c>
      <c r="AV164" s="53"/>
      <c r="AW164" s="53">
        <v>0</v>
      </c>
      <c r="AX164" s="53"/>
      <c r="AY164" s="53">
        <f t="shared" si="47"/>
        <v>0</v>
      </c>
      <c r="AZ164" s="53"/>
      <c r="BA164" s="126" t="s">
        <v>196</v>
      </c>
      <c r="BC164" s="126" t="s">
        <v>27</v>
      </c>
      <c r="BD164" s="137"/>
      <c r="BE164" s="53">
        <v>0</v>
      </c>
      <c r="BF164" s="53"/>
      <c r="BG164" s="53">
        <v>0</v>
      </c>
      <c r="BH164" s="53"/>
      <c r="BI164" s="53">
        <v>0</v>
      </c>
      <c r="BJ164" s="53"/>
      <c r="BK164" s="53">
        <v>0</v>
      </c>
      <c r="BL164" s="137"/>
      <c r="BM164" s="137">
        <f t="shared" si="43"/>
        <v>0</v>
      </c>
      <c r="BN164" s="139" t="s">
        <v>347</v>
      </c>
      <c r="BR164" s="124"/>
      <c r="BS164" s="137"/>
      <c r="BT164" s="137"/>
      <c r="BU164" s="137"/>
      <c r="BV164" s="137"/>
      <c r="BW164" s="137"/>
      <c r="BX164" s="127"/>
      <c r="BY164" s="127"/>
      <c r="BZ164" s="137"/>
      <c r="CA164" s="137"/>
      <c r="CB164" s="137"/>
      <c r="CC164" s="137"/>
      <c r="CD164" s="137"/>
      <c r="CE164" s="137"/>
      <c r="CF164" s="126"/>
      <c r="CH164" s="126"/>
      <c r="CI164" s="137"/>
      <c r="CJ164" s="137"/>
      <c r="CK164" s="137"/>
      <c r="CL164" s="137"/>
      <c r="CM164" s="137"/>
      <c r="CN164" s="137"/>
      <c r="CO164" s="137"/>
      <c r="CP164" s="137"/>
      <c r="CQ164" s="137"/>
      <c r="CR164" s="137"/>
      <c r="CS164" s="139"/>
    </row>
    <row r="165" spans="1:98" s="55" customFormat="1" ht="12.75" customHeight="1">
      <c r="A165" s="35" t="s">
        <v>402</v>
      </c>
      <c r="B165" s="51"/>
      <c r="C165" s="35" t="s">
        <v>153</v>
      </c>
      <c r="D165" s="44"/>
      <c r="E165" s="53">
        <f t="shared" si="48"/>
        <v>1453615</v>
      </c>
      <c r="F165" s="53"/>
      <c r="G165" s="53">
        <v>8035010</v>
      </c>
      <c r="H165" s="53"/>
      <c r="I165" s="53">
        <v>9488625</v>
      </c>
      <c r="J165" s="53"/>
      <c r="K165" s="53">
        <f t="shared" si="44"/>
        <v>163435</v>
      </c>
      <c r="L165" s="53"/>
      <c r="M165" s="53">
        <v>481541</v>
      </c>
      <c r="N165" s="53"/>
      <c r="O165" s="53">
        <v>644976</v>
      </c>
      <c r="P165" s="53"/>
      <c r="Q165" s="53">
        <v>7551676</v>
      </c>
      <c r="R165" s="53"/>
      <c r="S165" s="53">
        <v>0</v>
      </c>
      <c r="T165" s="53"/>
      <c r="U165" s="53">
        <v>1291973</v>
      </c>
      <c r="V165" s="53"/>
      <c r="W165" s="53">
        <f t="shared" si="45"/>
        <v>8843649</v>
      </c>
      <c r="X165" s="53"/>
      <c r="Y165" s="35" t="s">
        <v>386</v>
      </c>
      <c r="AA165" s="35" t="s">
        <v>153</v>
      </c>
      <c r="AB165" s="35"/>
      <c r="AC165" s="53">
        <v>912993</v>
      </c>
      <c r="AD165" s="53"/>
      <c r="AE165" s="53">
        <f>1104834-247402</f>
        <v>857432</v>
      </c>
      <c r="AF165" s="53"/>
      <c r="AG165" s="53">
        <v>247402</v>
      </c>
      <c r="AH165" s="53"/>
      <c r="AI165" s="45">
        <f t="shared" si="46"/>
        <v>-191841</v>
      </c>
      <c r="AJ165" s="45"/>
      <c r="AK165" s="53">
        <v>2628</v>
      </c>
      <c r="AL165" s="45"/>
      <c r="AM165" s="53">
        <v>8333</v>
      </c>
      <c r="AN165" s="53"/>
      <c r="AO165" s="53">
        <v>0</v>
      </c>
      <c r="AP165" s="53"/>
      <c r="AQ165" s="53">
        <v>753084</v>
      </c>
      <c r="AR165" s="53"/>
      <c r="AS165" s="45">
        <f t="shared" si="49"/>
        <v>572204</v>
      </c>
      <c r="AT165" s="45"/>
      <c r="AU165" s="53">
        <v>0</v>
      </c>
      <c r="AV165" s="53"/>
      <c r="AW165" s="53">
        <v>0</v>
      </c>
      <c r="AX165" s="53"/>
      <c r="AY165" s="53">
        <f t="shared" si="47"/>
        <v>1290180</v>
      </c>
      <c r="AZ165" s="53"/>
      <c r="BA165" s="35" t="s">
        <v>386</v>
      </c>
      <c r="BC165" s="35" t="s">
        <v>153</v>
      </c>
      <c r="BD165" s="53"/>
      <c r="BE165" s="53">
        <v>0</v>
      </c>
      <c r="BF165" s="53"/>
      <c r="BG165" s="53">
        <v>0</v>
      </c>
      <c r="BH165" s="53"/>
      <c r="BI165" s="53">
        <f>466677+16667</f>
        <v>483344</v>
      </c>
      <c r="BJ165" s="53"/>
      <c r="BK165" s="53">
        <f>14874+3567</f>
        <v>18441</v>
      </c>
      <c r="BL165" s="53"/>
      <c r="BM165" s="53">
        <f t="shared" si="43"/>
        <v>501785</v>
      </c>
      <c r="BN165" s="54" t="s">
        <v>347</v>
      </c>
      <c r="BO165" s="55" t="s">
        <v>404</v>
      </c>
      <c r="BR165" s="51"/>
      <c r="BS165" s="53"/>
      <c r="BT165" s="53"/>
      <c r="BU165" s="53"/>
      <c r="BV165" s="53"/>
      <c r="BW165" s="53"/>
      <c r="BX165" s="45"/>
      <c r="BY165" s="45"/>
      <c r="BZ165" s="53"/>
      <c r="CA165" s="53"/>
      <c r="CB165" s="53"/>
      <c r="CC165" s="53"/>
      <c r="CD165" s="53"/>
      <c r="CE165" s="53"/>
      <c r="CF165" s="35"/>
      <c r="CH165" s="35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4"/>
    </row>
    <row r="166" spans="1:98" s="55" customFormat="1" ht="12.75" customHeight="1">
      <c r="A166" s="35" t="s">
        <v>197</v>
      </c>
      <c r="B166" s="51"/>
      <c r="C166" s="35" t="s">
        <v>163</v>
      </c>
      <c r="D166" s="44"/>
      <c r="E166" s="53">
        <f t="shared" si="48"/>
        <v>3145621</v>
      </c>
      <c r="F166" s="53"/>
      <c r="G166" s="53">
        <v>41428117</v>
      </c>
      <c r="H166" s="53"/>
      <c r="I166" s="53">
        <v>44573738</v>
      </c>
      <c r="J166" s="53"/>
      <c r="K166" s="53">
        <f t="shared" si="44"/>
        <v>1060095</v>
      </c>
      <c r="L166" s="53"/>
      <c r="M166" s="53">
        <v>9677380</v>
      </c>
      <c r="N166" s="53"/>
      <c r="O166" s="53">
        <v>10737475</v>
      </c>
      <c r="P166" s="53"/>
      <c r="Q166" s="53">
        <v>31056571</v>
      </c>
      <c r="R166" s="53"/>
      <c r="S166" s="53">
        <v>0</v>
      </c>
      <c r="T166" s="53"/>
      <c r="U166" s="53">
        <v>279692</v>
      </c>
      <c r="V166" s="53"/>
      <c r="W166" s="53">
        <f t="shared" si="45"/>
        <v>31336263</v>
      </c>
      <c r="X166" s="53"/>
      <c r="Y166" s="35" t="s">
        <v>197</v>
      </c>
      <c r="AA166" s="35" t="s">
        <v>163</v>
      </c>
      <c r="AB166" s="35"/>
      <c r="AC166" s="53">
        <v>3983378</v>
      </c>
      <c r="AD166" s="53"/>
      <c r="AE166" s="53">
        <f>4562533-1663568</f>
        <v>2898965</v>
      </c>
      <c r="AF166" s="53"/>
      <c r="AG166" s="53">
        <v>1663568</v>
      </c>
      <c r="AH166" s="53"/>
      <c r="AI166" s="45">
        <f t="shared" si="46"/>
        <v>-579155</v>
      </c>
      <c r="AJ166" s="45"/>
      <c r="AK166" s="53">
        <v>-426380</v>
      </c>
      <c r="AL166" s="45"/>
      <c r="AM166" s="53">
        <v>1061222</v>
      </c>
      <c r="AN166" s="53"/>
      <c r="AO166" s="53">
        <v>447159</v>
      </c>
      <c r="AP166" s="53"/>
      <c r="AQ166" s="53">
        <v>6852</v>
      </c>
      <c r="AR166" s="53"/>
      <c r="AS166" s="45">
        <f t="shared" si="49"/>
        <v>-384620</v>
      </c>
      <c r="AT166" s="45"/>
      <c r="AU166" s="53">
        <v>0</v>
      </c>
      <c r="AV166" s="53"/>
      <c r="AW166" s="53">
        <v>0</v>
      </c>
      <c r="AX166" s="53"/>
      <c r="AY166" s="53">
        <f t="shared" si="47"/>
        <v>2085526</v>
      </c>
      <c r="AZ166" s="53"/>
      <c r="BA166" s="35" t="s">
        <v>197</v>
      </c>
      <c r="BC166" s="35" t="s">
        <v>163</v>
      </c>
      <c r="BD166" s="53"/>
      <c r="BE166" s="53">
        <f>1650000+170000</f>
        <v>1820000</v>
      </c>
      <c r="BF166" s="53"/>
      <c r="BG166" s="53">
        <v>0</v>
      </c>
      <c r="BH166" s="53"/>
      <c r="BI166" s="53">
        <f>7613072+149877+778927+9670</f>
        <v>8551546</v>
      </c>
      <c r="BJ166" s="53"/>
      <c r="BK166" s="53">
        <v>264431</v>
      </c>
      <c r="BL166" s="53"/>
      <c r="BM166" s="53">
        <f t="shared" si="43"/>
        <v>10635977</v>
      </c>
      <c r="BN166" s="54" t="s">
        <v>347</v>
      </c>
      <c r="BR166" s="51"/>
      <c r="BS166" s="53"/>
      <c r="BT166" s="53"/>
      <c r="BU166" s="53"/>
      <c r="BV166" s="53"/>
      <c r="BW166" s="53"/>
      <c r="BX166" s="45"/>
      <c r="BY166" s="45"/>
      <c r="BZ166" s="53"/>
      <c r="CA166" s="53"/>
      <c r="CB166" s="53"/>
      <c r="CC166" s="53"/>
      <c r="CD166" s="53"/>
      <c r="CE166" s="53"/>
      <c r="CF166" s="35"/>
      <c r="CH166" s="35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4"/>
    </row>
    <row r="167" spans="1:98" s="55" customFormat="1" ht="12.75" customHeight="1">
      <c r="A167" s="35" t="s">
        <v>198</v>
      </c>
      <c r="B167" s="51"/>
      <c r="C167" s="35" t="s">
        <v>199</v>
      </c>
      <c r="D167" s="44"/>
      <c r="E167" s="53">
        <f t="shared" si="48"/>
        <v>3794197</v>
      </c>
      <c r="F167" s="53"/>
      <c r="G167" s="53">
        <v>7099661</v>
      </c>
      <c r="H167" s="53"/>
      <c r="I167" s="53">
        <v>10893858</v>
      </c>
      <c r="J167" s="53"/>
      <c r="K167" s="53">
        <f t="shared" si="44"/>
        <v>618067</v>
      </c>
      <c r="L167" s="53"/>
      <c r="M167" s="53">
        <v>5164</v>
      </c>
      <c r="N167" s="53"/>
      <c r="O167" s="53">
        <v>623231</v>
      </c>
      <c r="P167" s="53"/>
      <c r="Q167" s="53">
        <v>5662647</v>
      </c>
      <c r="R167" s="53"/>
      <c r="S167" s="53">
        <v>0</v>
      </c>
      <c r="T167" s="53"/>
      <c r="U167" s="53">
        <v>3662797</v>
      </c>
      <c r="V167" s="53"/>
      <c r="W167" s="53">
        <f t="shared" si="45"/>
        <v>9325444</v>
      </c>
      <c r="X167" s="53"/>
      <c r="Y167" s="35" t="s">
        <v>198</v>
      </c>
      <c r="AA167" s="35" t="s">
        <v>199</v>
      </c>
      <c r="AB167" s="35"/>
      <c r="AC167" s="53">
        <v>1872245</v>
      </c>
      <c r="AD167" s="53"/>
      <c r="AE167" s="53">
        <f>1993222-684106</f>
        <v>1309116</v>
      </c>
      <c r="AF167" s="53"/>
      <c r="AG167" s="53">
        <v>684106</v>
      </c>
      <c r="AH167" s="53"/>
      <c r="AI167" s="45">
        <f t="shared" si="46"/>
        <v>-120977</v>
      </c>
      <c r="AJ167" s="45"/>
      <c r="AK167" s="53">
        <v>-36919</v>
      </c>
      <c r="AL167" s="45"/>
      <c r="AM167" s="53">
        <v>0</v>
      </c>
      <c r="AN167" s="53"/>
      <c r="AO167" s="53">
        <v>0</v>
      </c>
      <c r="AP167" s="53"/>
      <c r="AQ167" s="53">
        <v>0</v>
      </c>
      <c r="AR167" s="53"/>
      <c r="AS167" s="45">
        <f t="shared" si="49"/>
        <v>-157896</v>
      </c>
      <c r="AT167" s="45"/>
      <c r="AU167" s="53">
        <v>0</v>
      </c>
      <c r="AV167" s="53"/>
      <c r="AW167" s="53">
        <v>0</v>
      </c>
      <c r="AX167" s="53"/>
      <c r="AY167" s="53">
        <f t="shared" si="47"/>
        <v>3176130</v>
      </c>
      <c r="AZ167" s="53"/>
      <c r="BA167" s="35" t="s">
        <v>198</v>
      </c>
      <c r="BC167" s="35" t="s">
        <v>199</v>
      </c>
      <c r="BD167" s="53"/>
      <c r="BE167" s="53">
        <v>0</v>
      </c>
      <c r="BF167" s="53"/>
      <c r="BG167" s="53">
        <v>0</v>
      </c>
      <c r="BH167" s="53"/>
      <c r="BI167" s="53">
        <v>0</v>
      </c>
      <c r="BJ167" s="53"/>
      <c r="BK167" s="53">
        <f>5164+9745</f>
        <v>14909</v>
      </c>
      <c r="BL167" s="53"/>
      <c r="BM167" s="53">
        <f t="shared" si="43"/>
        <v>14909</v>
      </c>
      <c r="BN167" s="54" t="s">
        <v>347</v>
      </c>
      <c r="BO167" s="55" t="s">
        <v>408</v>
      </c>
      <c r="BR167" s="51"/>
      <c r="BS167" s="53"/>
      <c r="BT167" s="53"/>
      <c r="BU167" s="53"/>
      <c r="BV167" s="53"/>
      <c r="BW167" s="53"/>
      <c r="BX167" s="45"/>
      <c r="BY167" s="45"/>
      <c r="BZ167" s="53"/>
      <c r="CA167" s="53"/>
      <c r="CB167" s="53"/>
      <c r="CC167" s="53"/>
      <c r="CD167" s="53"/>
      <c r="CE167" s="53"/>
      <c r="CF167" s="35"/>
      <c r="CH167" s="35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4"/>
    </row>
    <row r="168" spans="1:98" s="55" customFormat="1" ht="12.75" customHeight="1">
      <c r="A168" s="35" t="s">
        <v>200</v>
      </c>
      <c r="C168" s="35" t="s">
        <v>103</v>
      </c>
      <c r="D168" s="44"/>
      <c r="E168" s="53">
        <f t="shared" si="48"/>
        <v>7195540</v>
      </c>
      <c r="F168" s="53"/>
      <c r="G168" s="53">
        <v>15933966</v>
      </c>
      <c r="H168" s="53"/>
      <c r="I168" s="53">
        <v>23129506</v>
      </c>
      <c r="J168" s="53"/>
      <c r="K168" s="53">
        <f t="shared" si="44"/>
        <v>615992</v>
      </c>
      <c r="L168" s="53"/>
      <c r="M168" s="53">
        <v>3888547</v>
      </c>
      <c r="N168" s="53"/>
      <c r="O168" s="53">
        <v>4504539</v>
      </c>
      <c r="P168" s="53"/>
      <c r="Q168" s="53">
        <v>11801497</v>
      </c>
      <c r="R168" s="53"/>
      <c r="S168" s="53">
        <v>658547</v>
      </c>
      <c r="T168" s="53"/>
      <c r="U168" s="53">
        <v>6164923</v>
      </c>
      <c r="V168" s="53"/>
      <c r="W168" s="53">
        <f t="shared" si="45"/>
        <v>18624967</v>
      </c>
      <c r="X168" s="53"/>
      <c r="Y168" s="35" t="s">
        <v>200</v>
      </c>
      <c r="AA168" s="35" t="s">
        <v>103</v>
      </c>
      <c r="AB168" s="35"/>
      <c r="AC168" s="53">
        <v>2913694</v>
      </c>
      <c r="AD168" s="53"/>
      <c r="AE168" s="53">
        <f>2984054-872653</f>
        <v>2111401</v>
      </c>
      <c r="AF168" s="53"/>
      <c r="AG168" s="53">
        <v>872653</v>
      </c>
      <c r="AH168" s="53"/>
      <c r="AI168" s="45">
        <f t="shared" si="46"/>
        <v>-70360</v>
      </c>
      <c r="AJ168" s="45"/>
      <c r="AK168" s="53">
        <v>-98512</v>
      </c>
      <c r="AL168" s="45"/>
      <c r="AM168" s="53">
        <v>0</v>
      </c>
      <c r="AN168" s="53"/>
      <c r="AO168" s="53">
        <v>0</v>
      </c>
      <c r="AP168" s="53"/>
      <c r="AQ168" s="53">
        <v>21774</v>
      </c>
      <c r="AR168" s="53"/>
      <c r="AS168" s="45">
        <f t="shared" si="49"/>
        <v>-147098</v>
      </c>
      <c r="AT168" s="45"/>
      <c r="AU168" s="53">
        <v>0</v>
      </c>
      <c r="AV168" s="53"/>
      <c r="AW168" s="53">
        <v>0</v>
      </c>
      <c r="AX168" s="53"/>
      <c r="AY168" s="53">
        <f t="shared" si="47"/>
        <v>6579548</v>
      </c>
      <c r="AZ168" s="53"/>
      <c r="BA168" s="35" t="s">
        <v>200</v>
      </c>
      <c r="BC168" s="35" t="s">
        <v>103</v>
      </c>
      <c r="BD168" s="53"/>
      <c r="BE168" s="53">
        <v>0</v>
      </c>
      <c r="BF168" s="53"/>
      <c r="BG168" s="53">
        <v>0</v>
      </c>
      <c r="BH168" s="53"/>
      <c r="BI168" s="53">
        <f>3737241+395228</f>
        <v>4132469</v>
      </c>
      <c r="BJ168" s="53"/>
      <c r="BK168" s="53">
        <f>48262+151306</f>
        <v>199568</v>
      </c>
      <c r="BL168" s="53"/>
      <c r="BM168" s="53">
        <f t="shared" si="43"/>
        <v>4332037</v>
      </c>
      <c r="BN168" s="54" t="s">
        <v>347</v>
      </c>
      <c r="BR168" s="51"/>
      <c r="BS168" s="53"/>
      <c r="BT168" s="53"/>
      <c r="BU168" s="53"/>
      <c r="BV168" s="53"/>
      <c r="BW168" s="45"/>
      <c r="BX168" s="45"/>
      <c r="BY168" s="53"/>
      <c r="BZ168" s="53"/>
      <c r="CA168" s="53"/>
      <c r="CB168" s="53"/>
      <c r="CC168" s="53"/>
      <c r="CD168" s="53"/>
      <c r="CE168" s="53"/>
      <c r="CF168" s="35"/>
      <c r="CH168" s="35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4"/>
    </row>
    <row r="169" spans="1:98" s="55" customFormat="1" ht="12.75" customHeight="1">
      <c r="A169" s="35" t="s">
        <v>201</v>
      </c>
      <c r="C169" s="35" t="s">
        <v>92</v>
      </c>
      <c r="D169" s="44"/>
      <c r="E169" s="53">
        <f t="shared" si="48"/>
        <v>4365778</v>
      </c>
      <c r="F169" s="53"/>
      <c r="G169" s="53">
        <v>10145857</v>
      </c>
      <c r="H169" s="53"/>
      <c r="I169" s="53">
        <v>14511635</v>
      </c>
      <c r="J169" s="53"/>
      <c r="K169" s="53">
        <f t="shared" si="44"/>
        <v>1169120</v>
      </c>
      <c r="L169" s="53"/>
      <c r="M169" s="53">
        <v>2857592</v>
      </c>
      <c r="N169" s="53"/>
      <c r="O169" s="53">
        <v>4026712</v>
      </c>
      <c r="P169" s="53"/>
      <c r="Q169" s="53">
        <v>6640041</v>
      </c>
      <c r="R169" s="53"/>
      <c r="S169" s="53">
        <v>0</v>
      </c>
      <c r="T169" s="53"/>
      <c r="U169" s="53">
        <v>3844882</v>
      </c>
      <c r="V169" s="53"/>
      <c r="W169" s="53">
        <f t="shared" si="45"/>
        <v>10484923</v>
      </c>
      <c r="X169" s="53"/>
      <c r="Y169" s="35" t="s">
        <v>201</v>
      </c>
      <c r="AA169" s="35" t="s">
        <v>92</v>
      </c>
      <c r="AB169" s="35"/>
      <c r="AC169" s="53">
        <v>3317951</v>
      </c>
      <c r="AD169" s="53"/>
      <c r="AE169" s="53">
        <f>3466513-448504</f>
        <v>3018009</v>
      </c>
      <c r="AF169" s="53"/>
      <c r="AG169" s="53">
        <v>448504</v>
      </c>
      <c r="AH169" s="53"/>
      <c r="AI169" s="45">
        <f t="shared" si="46"/>
        <v>-148562</v>
      </c>
      <c r="AJ169" s="45"/>
      <c r="AK169" s="53">
        <v>412254</v>
      </c>
      <c r="AL169" s="45"/>
      <c r="AM169" s="53">
        <v>52904</v>
      </c>
      <c r="AN169" s="53"/>
      <c r="AO169" s="53">
        <v>5000</v>
      </c>
      <c r="AP169" s="53"/>
      <c r="AQ169" s="53">
        <v>0</v>
      </c>
      <c r="AR169" s="53"/>
      <c r="AS169" s="45">
        <f t="shared" si="49"/>
        <v>311596</v>
      </c>
      <c r="AT169" s="45"/>
      <c r="AU169" s="53">
        <v>0</v>
      </c>
      <c r="AV169" s="53"/>
      <c r="AW169" s="53">
        <v>0</v>
      </c>
      <c r="AX169" s="53"/>
      <c r="AY169" s="53">
        <f t="shared" si="47"/>
        <v>3196658</v>
      </c>
      <c r="AZ169" s="53"/>
      <c r="BA169" s="35" t="s">
        <v>201</v>
      </c>
      <c r="BC169" s="35" t="s">
        <v>92</v>
      </c>
      <c r="BD169" s="53"/>
      <c r="BE169" s="53">
        <v>0</v>
      </c>
      <c r="BF169" s="53"/>
      <c r="BG169" s="53">
        <v>0</v>
      </c>
      <c r="BH169" s="53"/>
      <c r="BI169" s="53">
        <f>2383233+34828+2048</f>
        <v>2420109</v>
      </c>
      <c r="BJ169" s="53"/>
      <c r="BK169" s="53">
        <f>19794+23939+242258+197273</f>
        <v>483264</v>
      </c>
      <c r="BL169" s="53"/>
      <c r="BM169" s="53">
        <f t="shared" si="43"/>
        <v>2903373</v>
      </c>
      <c r="BN169" s="54" t="s">
        <v>347</v>
      </c>
      <c r="BO169" s="35" t="s">
        <v>409</v>
      </c>
      <c r="BR169" s="51"/>
      <c r="BS169" s="53"/>
      <c r="BT169" s="53"/>
      <c r="BU169" s="53"/>
      <c r="BV169" s="53"/>
      <c r="BW169" s="53"/>
      <c r="BX169" s="45"/>
      <c r="BY169" s="45"/>
      <c r="BZ169" s="53"/>
      <c r="CA169" s="53"/>
      <c r="CB169" s="53"/>
      <c r="CC169" s="53"/>
      <c r="CD169" s="53"/>
      <c r="CE169" s="53"/>
      <c r="CF169" s="35"/>
      <c r="CH169" s="35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4"/>
      <c r="CT169" s="35"/>
    </row>
    <row r="170" spans="1:98" s="140" customFormat="1" ht="12" hidden="1" customHeight="1">
      <c r="A170" s="126" t="s">
        <v>202</v>
      </c>
      <c r="B170" s="124"/>
      <c r="C170" s="126" t="s">
        <v>27</v>
      </c>
      <c r="D170" s="121"/>
      <c r="E170" s="53">
        <f t="shared" si="48"/>
        <v>0</v>
      </c>
      <c r="F170" s="53"/>
      <c r="G170" s="53">
        <v>0</v>
      </c>
      <c r="H170" s="53"/>
      <c r="I170" s="53">
        <v>0</v>
      </c>
      <c r="J170" s="53"/>
      <c r="K170" s="53">
        <f t="shared" si="44"/>
        <v>0</v>
      </c>
      <c r="L170" s="53"/>
      <c r="M170" s="53">
        <v>0</v>
      </c>
      <c r="N170" s="53"/>
      <c r="O170" s="53">
        <v>0</v>
      </c>
      <c r="P170" s="53"/>
      <c r="Q170" s="53">
        <v>0</v>
      </c>
      <c r="R170" s="53"/>
      <c r="S170" s="53">
        <v>0</v>
      </c>
      <c r="T170" s="53"/>
      <c r="U170" s="53">
        <v>0</v>
      </c>
      <c r="V170" s="53"/>
      <c r="W170" s="53">
        <f t="shared" si="45"/>
        <v>0</v>
      </c>
      <c r="X170" s="137"/>
      <c r="Y170" s="126" t="s">
        <v>202</v>
      </c>
      <c r="AA170" s="126" t="s">
        <v>27</v>
      </c>
      <c r="AB170" s="126"/>
      <c r="AC170" s="53">
        <v>0</v>
      </c>
      <c r="AD170" s="53"/>
      <c r="AE170" s="53">
        <v>0</v>
      </c>
      <c r="AF170" s="53"/>
      <c r="AG170" s="53">
        <v>0</v>
      </c>
      <c r="AH170" s="53"/>
      <c r="AI170" s="45">
        <f t="shared" si="46"/>
        <v>0</v>
      </c>
      <c r="AJ170" s="45"/>
      <c r="AK170" s="53">
        <v>0</v>
      </c>
      <c r="AL170" s="45"/>
      <c r="AM170" s="53">
        <v>0</v>
      </c>
      <c r="AN170" s="53"/>
      <c r="AO170" s="53">
        <v>0</v>
      </c>
      <c r="AP170" s="53"/>
      <c r="AQ170" s="53">
        <v>0</v>
      </c>
      <c r="AR170" s="53"/>
      <c r="AS170" s="45">
        <f t="shared" si="49"/>
        <v>0</v>
      </c>
      <c r="AT170" s="45"/>
      <c r="AU170" s="53">
        <v>0</v>
      </c>
      <c r="AV170" s="53"/>
      <c r="AW170" s="53">
        <v>0</v>
      </c>
      <c r="AX170" s="53"/>
      <c r="AY170" s="53">
        <f t="shared" si="47"/>
        <v>0</v>
      </c>
      <c r="AZ170" s="53"/>
      <c r="BA170" s="126" t="s">
        <v>202</v>
      </c>
      <c r="BC170" s="126" t="s">
        <v>27</v>
      </c>
      <c r="BD170" s="137"/>
      <c r="BE170" s="53">
        <v>0</v>
      </c>
      <c r="BF170" s="53"/>
      <c r="BG170" s="53">
        <v>0</v>
      </c>
      <c r="BH170" s="53"/>
      <c r="BI170" s="53">
        <v>0</v>
      </c>
      <c r="BJ170" s="53"/>
      <c r="BK170" s="53">
        <v>0</v>
      </c>
      <c r="BL170" s="137"/>
      <c r="BM170" s="137">
        <f t="shared" si="43"/>
        <v>0</v>
      </c>
      <c r="BN170" s="139" t="s">
        <v>347</v>
      </c>
      <c r="BR170" s="124"/>
      <c r="BS170" s="137"/>
      <c r="BT170" s="137"/>
      <c r="BU170" s="137"/>
      <c r="BV170" s="137"/>
      <c r="BW170" s="137"/>
      <c r="BX170" s="127"/>
      <c r="BY170" s="127"/>
      <c r="BZ170" s="137"/>
      <c r="CA170" s="137"/>
      <c r="CB170" s="137"/>
      <c r="CC170" s="137"/>
      <c r="CD170" s="137"/>
      <c r="CE170" s="137"/>
      <c r="CF170" s="126"/>
      <c r="CH170" s="126"/>
      <c r="CI170" s="137"/>
      <c r="CJ170" s="137"/>
      <c r="CK170" s="137"/>
      <c r="CL170" s="137"/>
      <c r="CM170" s="137"/>
      <c r="CN170" s="137"/>
      <c r="CO170" s="137"/>
      <c r="CP170" s="137"/>
      <c r="CQ170" s="137"/>
      <c r="CR170" s="137"/>
      <c r="CS170" s="139"/>
    </row>
    <row r="171" spans="1:98" s="140" customFormat="1" ht="12" hidden="1" customHeight="1">
      <c r="A171" s="126" t="s">
        <v>203</v>
      </c>
      <c r="B171" s="124"/>
      <c r="C171" s="126" t="s">
        <v>27</v>
      </c>
      <c r="D171" s="121"/>
      <c r="E171" s="53">
        <f t="shared" si="48"/>
        <v>0</v>
      </c>
      <c r="F171" s="53"/>
      <c r="G171" s="53">
        <v>0</v>
      </c>
      <c r="H171" s="53"/>
      <c r="I171" s="53">
        <v>0</v>
      </c>
      <c r="J171" s="53"/>
      <c r="K171" s="53">
        <f t="shared" si="44"/>
        <v>0</v>
      </c>
      <c r="L171" s="53"/>
      <c r="M171" s="53">
        <v>0</v>
      </c>
      <c r="N171" s="53"/>
      <c r="O171" s="53">
        <v>0</v>
      </c>
      <c r="P171" s="53"/>
      <c r="Q171" s="53">
        <v>0</v>
      </c>
      <c r="R171" s="53"/>
      <c r="S171" s="53">
        <v>0</v>
      </c>
      <c r="T171" s="53"/>
      <c r="U171" s="53">
        <v>0</v>
      </c>
      <c r="V171" s="53"/>
      <c r="W171" s="53">
        <f t="shared" si="45"/>
        <v>0</v>
      </c>
      <c r="X171" s="137"/>
      <c r="Y171" s="126" t="s">
        <v>203</v>
      </c>
      <c r="AA171" s="126" t="s">
        <v>27</v>
      </c>
      <c r="AB171" s="126"/>
      <c r="AC171" s="53">
        <v>0</v>
      </c>
      <c r="AD171" s="53"/>
      <c r="AE171" s="53">
        <v>0</v>
      </c>
      <c r="AF171" s="53"/>
      <c r="AG171" s="53">
        <v>0</v>
      </c>
      <c r="AH171" s="53"/>
      <c r="AI171" s="45">
        <f t="shared" si="46"/>
        <v>0</v>
      </c>
      <c r="AJ171" s="45"/>
      <c r="AK171" s="53">
        <v>0</v>
      </c>
      <c r="AL171" s="45"/>
      <c r="AM171" s="53">
        <v>0</v>
      </c>
      <c r="AN171" s="53"/>
      <c r="AO171" s="53">
        <v>0</v>
      </c>
      <c r="AP171" s="53"/>
      <c r="AQ171" s="53">
        <v>0</v>
      </c>
      <c r="AR171" s="53"/>
      <c r="AS171" s="45">
        <f t="shared" si="49"/>
        <v>0</v>
      </c>
      <c r="AT171" s="45"/>
      <c r="AU171" s="53">
        <v>0</v>
      </c>
      <c r="AV171" s="53"/>
      <c r="AW171" s="53">
        <v>0</v>
      </c>
      <c r="AX171" s="53"/>
      <c r="AY171" s="53">
        <f t="shared" si="47"/>
        <v>0</v>
      </c>
      <c r="AZ171" s="53"/>
      <c r="BA171" s="126" t="s">
        <v>203</v>
      </c>
      <c r="BC171" s="126" t="s">
        <v>27</v>
      </c>
      <c r="BD171" s="137"/>
      <c r="BE171" s="53">
        <v>0</v>
      </c>
      <c r="BF171" s="53"/>
      <c r="BG171" s="53">
        <v>0</v>
      </c>
      <c r="BH171" s="53"/>
      <c r="BI171" s="53">
        <v>0</v>
      </c>
      <c r="BJ171" s="53"/>
      <c r="BK171" s="53">
        <v>0</v>
      </c>
      <c r="BL171" s="137"/>
      <c r="BM171" s="137">
        <f t="shared" si="43"/>
        <v>0</v>
      </c>
      <c r="BN171" s="139" t="s">
        <v>347</v>
      </c>
      <c r="BO171" s="140" t="s">
        <v>404</v>
      </c>
      <c r="BR171" s="124"/>
      <c r="BS171" s="137"/>
      <c r="BT171" s="137"/>
      <c r="BU171" s="137"/>
      <c r="BV171" s="137"/>
      <c r="BW171" s="137"/>
      <c r="BX171" s="127"/>
      <c r="BY171" s="127"/>
      <c r="BZ171" s="137"/>
      <c r="CA171" s="137"/>
      <c r="CB171" s="137"/>
      <c r="CC171" s="137"/>
      <c r="CD171" s="137"/>
      <c r="CE171" s="137"/>
      <c r="CF171" s="126"/>
      <c r="CH171" s="126"/>
      <c r="CI171" s="137"/>
      <c r="CJ171" s="137"/>
      <c r="CK171" s="137"/>
      <c r="CL171" s="137"/>
      <c r="CM171" s="137"/>
      <c r="CN171" s="137"/>
      <c r="CO171" s="137"/>
      <c r="CP171" s="137"/>
      <c r="CQ171" s="137"/>
      <c r="CR171" s="137"/>
      <c r="CS171" s="139"/>
    </row>
    <row r="172" spans="1:98" s="55" customFormat="1" ht="12.75" customHeight="1">
      <c r="A172" s="35" t="s">
        <v>204</v>
      </c>
      <c r="B172" s="51"/>
      <c r="C172" s="35" t="s">
        <v>125</v>
      </c>
      <c r="D172" s="44"/>
      <c r="E172" s="53">
        <f t="shared" si="48"/>
        <v>1977374</v>
      </c>
      <c r="F172" s="53"/>
      <c r="G172" s="53">
        <v>3307363</v>
      </c>
      <c r="H172" s="53"/>
      <c r="I172" s="53">
        <v>5284737</v>
      </c>
      <c r="J172" s="53"/>
      <c r="K172" s="53">
        <f t="shared" si="44"/>
        <v>323561</v>
      </c>
      <c r="L172" s="53"/>
      <c r="M172" s="53">
        <v>568350</v>
      </c>
      <c r="N172" s="53"/>
      <c r="O172" s="53">
        <v>891911</v>
      </c>
      <c r="P172" s="53"/>
      <c r="Q172" s="53">
        <v>2470755</v>
      </c>
      <c r="R172" s="53"/>
      <c r="S172" s="53">
        <v>0</v>
      </c>
      <c r="T172" s="53"/>
      <c r="U172" s="53">
        <v>1922071</v>
      </c>
      <c r="V172" s="53"/>
      <c r="W172" s="53">
        <f t="shared" si="45"/>
        <v>4392826</v>
      </c>
      <c r="X172" s="53"/>
      <c r="Y172" s="35" t="s">
        <v>204</v>
      </c>
      <c r="AA172" s="35" t="s">
        <v>125</v>
      </c>
      <c r="AB172" s="35"/>
      <c r="AC172" s="53">
        <v>861758</v>
      </c>
      <c r="AD172" s="53"/>
      <c r="AE172" s="53">
        <f>878102-176108</f>
        <v>701994</v>
      </c>
      <c r="AF172" s="53"/>
      <c r="AG172" s="53">
        <v>176108</v>
      </c>
      <c r="AH172" s="53"/>
      <c r="AI172" s="45">
        <f t="shared" si="46"/>
        <v>-16344</v>
      </c>
      <c r="AJ172" s="45"/>
      <c r="AK172" s="53">
        <v>-53696</v>
      </c>
      <c r="AL172" s="45"/>
      <c r="AM172" s="53">
        <v>0</v>
      </c>
      <c r="AN172" s="53"/>
      <c r="AO172" s="53">
        <v>0</v>
      </c>
      <c r="AP172" s="53"/>
      <c r="AQ172" s="53">
        <v>101000</v>
      </c>
      <c r="AR172" s="53"/>
      <c r="AS172" s="45">
        <f t="shared" si="49"/>
        <v>30960</v>
      </c>
      <c r="AT172" s="45"/>
      <c r="AU172" s="53">
        <v>0</v>
      </c>
      <c r="AV172" s="53"/>
      <c r="AW172" s="53">
        <v>0</v>
      </c>
      <c r="AX172" s="53"/>
      <c r="AY172" s="53">
        <f t="shared" si="47"/>
        <v>1653813</v>
      </c>
      <c r="AZ172" s="53"/>
      <c r="BA172" s="35" t="s">
        <v>204</v>
      </c>
      <c r="BC172" s="35" t="s">
        <v>125</v>
      </c>
      <c r="BD172" s="53"/>
      <c r="BE172" s="53">
        <f>520000+40000</f>
        <v>560000</v>
      </c>
      <c r="BF172" s="53"/>
      <c r="BG172" s="53">
        <v>0</v>
      </c>
      <c r="BH172" s="53"/>
      <c r="BI172" s="53">
        <f>48350+228258</f>
        <v>276608</v>
      </c>
      <c r="BJ172" s="53"/>
      <c r="BK172" s="53">
        <v>0</v>
      </c>
      <c r="BL172" s="53"/>
      <c r="BM172" s="53">
        <f t="shared" si="43"/>
        <v>836608</v>
      </c>
      <c r="BN172" s="54" t="s">
        <v>347</v>
      </c>
      <c r="BR172" s="51"/>
      <c r="BS172" s="53"/>
      <c r="BT172" s="53"/>
      <c r="BU172" s="53"/>
      <c r="BV172" s="53"/>
      <c r="BW172" s="53"/>
      <c r="BX172" s="45"/>
      <c r="BY172" s="45"/>
      <c r="BZ172" s="53"/>
      <c r="CA172" s="53"/>
      <c r="CB172" s="53"/>
      <c r="CC172" s="53"/>
      <c r="CD172" s="53"/>
      <c r="CE172" s="53"/>
      <c r="CF172" s="35"/>
      <c r="CH172" s="35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4"/>
    </row>
    <row r="173" spans="1:98" s="140" customFormat="1" ht="12.75" hidden="1" customHeight="1">
      <c r="A173" s="126" t="s">
        <v>205</v>
      </c>
      <c r="B173" s="124"/>
      <c r="C173" s="126" t="s">
        <v>27</v>
      </c>
      <c r="D173" s="121"/>
      <c r="E173" s="53">
        <f t="shared" si="48"/>
        <v>0</v>
      </c>
      <c r="F173" s="53"/>
      <c r="G173" s="53">
        <v>0</v>
      </c>
      <c r="H173" s="53"/>
      <c r="I173" s="53">
        <v>0</v>
      </c>
      <c r="J173" s="53"/>
      <c r="K173" s="53">
        <f t="shared" si="44"/>
        <v>0</v>
      </c>
      <c r="L173" s="53"/>
      <c r="M173" s="53">
        <v>0</v>
      </c>
      <c r="N173" s="53"/>
      <c r="O173" s="53">
        <v>0</v>
      </c>
      <c r="P173" s="53"/>
      <c r="Q173" s="53">
        <v>0</v>
      </c>
      <c r="R173" s="53"/>
      <c r="S173" s="53">
        <v>0</v>
      </c>
      <c r="T173" s="53"/>
      <c r="U173" s="53">
        <v>0</v>
      </c>
      <c r="V173" s="53"/>
      <c r="W173" s="53">
        <f t="shared" si="45"/>
        <v>0</v>
      </c>
      <c r="X173" s="137"/>
      <c r="Y173" s="126" t="s">
        <v>205</v>
      </c>
      <c r="AA173" s="126" t="s">
        <v>27</v>
      </c>
      <c r="AB173" s="126"/>
      <c r="AC173" s="53">
        <v>0</v>
      </c>
      <c r="AD173" s="53"/>
      <c r="AE173" s="53">
        <v>0</v>
      </c>
      <c r="AF173" s="53"/>
      <c r="AG173" s="53">
        <v>0</v>
      </c>
      <c r="AH173" s="53"/>
      <c r="AI173" s="45">
        <f t="shared" si="46"/>
        <v>0</v>
      </c>
      <c r="AJ173" s="45"/>
      <c r="AK173" s="53">
        <v>0</v>
      </c>
      <c r="AL173" s="45"/>
      <c r="AM173" s="53">
        <v>0</v>
      </c>
      <c r="AN173" s="53"/>
      <c r="AO173" s="53">
        <v>0</v>
      </c>
      <c r="AP173" s="53"/>
      <c r="AQ173" s="53">
        <v>0</v>
      </c>
      <c r="AR173" s="53"/>
      <c r="AS173" s="45">
        <f t="shared" si="49"/>
        <v>0</v>
      </c>
      <c r="AT173" s="45"/>
      <c r="AU173" s="53">
        <v>0</v>
      </c>
      <c r="AV173" s="53"/>
      <c r="AW173" s="53">
        <v>0</v>
      </c>
      <c r="AX173" s="53"/>
      <c r="AY173" s="53">
        <f t="shared" si="47"/>
        <v>0</v>
      </c>
      <c r="AZ173" s="53"/>
      <c r="BA173" s="126" t="s">
        <v>205</v>
      </c>
      <c r="BC173" s="126" t="s">
        <v>27</v>
      </c>
      <c r="BD173" s="137"/>
      <c r="BE173" s="53">
        <v>0</v>
      </c>
      <c r="BF173" s="53"/>
      <c r="BG173" s="53">
        <v>0</v>
      </c>
      <c r="BH173" s="53"/>
      <c r="BI173" s="53">
        <v>0</v>
      </c>
      <c r="BJ173" s="53"/>
      <c r="BK173" s="53">
        <v>0</v>
      </c>
      <c r="BL173" s="137"/>
      <c r="BM173" s="137">
        <f t="shared" si="43"/>
        <v>0</v>
      </c>
      <c r="BN173" s="139" t="s">
        <v>347</v>
      </c>
      <c r="BR173" s="124"/>
      <c r="BS173" s="137"/>
      <c r="BT173" s="137"/>
      <c r="BU173" s="137"/>
      <c r="BV173" s="137"/>
      <c r="BW173" s="137"/>
      <c r="BX173" s="127"/>
      <c r="BY173" s="127"/>
      <c r="BZ173" s="137"/>
      <c r="CA173" s="137"/>
      <c r="CB173" s="137"/>
      <c r="CC173" s="137"/>
      <c r="CD173" s="137"/>
      <c r="CE173" s="137"/>
      <c r="CF173" s="126"/>
      <c r="CH173" s="126"/>
      <c r="CI173" s="137"/>
      <c r="CJ173" s="137"/>
      <c r="CK173" s="137"/>
      <c r="CL173" s="137"/>
      <c r="CM173" s="137"/>
      <c r="CN173" s="137"/>
      <c r="CO173" s="137"/>
      <c r="CP173" s="137"/>
      <c r="CQ173" s="137"/>
      <c r="CR173" s="137"/>
      <c r="CS173" s="139"/>
    </row>
    <row r="174" spans="1:98" s="55" customFormat="1" ht="12.75" customHeight="1">
      <c r="A174" s="35" t="s">
        <v>206</v>
      </c>
      <c r="C174" s="35" t="s">
        <v>47</v>
      </c>
      <c r="D174" s="44"/>
      <c r="E174" s="53">
        <f t="shared" si="48"/>
        <v>8136081</v>
      </c>
      <c r="F174" s="53"/>
      <c r="G174" s="53">
        <v>44512731</v>
      </c>
      <c r="H174" s="53"/>
      <c r="I174" s="53">
        <v>52648812</v>
      </c>
      <c r="J174" s="53"/>
      <c r="K174" s="53">
        <f t="shared" si="44"/>
        <v>3861949</v>
      </c>
      <c r="L174" s="53"/>
      <c r="M174" s="53">
        <f>55413+59983+13012350+4761419</f>
        <v>17889165</v>
      </c>
      <c r="N174" s="53"/>
      <c r="O174" s="53">
        <v>21751114</v>
      </c>
      <c r="P174" s="53"/>
      <c r="Q174" s="53">
        <v>23031684</v>
      </c>
      <c r="R174" s="53"/>
      <c r="S174" s="53">
        <v>0</v>
      </c>
      <c r="T174" s="53"/>
      <c r="U174" s="53">
        <v>7866014</v>
      </c>
      <c r="V174" s="53"/>
      <c r="W174" s="53">
        <f t="shared" si="45"/>
        <v>30897698</v>
      </c>
      <c r="X174" s="53"/>
      <c r="Y174" s="35" t="s">
        <v>206</v>
      </c>
      <c r="AA174" s="35" t="s">
        <v>47</v>
      </c>
      <c r="AB174" s="35"/>
      <c r="AC174" s="53">
        <v>5363252</v>
      </c>
      <c r="AD174" s="53"/>
      <c r="AE174" s="53">
        <f>3224263-1074347</f>
        <v>2149916</v>
      </c>
      <c r="AF174" s="53"/>
      <c r="AG174" s="53">
        <v>1074347</v>
      </c>
      <c r="AH174" s="53"/>
      <c r="AI174" s="45">
        <f t="shared" si="46"/>
        <v>2138989</v>
      </c>
      <c r="AJ174" s="45"/>
      <c r="AK174" s="53">
        <v>-721300</v>
      </c>
      <c r="AL174" s="45"/>
      <c r="AM174" s="53">
        <v>91000</v>
      </c>
      <c r="AN174" s="53"/>
      <c r="AO174" s="53">
        <v>0</v>
      </c>
      <c r="AP174" s="53"/>
      <c r="AQ174" s="53">
        <v>0</v>
      </c>
      <c r="AR174" s="53"/>
      <c r="AS174" s="45">
        <f t="shared" si="49"/>
        <v>1508689</v>
      </c>
      <c r="AT174" s="45"/>
      <c r="AU174" s="53">
        <v>0</v>
      </c>
      <c r="AV174" s="53"/>
      <c r="AW174" s="53">
        <v>0</v>
      </c>
      <c r="AX174" s="53"/>
      <c r="AY174" s="53">
        <f t="shared" si="47"/>
        <v>4274132</v>
      </c>
      <c r="AZ174" s="53"/>
      <c r="BA174" s="35" t="s">
        <v>206</v>
      </c>
      <c r="BC174" s="35" t="s">
        <v>47</v>
      </c>
      <c r="BD174" s="53"/>
      <c r="BE174" s="53">
        <f>13012350+457650</f>
        <v>13470000</v>
      </c>
      <c r="BF174" s="53"/>
      <c r="BG174" s="53">
        <v>0</v>
      </c>
      <c r="BH174" s="53"/>
      <c r="BI174" s="53">
        <f>4761419+680628</f>
        <v>5442047</v>
      </c>
      <c r="BJ174" s="53"/>
      <c r="BK174" s="53">
        <f>55413+59983</f>
        <v>115396</v>
      </c>
      <c r="BL174" s="53"/>
      <c r="BM174" s="53">
        <f t="shared" si="43"/>
        <v>19027443</v>
      </c>
      <c r="BN174" s="54" t="s">
        <v>347</v>
      </c>
      <c r="BR174" s="51"/>
      <c r="BS174" s="53"/>
      <c r="BT174" s="53"/>
      <c r="BU174" s="53"/>
      <c r="BV174" s="53"/>
      <c r="BW174" s="53"/>
      <c r="BX174" s="45"/>
      <c r="BY174" s="45"/>
      <c r="BZ174" s="53"/>
      <c r="CA174" s="53"/>
      <c r="CB174" s="53"/>
      <c r="CC174" s="53"/>
      <c r="CD174" s="53"/>
      <c r="CE174" s="53"/>
      <c r="CF174" s="35"/>
      <c r="CH174" s="35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4"/>
    </row>
    <row r="175" spans="1:98" s="55" customFormat="1" ht="12.75" customHeight="1">
      <c r="A175" s="35"/>
      <c r="C175" s="35"/>
      <c r="D175" s="44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 t="s">
        <v>484</v>
      </c>
      <c r="X175" s="53"/>
      <c r="Y175" s="35"/>
      <c r="AA175" s="35"/>
      <c r="AB175" s="35"/>
      <c r="AC175" s="53"/>
      <c r="AD175" s="53"/>
      <c r="AE175" s="53"/>
      <c r="AF175" s="53"/>
      <c r="AG175" s="53"/>
      <c r="AH175" s="53"/>
      <c r="AI175" s="45"/>
      <c r="AJ175" s="45"/>
      <c r="AK175" s="53"/>
      <c r="AL175" s="45"/>
      <c r="AM175" s="53"/>
      <c r="AN175" s="53"/>
      <c r="AO175" s="53"/>
      <c r="AP175" s="53"/>
      <c r="AQ175" s="53"/>
      <c r="AR175" s="53"/>
      <c r="AS175" s="45"/>
      <c r="AT175" s="45"/>
      <c r="AU175" s="53"/>
      <c r="AV175" s="53"/>
      <c r="AW175" s="53"/>
      <c r="AX175" s="53"/>
      <c r="AY175" s="53" t="s">
        <v>484</v>
      </c>
      <c r="AZ175" s="53"/>
      <c r="BA175" s="35"/>
      <c r="BC175" s="35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 t="s">
        <v>484</v>
      </c>
      <c r="BN175" s="54"/>
      <c r="BR175" s="51"/>
      <c r="BS175" s="53"/>
      <c r="BT175" s="53"/>
      <c r="BU175" s="53"/>
      <c r="BV175" s="53"/>
      <c r="BW175" s="53"/>
      <c r="BX175" s="45"/>
      <c r="BY175" s="45"/>
      <c r="BZ175" s="53"/>
      <c r="CA175" s="53"/>
      <c r="CB175" s="53"/>
      <c r="CC175" s="53"/>
      <c r="CD175" s="53"/>
      <c r="CE175" s="53"/>
      <c r="CF175" s="35"/>
      <c r="CH175" s="35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4"/>
    </row>
    <row r="176" spans="1:98" s="90" customFormat="1" ht="12.75" customHeight="1">
      <c r="A176" s="64" t="s">
        <v>207</v>
      </c>
      <c r="B176" s="66"/>
      <c r="C176" s="64" t="s">
        <v>102</v>
      </c>
      <c r="D176" s="46"/>
      <c r="E176" s="79">
        <f>+I176-G176</f>
        <v>3027184</v>
      </c>
      <c r="F176" s="79"/>
      <c r="G176" s="79">
        <v>24958536</v>
      </c>
      <c r="H176" s="79"/>
      <c r="I176" s="79">
        <v>27985720</v>
      </c>
      <c r="J176" s="79"/>
      <c r="K176" s="53">
        <f t="shared" ref="K176:K209" si="50">O176-M176</f>
        <v>1131180</v>
      </c>
      <c r="L176" s="79"/>
      <c r="M176" s="79">
        <v>11901831</v>
      </c>
      <c r="N176" s="79"/>
      <c r="O176" s="79">
        <v>13033011</v>
      </c>
      <c r="P176" s="79"/>
      <c r="Q176" s="79">
        <v>12213638</v>
      </c>
      <c r="R176" s="79"/>
      <c r="S176" s="79">
        <v>0</v>
      </c>
      <c r="T176" s="79"/>
      <c r="U176" s="79">
        <v>2739071</v>
      </c>
      <c r="V176" s="79"/>
      <c r="W176" s="79">
        <f t="shared" ref="W176:W215" si="51">SUM(Q176:U176)</f>
        <v>14952709</v>
      </c>
      <c r="X176" s="79"/>
      <c r="Y176" s="64" t="s">
        <v>207</v>
      </c>
      <c r="AA176" s="64" t="s">
        <v>102</v>
      </c>
      <c r="AB176" s="64"/>
      <c r="AC176" s="79">
        <v>2787985</v>
      </c>
      <c r="AD176" s="79"/>
      <c r="AE176" s="79">
        <f>1982931-487255</f>
        <v>1495676</v>
      </c>
      <c r="AF176" s="79"/>
      <c r="AG176" s="79">
        <v>487255</v>
      </c>
      <c r="AH176" s="79"/>
      <c r="AI176" s="94">
        <f t="shared" ref="AI176:AI209" si="52">+AC176-AE176-AG176</f>
        <v>805054</v>
      </c>
      <c r="AJ176" s="94"/>
      <c r="AK176" s="79">
        <v>-209371</v>
      </c>
      <c r="AL176" s="94"/>
      <c r="AM176" s="53">
        <v>14197</v>
      </c>
      <c r="AN176" s="53"/>
      <c r="AO176" s="53">
        <v>0</v>
      </c>
      <c r="AP176" s="79"/>
      <c r="AQ176" s="79">
        <v>189811</v>
      </c>
      <c r="AR176" s="79"/>
      <c r="AS176" s="45">
        <f t="shared" ref="AS176:AS201" si="53">+AI176+AK176+AM176-AO176+AQ176</f>
        <v>799691</v>
      </c>
      <c r="AT176" s="94"/>
      <c r="AU176" s="79">
        <v>0</v>
      </c>
      <c r="AV176" s="79"/>
      <c r="AW176" s="79">
        <v>0</v>
      </c>
      <c r="AX176" s="79"/>
      <c r="AY176" s="79">
        <f t="shared" ref="AY176:AY209" si="54">+E176-K176</f>
        <v>1896004</v>
      </c>
      <c r="AZ176" s="79"/>
      <c r="BA176" s="64" t="s">
        <v>207</v>
      </c>
      <c r="BC176" s="64" t="s">
        <v>102</v>
      </c>
      <c r="BD176" s="79"/>
      <c r="BE176" s="79">
        <f>2725807+270000</f>
        <v>2995807</v>
      </c>
      <c r="BF176" s="79"/>
      <c r="BG176" s="79">
        <v>0</v>
      </c>
      <c r="BH176" s="79"/>
      <c r="BI176" s="79">
        <f>7535221+61373</f>
        <v>7596594</v>
      </c>
      <c r="BJ176" s="79"/>
      <c r="BK176" s="79">
        <f>6435+25528+1593000+15840+21710+5222</f>
        <v>1667735</v>
      </c>
      <c r="BL176" s="79"/>
      <c r="BM176" s="79">
        <f t="shared" si="43"/>
        <v>12260136</v>
      </c>
      <c r="BN176" s="91"/>
      <c r="BR176" s="66"/>
      <c r="BS176" s="79"/>
      <c r="BT176" s="79"/>
      <c r="BU176" s="79"/>
      <c r="BV176" s="79"/>
      <c r="BW176" s="79"/>
      <c r="BX176" s="94"/>
      <c r="BY176" s="94"/>
      <c r="BZ176" s="79"/>
      <c r="CA176" s="79"/>
      <c r="CB176" s="79"/>
      <c r="CC176" s="79"/>
      <c r="CD176" s="79"/>
      <c r="CE176" s="79"/>
      <c r="CF176" s="64"/>
      <c r="CH176" s="64"/>
      <c r="CI176" s="79"/>
      <c r="CJ176" s="79"/>
      <c r="CK176" s="79"/>
      <c r="CL176" s="79"/>
      <c r="CM176" s="79"/>
      <c r="CN176" s="79"/>
      <c r="CO176" s="79"/>
      <c r="CP176" s="79"/>
      <c r="CQ176" s="79"/>
      <c r="CR176" s="79"/>
      <c r="CS176" s="91"/>
    </row>
    <row r="177" spans="1:99" s="55" customFormat="1" ht="12.75" customHeight="1">
      <c r="A177" s="35" t="s">
        <v>208</v>
      </c>
      <c r="B177" s="51"/>
      <c r="C177" s="35" t="s">
        <v>209</v>
      </c>
      <c r="D177" s="44"/>
      <c r="E177" s="53">
        <f t="shared" ref="E177:E240" si="55">+I177-G177</f>
        <v>2288959</v>
      </c>
      <c r="F177" s="53"/>
      <c r="G177" s="53">
        <v>13531064</v>
      </c>
      <c r="H177" s="53"/>
      <c r="I177" s="53">
        <v>15820023</v>
      </c>
      <c r="J177" s="53"/>
      <c r="K177" s="53">
        <f t="shared" si="50"/>
        <v>831557</v>
      </c>
      <c r="L177" s="53"/>
      <c r="M177" s="53">
        <v>5785494</v>
      </c>
      <c r="N177" s="53"/>
      <c r="O177" s="53">
        <v>6617051</v>
      </c>
      <c r="P177" s="53"/>
      <c r="Q177" s="53">
        <v>7357473</v>
      </c>
      <c r="R177" s="53"/>
      <c r="S177" s="53">
        <v>50000</v>
      </c>
      <c r="T177" s="53"/>
      <c r="U177" s="53">
        <v>1795499</v>
      </c>
      <c r="V177" s="53"/>
      <c r="W177" s="53">
        <f t="shared" si="51"/>
        <v>9202972</v>
      </c>
      <c r="X177" s="53"/>
      <c r="Y177" s="35" t="s">
        <v>208</v>
      </c>
      <c r="AA177" s="35" t="s">
        <v>209</v>
      </c>
      <c r="AB177" s="35"/>
      <c r="AC177" s="53">
        <v>3253835</v>
      </c>
      <c r="AD177" s="53"/>
      <c r="AE177" s="53">
        <f>2733072-863368</f>
        <v>1869704</v>
      </c>
      <c r="AF177" s="53"/>
      <c r="AG177" s="53">
        <v>863368</v>
      </c>
      <c r="AH177" s="53"/>
      <c r="AI177" s="45">
        <f t="shared" si="52"/>
        <v>520763</v>
      </c>
      <c r="AJ177" s="45"/>
      <c r="AK177" s="53">
        <v>-104016</v>
      </c>
      <c r="AL177" s="45"/>
      <c r="AM177" s="53">
        <v>0</v>
      </c>
      <c r="AN177" s="53"/>
      <c r="AO177" s="53">
        <v>0</v>
      </c>
      <c r="AP177" s="53"/>
      <c r="AQ177" s="53">
        <v>0</v>
      </c>
      <c r="AR177" s="53"/>
      <c r="AS177" s="45">
        <f t="shared" si="53"/>
        <v>416747</v>
      </c>
      <c r="AT177" s="45"/>
      <c r="AU177" s="53">
        <v>0</v>
      </c>
      <c r="AV177" s="53"/>
      <c r="AW177" s="53">
        <v>0</v>
      </c>
      <c r="AX177" s="53"/>
      <c r="AY177" s="53">
        <f t="shared" si="54"/>
        <v>1457402</v>
      </c>
      <c r="AZ177" s="53"/>
      <c r="BA177" s="35" t="s">
        <v>208</v>
      </c>
      <c r="BC177" s="35" t="s">
        <v>209</v>
      </c>
      <c r="BD177" s="53"/>
      <c r="BE177" s="53">
        <f>5615723+546416</f>
        <v>6162139</v>
      </c>
      <c r="BF177" s="53"/>
      <c r="BG177" s="53">
        <v>0</v>
      </c>
      <c r="BH177" s="53"/>
      <c r="BI177" s="53">
        <v>0</v>
      </c>
      <c r="BJ177" s="53"/>
      <c r="BK177" s="53">
        <f>169771+176452</f>
        <v>346223</v>
      </c>
      <c r="BL177" s="53"/>
      <c r="BM177" s="53">
        <f t="shared" si="43"/>
        <v>6508362</v>
      </c>
      <c r="BN177" s="54" t="s">
        <v>347</v>
      </c>
      <c r="BR177" s="51"/>
      <c r="BS177" s="53"/>
      <c r="BT177" s="53"/>
      <c r="BU177" s="53"/>
      <c r="BV177" s="53"/>
      <c r="BW177" s="45"/>
      <c r="BX177" s="45"/>
      <c r="BY177" s="53"/>
      <c r="BZ177" s="53"/>
      <c r="CA177" s="53"/>
      <c r="CB177" s="53"/>
      <c r="CC177" s="53"/>
      <c r="CD177" s="53"/>
      <c r="CE177" s="53"/>
      <c r="CF177" s="35"/>
      <c r="CH177" s="35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4"/>
    </row>
    <row r="178" spans="1:99" s="55" customFormat="1" ht="12.75" customHeight="1">
      <c r="A178" s="46" t="s">
        <v>210</v>
      </c>
      <c r="B178" s="90"/>
      <c r="C178" s="46" t="s">
        <v>211</v>
      </c>
      <c r="D178" s="46"/>
      <c r="E178" s="53">
        <f t="shared" si="55"/>
        <v>866340</v>
      </c>
      <c r="F178" s="53"/>
      <c r="G178" s="53">
        <v>18050235</v>
      </c>
      <c r="H178" s="53"/>
      <c r="I178" s="53">
        <v>18916575</v>
      </c>
      <c r="J178" s="53"/>
      <c r="K178" s="53">
        <f t="shared" si="50"/>
        <v>819249</v>
      </c>
      <c r="L178" s="53"/>
      <c r="M178" s="53">
        <v>10310781</v>
      </c>
      <c r="N178" s="53"/>
      <c r="O178" s="53">
        <v>11130030</v>
      </c>
      <c r="P178" s="53"/>
      <c r="Q178" s="53">
        <v>7189680</v>
      </c>
      <c r="R178" s="53"/>
      <c r="S178" s="53">
        <v>0</v>
      </c>
      <c r="T178" s="53"/>
      <c r="U178" s="53">
        <v>596865</v>
      </c>
      <c r="V178" s="53"/>
      <c r="W178" s="53">
        <f t="shared" si="51"/>
        <v>7786545</v>
      </c>
      <c r="X178" s="79"/>
      <c r="Y178" s="46" t="s">
        <v>210</v>
      </c>
      <c r="Z178" s="90"/>
      <c r="AA178" s="46" t="s">
        <v>211</v>
      </c>
      <c r="AB178" s="46"/>
      <c r="AC178" s="53">
        <v>2914843</v>
      </c>
      <c r="AD178" s="53"/>
      <c r="AE178" s="53">
        <f>1613023-271481</f>
        <v>1341542</v>
      </c>
      <c r="AF178" s="53"/>
      <c r="AG178" s="53">
        <v>271481</v>
      </c>
      <c r="AH178" s="53"/>
      <c r="AI178" s="45">
        <f t="shared" si="52"/>
        <v>1301820</v>
      </c>
      <c r="AJ178" s="45"/>
      <c r="AK178" s="53">
        <v>-350509</v>
      </c>
      <c r="AL178" s="45"/>
      <c r="AM178" s="53">
        <v>0</v>
      </c>
      <c r="AN178" s="53"/>
      <c r="AO178" s="53">
        <v>0</v>
      </c>
      <c r="AP178" s="53"/>
      <c r="AQ178" s="53">
        <v>300202</v>
      </c>
      <c r="AR178" s="53"/>
      <c r="AS178" s="45">
        <f t="shared" si="53"/>
        <v>1251513</v>
      </c>
      <c r="AT178" s="45"/>
      <c r="AU178" s="53">
        <v>0</v>
      </c>
      <c r="AV178" s="53"/>
      <c r="AW178" s="53">
        <v>0</v>
      </c>
      <c r="AX178" s="53"/>
      <c r="AY178" s="53">
        <f t="shared" si="54"/>
        <v>47091</v>
      </c>
      <c r="AZ178" s="53"/>
      <c r="BA178" s="46" t="s">
        <v>210</v>
      </c>
      <c r="BB178" s="90"/>
      <c r="BC178" s="46" t="s">
        <v>211</v>
      </c>
      <c r="BD178" s="79"/>
      <c r="BE178" s="53">
        <f>3565000+140000</f>
        <v>3705000</v>
      </c>
      <c r="BF178" s="53"/>
      <c r="BG178" s="53">
        <v>0</v>
      </c>
      <c r="BH178" s="53"/>
      <c r="BI178" s="53">
        <f>185349+6408944+13746+212634</f>
        <v>6820673</v>
      </c>
      <c r="BJ178" s="53"/>
      <c r="BK178" s="53">
        <f>99894+51894+14576+19506</f>
        <v>185870</v>
      </c>
      <c r="BL178" s="53"/>
      <c r="BM178" s="53">
        <f t="shared" si="43"/>
        <v>10711543</v>
      </c>
      <c r="BN178" s="54" t="s">
        <v>347</v>
      </c>
      <c r="BO178" s="35"/>
      <c r="BP178" s="35"/>
      <c r="BR178" s="51"/>
      <c r="BS178" s="53"/>
      <c r="BT178" s="53"/>
      <c r="BU178" s="53"/>
      <c r="BV178" s="53"/>
      <c r="BW178" s="45"/>
      <c r="BX178" s="45"/>
      <c r="BY178" s="53"/>
      <c r="BZ178" s="53"/>
      <c r="CA178" s="53"/>
      <c r="CB178" s="53"/>
      <c r="CC178" s="53"/>
      <c r="CD178" s="53"/>
      <c r="CE178" s="53"/>
      <c r="CF178" s="35"/>
      <c r="CH178" s="35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4"/>
      <c r="CT178" s="35"/>
      <c r="CU178" s="35"/>
    </row>
    <row r="179" spans="1:99" s="55" customFormat="1" ht="12.75" customHeight="1">
      <c r="A179" s="44" t="s">
        <v>212</v>
      </c>
      <c r="B179" s="51"/>
      <c r="C179" s="44" t="s">
        <v>213</v>
      </c>
      <c r="D179" s="44"/>
      <c r="E179" s="53">
        <f t="shared" si="55"/>
        <v>902436</v>
      </c>
      <c r="F179" s="53"/>
      <c r="G179" s="53">
        <v>4016859</v>
      </c>
      <c r="H179" s="53"/>
      <c r="I179" s="53">
        <v>4919295</v>
      </c>
      <c r="J179" s="53"/>
      <c r="K179" s="53">
        <f t="shared" si="50"/>
        <v>358241</v>
      </c>
      <c r="L179" s="53"/>
      <c r="M179" s="53">
        <v>2849934</v>
      </c>
      <c r="N179" s="53"/>
      <c r="O179" s="53">
        <v>3208175</v>
      </c>
      <c r="P179" s="53"/>
      <c r="Q179" s="53">
        <v>2083241</v>
      </c>
      <c r="R179" s="53"/>
      <c r="S179" s="53">
        <v>0</v>
      </c>
      <c r="T179" s="53"/>
      <c r="U179" s="53">
        <v>-372121</v>
      </c>
      <c r="V179" s="53"/>
      <c r="W179" s="53">
        <f t="shared" si="51"/>
        <v>1711120</v>
      </c>
      <c r="X179" s="53"/>
      <c r="Y179" s="44" t="s">
        <v>212</v>
      </c>
      <c r="AA179" s="44" t="s">
        <v>213</v>
      </c>
      <c r="AB179" s="44"/>
      <c r="AC179" s="53">
        <v>2620140</v>
      </c>
      <c r="AD179" s="53"/>
      <c r="AE179" s="53">
        <f>2517594-68138</f>
        <v>2449456</v>
      </c>
      <c r="AF179" s="53"/>
      <c r="AG179" s="53">
        <v>68138</v>
      </c>
      <c r="AH179" s="53"/>
      <c r="AI179" s="45">
        <f t="shared" si="52"/>
        <v>102546</v>
      </c>
      <c r="AJ179" s="45"/>
      <c r="AK179" s="53">
        <v>-88986</v>
      </c>
      <c r="AL179" s="45"/>
      <c r="AM179" s="53">
        <v>0</v>
      </c>
      <c r="AN179" s="53"/>
      <c r="AO179" s="53">
        <v>0</v>
      </c>
      <c r="AP179" s="53"/>
      <c r="AQ179" s="53">
        <v>0</v>
      </c>
      <c r="AR179" s="53"/>
      <c r="AS179" s="45">
        <f t="shared" si="53"/>
        <v>13560</v>
      </c>
      <c r="AT179" s="45"/>
      <c r="AU179" s="53">
        <v>0</v>
      </c>
      <c r="AV179" s="53"/>
      <c r="AW179" s="53">
        <v>0</v>
      </c>
      <c r="AX179" s="53"/>
      <c r="AY179" s="53">
        <f t="shared" si="54"/>
        <v>544195</v>
      </c>
      <c r="AZ179" s="53"/>
      <c r="BA179" s="44" t="s">
        <v>212</v>
      </c>
      <c r="BC179" s="44" t="s">
        <v>213</v>
      </c>
      <c r="BD179" s="53"/>
      <c r="BE179" s="53">
        <v>0</v>
      </c>
      <c r="BF179" s="53"/>
      <c r="BG179" s="53">
        <v>0</v>
      </c>
      <c r="BH179" s="53"/>
      <c r="BI179" s="53">
        <f>506403+995000+9257+65000</f>
        <v>1575660</v>
      </c>
      <c r="BJ179" s="53"/>
      <c r="BK179" s="53">
        <f>1334662+13869+185098+3588</f>
        <v>1537217</v>
      </c>
      <c r="BL179" s="53"/>
      <c r="BM179" s="53">
        <f t="shared" si="43"/>
        <v>3112877</v>
      </c>
      <c r="BN179" s="54" t="s">
        <v>347</v>
      </c>
      <c r="BO179" s="55" t="s">
        <v>404</v>
      </c>
      <c r="BR179" s="51"/>
      <c r="BS179" s="53"/>
      <c r="BT179" s="53"/>
      <c r="BU179" s="53"/>
      <c r="BV179" s="53"/>
      <c r="BW179" s="53"/>
      <c r="BX179" s="45"/>
      <c r="BY179" s="45"/>
      <c r="BZ179" s="53"/>
      <c r="CA179" s="53"/>
      <c r="CB179" s="53"/>
      <c r="CC179" s="53"/>
      <c r="CD179" s="53"/>
      <c r="CE179" s="53"/>
      <c r="CF179" s="35"/>
      <c r="CH179" s="35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4"/>
    </row>
    <row r="180" spans="1:99" s="140" customFormat="1" ht="12.75" hidden="1" customHeight="1">
      <c r="A180" s="121" t="s">
        <v>214</v>
      </c>
      <c r="B180" s="124"/>
      <c r="C180" s="121" t="s">
        <v>86</v>
      </c>
      <c r="D180" s="121"/>
      <c r="E180" s="53">
        <f t="shared" si="55"/>
        <v>0</v>
      </c>
      <c r="F180" s="53"/>
      <c r="G180" s="53">
        <v>0</v>
      </c>
      <c r="H180" s="53"/>
      <c r="I180" s="53">
        <v>0</v>
      </c>
      <c r="J180" s="53"/>
      <c r="K180" s="53">
        <f t="shared" si="50"/>
        <v>0</v>
      </c>
      <c r="L180" s="53"/>
      <c r="M180" s="53">
        <v>0</v>
      </c>
      <c r="N180" s="53"/>
      <c r="O180" s="53">
        <v>0</v>
      </c>
      <c r="P180" s="53"/>
      <c r="Q180" s="53">
        <v>0</v>
      </c>
      <c r="R180" s="53"/>
      <c r="S180" s="53">
        <v>0</v>
      </c>
      <c r="T180" s="53"/>
      <c r="U180" s="53">
        <v>0</v>
      </c>
      <c r="V180" s="53"/>
      <c r="W180" s="53">
        <f t="shared" si="51"/>
        <v>0</v>
      </c>
      <c r="X180" s="137"/>
      <c r="Y180" s="121" t="s">
        <v>214</v>
      </c>
      <c r="AA180" s="121" t="s">
        <v>86</v>
      </c>
      <c r="AB180" s="121"/>
      <c r="AC180" s="53">
        <v>0</v>
      </c>
      <c r="AD180" s="53"/>
      <c r="AE180" s="53">
        <v>0</v>
      </c>
      <c r="AF180" s="53"/>
      <c r="AG180" s="53">
        <v>0</v>
      </c>
      <c r="AH180" s="53"/>
      <c r="AI180" s="45">
        <f t="shared" si="52"/>
        <v>0</v>
      </c>
      <c r="AJ180" s="45"/>
      <c r="AK180" s="53">
        <v>0</v>
      </c>
      <c r="AL180" s="45"/>
      <c r="AM180" s="53">
        <v>0</v>
      </c>
      <c r="AN180" s="53"/>
      <c r="AO180" s="53">
        <v>0</v>
      </c>
      <c r="AP180" s="53"/>
      <c r="AQ180" s="53">
        <v>0</v>
      </c>
      <c r="AR180" s="53"/>
      <c r="AS180" s="45">
        <f t="shared" si="53"/>
        <v>0</v>
      </c>
      <c r="AT180" s="45"/>
      <c r="AU180" s="53">
        <v>0</v>
      </c>
      <c r="AV180" s="53"/>
      <c r="AW180" s="53">
        <v>0</v>
      </c>
      <c r="AX180" s="53"/>
      <c r="AY180" s="53">
        <f t="shared" si="54"/>
        <v>0</v>
      </c>
      <c r="AZ180" s="53"/>
      <c r="BA180" s="121" t="s">
        <v>214</v>
      </c>
      <c r="BC180" s="121" t="s">
        <v>86</v>
      </c>
      <c r="BD180" s="137"/>
      <c r="BE180" s="137"/>
      <c r="BF180" s="137"/>
      <c r="BG180" s="53">
        <v>0</v>
      </c>
      <c r="BH180" s="53"/>
      <c r="BI180" s="53">
        <v>0</v>
      </c>
      <c r="BJ180" s="53"/>
      <c r="BK180" s="53">
        <v>0</v>
      </c>
      <c r="BL180" s="137"/>
      <c r="BM180" s="137">
        <f t="shared" si="43"/>
        <v>0</v>
      </c>
      <c r="BN180" s="139" t="s">
        <v>347</v>
      </c>
      <c r="BO180" s="140" t="s">
        <v>404</v>
      </c>
      <c r="BR180" s="124"/>
      <c r="BS180" s="137"/>
      <c r="BT180" s="137"/>
      <c r="BU180" s="137"/>
      <c r="BV180" s="137"/>
      <c r="BW180" s="137"/>
      <c r="BX180" s="127"/>
      <c r="BY180" s="127"/>
      <c r="BZ180" s="137"/>
      <c r="CA180" s="137"/>
      <c r="CB180" s="137"/>
      <c r="CC180" s="137"/>
      <c r="CD180" s="137"/>
      <c r="CE180" s="137"/>
      <c r="CF180" s="126"/>
      <c r="CH180" s="126"/>
      <c r="CI180" s="137"/>
      <c r="CJ180" s="137"/>
      <c r="CK180" s="137"/>
      <c r="CL180" s="137"/>
      <c r="CM180" s="137"/>
      <c r="CN180" s="137"/>
      <c r="CO180" s="137"/>
      <c r="CP180" s="137"/>
      <c r="CQ180" s="137"/>
      <c r="CR180" s="137"/>
      <c r="CS180" s="139"/>
    </row>
    <row r="181" spans="1:99" s="55" customFormat="1" ht="12.75" customHeight="1">
      <c r="A181" s="35" t="s">
        <v>215</v>
      </c>
      <c r="C181" s="35" t="s">
        <v>22</v>
      </c>
      <c r="D181" s="44"/>
      <c r="E181" s="53">
        <f t="shared" si="55"/>
        <v>7114514</v>
      </c>
      <c r="F181" s="53"/>
      <c r="G181" s="53">
        <v>14660980</v>
      </c>
      <c r="H181" s="53"/>
      <c r="I181" s="53">
        <v>21775494</v>
      </c>
      <c r="J181" s="53"/>
      <c r="K181" s="53">
        <f t="shared" si="50"/>
        <v>6577754</v>
      </c>
      <c r="L181" s="53"/>
      <c r="M181" s="53">
        <v>11001679</v>
      </c>
      <c r="N181" s="53"/>
      <c r="O181" s="53">
        <v>17579433</v>
      </c>
      <c r="P181" s="53"/>
      <c r="Q181" s="53">
        <v>2875686</v>
      </c>
      <c r="R181" s="53"/>
      <c r="S181" s="53">
        <v>0</v>
      </c>
      <c r="T181" s="53"/>
      <c r="U181" s="53">
        <v>1320375</v>
      </c>
      <c r="V181" s="53"/>
      <c r="W181" s="53">
        <f t="shared" si="51"/>
        <v>4196061</v>
      </c>
      <c r="X181" s="53"/>
      <c r="Y181" s="35" t="s">
        <v>215</v>
      </c>
      <c r="AA181" s="35" t="s">
        <v>22</v>
      </c>
      <c r="AB181" s="35"/>
      <c r="AC181" s="53">
        <v>2986378</v>
      </c>
      <c r="AD181" s="53"/>
      <c r="AE181" s="53">
        <f>2549314-564758</f>
        <v>1984556</v>
      </c>
      <c r="AF181" s="53"/>
      <c r="AG181" s="53">
        <v>564758</v>
      </c>
      <c r="AH181" s="53"/>
      <c r="AI181" s="45">
        <f t="shared" si="52"/>
        <v>437064</v>
      </c>
      <c r="AJ181" s="45"/>
      <c r="AK181" s="53">
        <v>-436698</v>
      </c>
      <c r="AL181" s="45"/>
      <c r="AM181" s="53">
        <v>401155</v>
      </c>
      <c r="AN181" s="53"/>
      <c r="AO181" s="53">
        <v>0</v>
      </c>
      <c r="AP181" s="53"/>
      <c r="AQ181" s="53">
        <v>0</v>
      </c>
      <c r="AR181" s="53"/>
      <c r="AS181" s="45">
        <f t="shared" si="53"/>
        <v>401521</v>
      </c>
      <c r="AT181" s="45"/>
      <c r="AU181" s="53">
        <v>0</v>
      </c>
      <c r="AV181" s="53"/>
      <c r="AW181" s="53">
        <v>0</v>
      </c>
      <c r="AX181" s="53"/>
      <c r="AY181" s="53">
        <f t="shared" si="54"/>
        <v>536760</v>
      </c>
      <c r="AZ181" s="53"/>
      <c r="BA181" s="35" t="s">
        <v>215</v>
      </c>
      <c r="BC181" s="35" t="s">
        <v>22</v>
      </c>
      <c r="BD181" s="53"/>
      <c r="BE181" s="53">
        <v>0</v>
      </c>
      <c r="BF181" s="53"/>
      <c r="BG181" s="53">
        <v>0</v>
      </c>
      <c r="BH181" s="53"/>
      <c r="BI181" s="53">
        <f>10833546+937672</f>
        <v>11771218</v>
      </c>
      <c r="BJ181" s="53"/>
      <c r="BK181" s="53">
        <f>168133+31832</f>
        <v>199965</v>
      </c>
      <c r="BL181" s="53"/>
      <c r="BM181" s="53">
        <f t="shared" si="43"/>
        <v>11971183</v>
      </c>
      <c r="BN181" s="54" t="s">
        <v>347</v>
      </c>
      <c r="BR181" s="51"/>
      <c r="BS181" s="53"/>
      <c r="BT181" s="53"/>
      <c r="BU181" s="53"/>
      <c r="BV181" s="53"/>
      <c r="BW181" s="53"/>
      <c r="BX181" s="45"/>
      <c r="BY181" s="45"/>
      <c r="BZ181" s="53"/>
      <c r="CA181" s="53"/>
      <c r="CB181" s="53"/>
      <c r="CC181" s="53"/>
      <c r="CD181" s="53"/>
      <c r="CE181" s="53"/>
      <c r="CF181" s="35"/>
      <c r="CH181" s="35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4"/>
    </row>
    <row r="182" spans="1:99" s="140" customFormat="1" ht="12.75" hidden="1" customHeight="1">
      <c r="A182" s="126" t="s">
        <v>216</v>
      </c>
      <c r="B182" s="124"/>
      <c r="C182" s="126" t="s">
        <v>45</v>
      </c>
      <c r="D182" s="121"/>
      <c r="E182" s="53">
        <f t="shared" si="55"/>
        <v>0</v>
      </c>
      <c r="F182" s="53"/>
      <c r="G182" s="53">
        <v>0</v>
      </c>
      <c r="H182" s="53"/>
      <c r="I182" s="53">
        <v>0</v>
      </c>
      <c r="J182" s="53"/>
      <c r="K182" s="53">
        <f t="shared" si="50"/>
        <v>0</v>
      </c>
      <c r="L182" s="53"/>
      <c r="M182" s="53">
        <v>0</v>
      </c>
      <c r="N182" s="53"/>
      <c r="O182" s="53">
        <v>0</v>
      </c>
      <c r="P182" s="53"/>
      <c r="Q182" s="53">
        <v>0</v>
      </c>
      <c r="R182" s="53"/>
      <c r="S182" s="53">
        <v>0</v>
      </c>
      <c r="T182" s="53"/>
      <c r="U182" s="53">
        <v>0</v>
      </c>
      <c r="V182" s="53"/>
      <c r="W182" s="53">
        <f t="shared" si="51"/>
        <v>0</v>
      </c>
      <c r="X182" s="137"/>
      <c r="Y182" s="126" t="s">
        <v>216</v>
      </c>
      <c r="AA182" s="126" t="s">
        <v>45</v>
      </c>
      <c r="AB182" s="126"/>
      <c r="AC182" s="53">
        <v>0</v>
      </c>
      <c r="AD182" s="53"/>
      <c r="AE182" s="53">
        <v>0</v>
      </c>
      <c r="AF182" s="53"/>
      <c r="AG182" s="53">
        <v>0</v>
      </c>
      <c r="AH182" s="53"/>
      <c r="AI182" s="45">
        <f t="shared" si="52"/>
        <v>0</v>
      </c>
      <c r="AJ182" s="45"/>
      <c r="AK182" s="53">
        <v>0</v>
      </c>
      <c r="AL182" s="45"/>
      <c r="AM182" s="53">
        <v>0</v>
      </c>
      <c r="AN182" s="53"/>
      <c r="AO182" s="53">
        <v>0</v>
      </c>
      <c r="AP182" s="53"/>
      <c r="AQ182" s="53">
        <v>0</v>
      </c>
      <c r="AR182" s="53"/>
      <c r="AS182" s="45">
        <f t="shared" si="53"/>
        <v>0</v>
      </c>
      <c r="AT182" s="45"/>
      <c r="AU182" s="53">
        <v>0</v>
      </c>
      <c r="AV182" s="53"/>
      <c r="AW182" s="53">
        <v>0</v>
      </c>
      <c r="AX182" s="53"/>
      <c r="AY182" s="53">
        <f t="shared" si="54"/>
        <v>0</v>
      </c>
      <c r="AZ182" s="53"/>
      <c r="BA182" s="126" t="s">
        <v>216</v>
      </c>
      <c r="BC182" s="126" t="s">
        <v>45</v>
      </c>
      <c r="BD182" s="137"/>
      <c r="BE182" s="137"/>
      <c r="BF182" s="137"/>
      <c r="BG182" s="53">
        <v>0</v>
      </c>
      <c r="BH182" s="53"/>
      <c r="BI182" s="53">
        <v>0</v>
      </c>
      <c r="BJ182" s="53"/>
      <c r="BK182" s="53">
        <v>0</v>
      </c>
      <c r="BL182" s="137"/>
      <c r="BM182" s="137">
        <f t="shared" si="43"/>
        <v>0</v>
      </c>
      <c r="BN182" s="139" t="s">
        <v>347</v>
      </c>
      <c r="BR182" s="124"/>
      <c r="BS182" s="137"/>
      <c r="BT182" s="137"/>
      <c r="BU182" s="137"/>
      <c r="BV182" s="137"/>
      <c r="BW182" s="137"/>
      <c r="BX182" s="127"/>
      <c r="BY182" s="127"/>
      <c r="BZ182" s="137"/>
      <c r="CA182" s="137"/>
      <c r="CB182" s="137"/>
      <c r="CC182" s="137"/>
      <c r="CD182" s="137"/>
      <c r="CE182" s="137"/>
      <c r="CF182" s="126"/>
      <c r="CH182" s="126"/>
      <c r="CI182" s="137"/>
      <c r="CJ182" s="137"/>
      <c r="CK182" s="137"/>
      <c r="CL182" s="137"/>
      <c r="CM182" s="137"/>
      <c r="CN182" s="137"/>
      <c r="CO182" s="137"/>
      <c r="CP182" s="137"/>
      <c r="CQ182" s="137"/>
      <c r="CR182" s="137"/>
      <c r="CS182" s="139"/>
    </row>
    <row r="183" spans="1:99" s="55" customFormat="1" ht="12.75" customHeight="1">
      <c r="A183" s="35" t="s">
        <v>217</v>
      </c>
      <c r="B183" s="51"/>
      <c r="C183" s="35" t="s">
        <v>43</v>
      </c>
      <c r="D183" s="44"/>
      <c r="E183" s="53">
        <f t="shared" si="55"/>
        <v>4539086</v>
      </c>
      <c r="F183" s="53"/>
      <c r="G183" s="53">
        <v>34115311</v>
      </c>
      <c r="H183" s="53"/>
      <c r="I183" s="53">
        <v>38654397</v>
      </c>
      <c r="J183" s="53"/>
      <c r="K183" s="53">
        <f t="shared" si="50"/>
        <v>1154529</v>
      </c>
      <c r="L183" s="53"/>
      <c r="M183" s="53">
        <v>1487294</v>
      </c>
      <c r="N183" s="53"/>
      <c r="O183" s="53">
        <v>2641823</v>
      </c>
      <c r="P183" s="53"/>
      <c r="Q183" s="53">
        <v>32310449</v>
      </c>
      <c r="R183" s="53"/>
      <c r="S183" s="53">
        <v>0</v>
      </c>
      <c r="T183" s="53"/>
      <c r="U183" s="53">
        <v>3702125</v>
      </c>
      <c r="V183" s="53"/>
      <c r="W183" s="53">
        <f t="shared" si="51"/>
        <v>36012574</v>
      </c>
      <c r="X183" s="53"/>
      <c r="Y183" s="35" t="s">
        <v>217</v>
      </c>
      <c r="AA183" s="35" t="s">
        <v>43</v>
      </c>
      <c r="AB183" s="35"/>
      <c r="AC183" s="53">
        <v>4946876</v>
      </c>
      <c r="AD183" s="53"/>
      <c r="AE183" s="53">
        <f>5816199-945582</f>
        <v>4870617</v>
      </c>
      <c r="AF183" s="53"/>
      <c r="AG183" s="53">
        <v>945582</v>
      </c>
      <c r="AH183" s="53"/>
      <c r="AI183" s="45">
        <f t="shared" si="52"/>
        <v>-869323</v>
      </c>
      <c r="AJ183" s="45"/>
      <c r="AK183" s="53">
        <v>-34814</v>
      </c>
      <c r="AL183" s="45"/>
      <c r="AM183" s="53">
        <v>0</v>
      </c>
      <c r="AN183" s="53"/>
      <c r="AO183" s="53">
        <v>0</v>
      </c>
      <c r="AP183" s="53"/>
      <c r="AQ183" s="53">
        <f>9132+796381</f>
        <v>805513</v>
      </c>
      <c r="AR183" s="53"/>
      <c r="AS183" s="45">
        <f t="shared" si="53"/>
        <v>-98624</v>
      </c>
      <c r="AT183" s="45"/>
      <c r="AU183" s="53">
        <v>0</v>
      </c>
      <c r="AV183" s="53"/>
      <c r="AW183" s="53">
        <v>0</v>
      </c>
      <c r="AX183" s="53"/>
      <c r="AY183" s="53">
        <f t="shared" si="54"/>
        <v>3384557</v>
      </c>
      <c r="AZ183" s="53"/>
      <c r="BA183" s="35" t="s">
        <v>217</v>
      </c>
      <c r="BC183" s="35" t="s">
        <v>43</v>
      </c>
      <c r="BD183" s="53"/>
      <c r="BE183" s="53">
        <f>896005+261500</f>
        <v>1157505</v>
      </c>
      <c r="BF183" s="53"/>
      <c r="BG183" s="53">
        <v>0</v>
      </c>
      <c r="BH183" s="53"/>
      <c r="BI183" s="53">
        <f>574395+68357</f>
        <v>642752</v>
      </c>
      <c r="BJ183" s="53"/>
      <c r="BK183" s="53">
        <f>8653+16894</f>
        <v>25547</v>
      </c>
      <c r="BL183" s="53"/>
      <c r="BM183" s="53">
        <f t="shared" si="43"/>
        <v>1825804</v>
      </c>
      <c r="BN183" s="54" t="s">
        <v>347</v>
      </c>
      <c r="BR183" s="65"/>
      <c r="BS183" s="53"/>
      <c r="BT183" s="53"/>
      <c r="BU183" s="53"/>
      <c r="BV183" s="53"/>
      <c r="BW183" s="53"/>
      <c r="BX183" s="45"/>
      <c r="BY183" s="45"/>
      <c r="BZ183" s="53"/>
      <c r="CA183" s="53"/>
      <c r="CB183" s="53"/>
      <c r="CC183" s="53"/>
      <c r="CD183" s="53"/>
      <c r="CE183" s="53"/>
      <c r="CF183" s="35"/>
      <c r="CH183" s="35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4"/>
    </row>
    <row r="184" spans="1:99" s="140" customFormat="1" ht="12.75" hidden="1" customHeight="1">
      <c r="A184" s="126" t="s">
        <v>218</v>
      </c>
      <c r="B184" s="124"/>
      <c r="C184" s="126" t="s">
        <v>27</v>
      </c>
      <c r="D184" s="121"/>
      <c r="E184" s="53">
        <f t="shared" si="55"/>
        <v>0</v>
      </c>
      <c r="F184" s="53"/>
      <c r="G184" s="53">
        <v>0</v>
      </c>
      <c r="H184" s="53"/>
      <c r="I184" s="53">
        <v>0</v>
      </c>
      <c r="J184" s="53"/>
      <c r="K184" s="53">
        <f t="shared" si="50"/>
        <v>0</v>
      </c>
      <c r="L184" s="53"/>
      <c r="M184" s="53">
        <v>0</v>
      </c>
      <c r="N184" s="53"/>
      <c r="O184" s="53">
        <v>0</v>
      </c>
      <c r="P184" s="53"/>
      <c r="Q184" s="53">
        <v>0</v>
      </c>
      <c r="R184" s="53"/>
      <c r="S184" s="53">
        <v>0</v>
      </c>
      <c r="T184" s="53"/>
      <c r="U184" s="53">
        <v>0</v>
      </c>
      <c r="V184" s="53"/>
      <c r="W184" s="53">
        <f t="shared" si="51"/>
        <v>0</v>
      </c>
      <c r="X184" s="137"/>
      <c r="Y184" s="126" t="s">
        <v>218</v>
      </c>
      <c r="AA184" s="126" t="s">
        <v>27</v>
      </c>
      <c r="AB184" s="126"/>
      <c r="AC184" s="53">
        <v>0</v>
      </c>
      <c r="AD184" s="53"/>
      <c r="AE184" s="53">
        <v>0</v>
      </c>
      <c r="AF184" s="53"/>
      <c r="AG184" s="53">
        <v>0</v>
      </c>
      <c r="AH184" s="53"/>
      <c r="AI184" s="45">
        <f t="shared" si="52"/>
        <v>0</v>
      </c>
      <c r="AJ184" s="45"/>
      <c r="AK184" s="53">
        <v>0</v>
      </c>
      <c r="AL184" s="45"/>
      <c r="AM184" s="53">
        <v>0</v>
      </c>
      <c r="AN184" s="53"/>
      <c r="AO184" s="53">
        <v>0</v>
      </c>
      <c r="AP184" s="53"/>
      <c r="AQ184" s="53">
        <v>0</v>
      </c>
      <c r="AR184" s="53"/>
      <c r="AS184" s="45">
        <f t="shared" si="53"/>
        <v>0</v>
      </c>
      <c r="AT184" s="45"/>
      <c r="AU184" s="53">
        <v>0</v>
      </c>
      <c r="AV184" s="53"/>
      <c r="AW184" s="53">
        <v>0</v>
      </c>
      <c r="AX184" s="53"/>
      <c r="AY184" s="53">
        <f t="shared" si="54"/>
        <v>0</v>
      </c>
      <c r="AZ184" s="53"/>
      <c r="BA184" s="126" t="s">
        <v>218</v>
      </c>
      <c r="BC184" s="126" t="s">
        <v>27</v>
      </c>
      <c r="BD184" s="137"/>
      <c r="BE184" s="137"/>
      <c r="BF184" s="137"/>
      <c r="BG184" s="53">
        <v>0</v>
      </c>
      <c r="BH184" s="53"/>
      <c r="BI184" s="53">
        <v>0</v>
      </c>
      <c r="BJ184" s="53"/>
      <c r="BK184" s="53">
        <v>0</v>
      </c>
      <c r="BL184" s="137"/>
      <c r="BM184" s="137">
        <f t="shared" si="43"/>
        <v>0</v>
      </c>
      <c r="BN184" s="139" t="s">
        <v>347</v>
      </c>
      <c r="BR184" s="124"/>
      <c r="BS184" s="137"/>
      <c r="BT184" s="137"/>
      <c r="BU184" s="137"/>
      <c r="BV184" s="137"/>
      <c r="BW184" s="137"/>
      <c r="BX184" s="127"/>
      <c r="BY184" s="127"/>
      <c r="BZ184" s="137"/>
      <c r="CA184" s="137"/>
      <c r="CB184" s="137"/>
      <c r="CC184" s="137"/>
      <c r="CD184" s="137"/>
      <c r="CE184" s="137"/>
      <c r="CF184" s="126"/>
      <c r="CH184" s="126"/>
      <c r="CI184" s="137"/>
      <c r="CJ184" s="137"/>
      <c r="CK184" s="137"/>
      <c r="CL184" s="137"/>
      <c r="CM184" s="137"/>
      <c r="CN184" s="137"/>
      <c r="CO184" s="137"/>
      <c r="CP184" s="137"/>
      <c r="CQ184" s="137"/>
      <c r="CR184" s="137"/>
      <c r="CS184" s="139"/>
    </row>
    <row r="185" spans="1:99" s="55" customFormat="1" ht="12.75" customHeight="1">
      <c r="A185" s="35" t="s">
        <v>219</v>
      </c>
      <c r="B185" s="51"/>
      <c r="C185" s="35" t="s">
        <v>199</v>
      </c>
      <c r="D185" s="44"/>
      <c r="E185" s="53">
        <f t="shared" si="55"/>
        <v>1108760</v>
      </c>
      <c r="F185" s="53"/>
      <c r="G185" s="53">
        <v>6842651</v>
      </c>
      <c r="H185" s="53"/>
      <c r="I185" s="53">
        <v>7951411</v>
      </c>
      <c r="J185" s="53"/>
      <c r="K185" s="53">
        <f t="shared" si="50"/>
        <v>320817</v>
      </c>
      <c r="L185" s="53"/>
      <c r="M185" s="53">
        <v>1662781</v>
      </c>
      <c r="N185" s="53"/>
      <c r="O185" s="53">
        <v>1983598</v>
      </c>
      <c r="P185" s="53"/>
      <c r="Q185" s="53">
        <v>4696095</v>
      </c>
      <c r="R185" s="53"/>
      <c r="S185" s="53">
        <v>0</v>
      </c>
      <c r="T185" s="53"/>
      <c r="U185" s="53">
        <v>1271718</v>
      </c>
      <c r="V185" s="53"/>
      <c r="W185" s="53">
        <f t="shared" si="51"/>
        <v>5967813</v>
      </c>
      <c r="X185" s="53"/>
      <c r="Y185" s="35" t="s">
        <v>219</v>
      </c>
      <c r="AA185" s="35" t="s">
        <v>199</v>
      </c>
      <c r="AB185" s="35"/>
      <c r="AC185" s="53">
        <v>1293735</v>
      </c>
      <c r="AD185" s="53"/>
      <c r="AE185" s="53">
        <v>839164</v>
      </c>
      <c r="AF185" s="53"/>
      <c r="AG185" s="53">
        <v>0</v>
      </c>
      <c r="AH185" s="53"/>
      <c r="AI185" s="45">
        <f t="shared" si="52"/>
        <v>454571</v>
      </c>
      <c r="AJ185" s="45"/>
      <c r="AK185" s="53">
        <v>-82630</v>
      </c>
      <c r="AL185" s="45"/>
      <c r="AM185" s="53">
        <v>653440</v>
      </c>
      <c r="AN185" s="53"/>
      <c r="AO185" s="53">
        <v>653440</v>
      </c>
      <c r="AP185" s="53"/>
      <c r="AQ185" s="53">
        <v>0</v>
      </c>
      <c r="AR185" s="53"/>
      <c r="AS185" s="45">
        <f t="shared" si="53"/>
        <v>371941</v>
      </c>
      <c r="AT185" s="45"/>
      <c r="AU185" s="53">
        <v>0</v>
      </c>
      <c r="AV185" s="53"/>
      <c r="AW185" s="53">
        <v>0</v>
      </c>
      <c r="AX185" s="53"/>
      <c r="AY185" s="53">
        <f t="shared" si="54"/>
        <v>787943</v>
      </c>
      <c r="AZ185" s="53"/>
      <c r="BA185" s="35" t="s">
        <v>219</v>
      </c>
      <c r="BC185" s="35" t="s">
        <v>199</v>
      </c>
      <c r="BD185" s="53"/>
      <c r="BE185" s="53">
        <v>0</v>
      </c>
      <c r="BF185" s="53"/>
      <c r="BG185" s="53">
        <f>1015600+22900</f>
        <v>1038500</v>
      </c>
      <c r="BH185" s="53"/>
      <c r="BI185" s="53">
        <f>663148+232147</f>
        <v>895295</v>
      </c>
      <c r="BJ185" s="53"/>
      <c r="BK185" s="53">
        <f>14033+7084</f>
        <v>21117</v>
      </c>
      <c r="BL185" s="53"/>
      <c r="BM185" s="53">
        <f t="shared" si="43"/>
        <v>1954912</v>
      </c>
      <c r="BN185" s="54" t="s">
        <v>347</v>
      </c>
      <c r="BR185" s="51"/>
      <c r="BS185" s="53"/>
      <c r="BT185" s="53"/>
      <c r="BU185" s="53"/>
      <c r="BV185" s="53"/>
      <c r="BW185" s="53"/>
      <c r="BX185" s="45"/>
      <c r="BY185" s="45"/>
      <c r="BZ185" s="53"/>
      <c r="CA185" s="53"/>
      <c r="CB185" s="53"/>
      <c r="CC185" s="53"/>
      <c r="CD185" s="53"/>
      <c r="CE185" s="53"/>
      <c r="CF185" s="35"/>
      <c r="CH185" s="35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4"/>
    </row>
    <row r="186" spans="1:99" s="140" customFormat="1" ht="13.5" hidden="1" customHeight="1">
      <c r="A186" s="126" t="s">
        <v>220</v>
      </c>
      <c r="B186" s="124"/>
      <c r="C186" s="126" t="s">
        <v>66</v>
      </c>
      <c r="D186" s="121"/>
      <c r="E186" s="53">
        <f t="shared" si="55"/>
        <v>0</v>
      </c>
      <c r="F186" s="53"/>
      <c r="G186" s="53">
        <v>0</v>
      </c>
      <c r="H186" s="53"/>
      <c r="I186" s="53">
        <v>0</v>
      </c>
      <c r="J186" s="53"/>
      <c r="K186" s="53">
        <f t="shared" si="50"/>
        <v>0</v>
      </c>
      <c r="L186" s="53"/>
      <c r="M186" s="53">
        <v>0</v>
      </c>
      <c r="N186" s="53"/>
      <c r="O186" s="53">
        <v>0</v>
      </c>
      <c r="P186" s="53"/>
      <c r="Q186" s="53">
        <v>0</v>
      </c>
      <c r="R186" s="53"/>
      <c r="S186" s="53">
        <v>0</v>
      </c>
      <c r="T186" s="53"/>
      <c r="U186" s="53">
        <v>0</v>
      </c>
      <c r="V186" s="53"/>
      <c r="W186" s="53">
        <f t="shared" si="51"/>
        <v>0</v>
      </c>
      <c r="X186" s="137"/>
      <c r="Y186" s="126" t="s">
        <v>220</v>
      </c>
      <c r="AA186" s="126" t="s">
        <v>66</v>
      </c>
      <c r="AB186" s="126"/>
      <c r="AC186" s="53">
        <v>0</v>
      </c>
      <c r="AD186" s="53"/>
      <c r="AE186" s="53">
        <v>0</v>
      </c>
      <c r="AF186" s="53"/>
      <c r="AG186" s="53">
        <v>0</v>
      </c>
      <c r="AH186" s="53"/>
      <c r="AI186" s="45">
        <f t="shared" si="52"/>
        <v>0</v>
      </c>
      <c r="AJ186" s="45"/>
      <c r="AK186" s="53">
        <v>0</v>
      </c>
      <c r="AL186" s="45"/>
      <c r="AM186" s="53">
        <v>0</v>
      </c>
      <c r="AN186" s="53"/>
      <c r="AO186" s="53">
        <v>0</v>
      </c>
      <c r="AP186" s="53"/>
      <c r="AQ186" s="53">
        <v>0</v>
      </c>
      <c r="AR186" s="53"/>
      <c r="AS186" s="45">
        <f t="shared" si="53"/>
        <v>0</v>
      </c>
      <c r="AT186" s="45"/>
      <c r="AU186" s="53">
        <v>0</v>
      </c>
      <c r="AV186" s="53"/>
      <c r="AW186" s="53">
        <v>0</v>
      </c>
      <c r="AX186" s="53"/>
      <c r="AY186" s="53">
        <f t="shared" si="54"/>
        <v>0</v>
      </c>
      <c r="AZ186" s="53"/>
      <c r="BA186" s="126" t="s">
        <v>220</v>
      </c>
      <c r="BC186" s="126" t="s">
        <v>66</v>
      </c>
      <c r="BD186" s="137"/>
      <c r="BE186" s="137"/>
      <c r="BF186" s="137"/>
      <c r="BG186" s="53">
        <v>0</v>
      </c>
      <c r="BH186" s="53"/>
      <c r="BI186" s="53">
        <v>0</v>
      </c>
      <c r="BJ186" s="53"/>
      <c r="BK186" s="53">
        <v>0</v>
      </c>
      <c r="BL186" s="137"/>
      <c r="BM186" s="137">
        <f t="shared" si="43"/>
        <v>0</v>
      </c>
      <c r="BN186" s="139" t="s">
        <v>347</v>
      </c>
      <c r="BR186" s="124"/>
      <c r="BS186" s="137"/>
      <c r="BT186" s="137"/>
      <c r="BU186" s="137"/>
      <c r="BV186" s="137"/>
      <c r="BW186" s="127"/>
      <c r="BX186" s="127"/>
      <c r="BY186" s="137"/>
      <c r="BZ186" s="137"/>
      <c r="CA186" s="137"/>
      <c r="CB186" s="137"/>
      <c r="CC186" s="137"/>
      <c r="CD186" s="137"/>
      <c r="CE186" s="137"/>
      <c r="CF186" s="126"/>
      <c r="CH186" s="126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9"/>
    </row>
    <row r="187" spans="1:99" s="55" customFormat="1" ht="12.75" customHeight="1">
      <c r="A187" s="35" t="s">
        <v>221</v>
      </c>
      <c r="C187" s="35" t="s">
        <v>27</v>
      </c>
      <c r="D187" s="44"/>
      <c r="E187" s="53">
        <v>1711392</v>
      </c>
      <c r="F187" s="53"/>
      <c r="G187" s="53">
        <v>24025762</v>
      </c>
      <c r="H187" s="53"/>
      <c r="I187" s="53">
        <v>25737154</v>
      </c>
      <c r="J187" s="53"/>
      <c r="K187" s="53">
        <f t="shared" si="50"/>
        <v>101756</v>
      </c>
      <c r="L187" s="53"/>
      <c r="M187" s="53">
        <v>316490</v>
      </c>
      <c r="N187" s="53"/>
      <c r="O187" s="53">
        <v>418246</v>
      </c>
      <c r="P187" s="53"/>
      <c r="Q187" s="53">
        <v>17800190</v>
      </c>
      <c r="R187" s="53"/>
      <c r="S187" s="53">
        <v>0</v>
      </c>
      <c r="T187" s="53"/>
      <c r="U187" s="53">
        <v>6619718</v>
      </c>
      <c r="V187" s="53"/>
      <c r="W187" s="53">
        <f t="shared" si="51"/>
        <v>24419908</v>
      </c>
      <c r="X187" s="53"/>
      <c r="Y187" s="35" t="s">
        <v>221</v>
      </c>
      <c r="AA187" s="35" t="s">
        <v>27</v>
      </c>
      <c r="AB187" s="35"/>
      <c r="AC187" s="53">
        <v>1979436</v>
      </c>
      <c r="AD187" s="53"/>
      <c r="AE187" s="53">
        <v>1861925</v>
      </c>
      <c r="AF187" s="53"/>
      <c r="AG187" s="53">
        <v>308083</v>
      </c>
      <c r="AH187" s="53"/>
      <c r="AI187" s="45">
        <f t="shared" si="52"/>
        <v>-190572</v>
      </c>
      <c r="AJ187" s="45"/>
      <c r="AK187" s="53">
        <v>-145012</v>
      </c>
      <c r="AL187" s="45"/>
      <c r="AM187" s="53">
        <v>0</v>
      </c>
      <c r="AN187" s="53"/>
      <c r="AO187" s="53">
        <v>0</v>
      </c>
      <c r="AP187" s="53"/>
      <c r="AQ187" s="53">
        <v>903127</v>
      </c>
      <c r="AR187" s="53"/>
      <c r="AS187" s="45">
        <f t="shared" si="53"/>
        <v>567543</v>
      </c>
      <c r="AT187" s="45"/>
      <c r="AU187" s="53">
        <v>0</v>
      </c>
      <c r="AV187" s="53"/>
      <c r="AW187" s="53">
        <v>0</v>
      </c>
      <c r="AX187" s="53"/>
      <c r="AY187" s="53">
        <f t="shared" si="54"/>
        <v>1609636</v>
      </c>
      <c r="AZ187" s="53"/>
      <c r="BA187" s="35" t="s">
        <v>221</v>
      </c>
      <c r="BC187" s="35" t="s">
        <v>27</v>
      </c>
      <c r="BD187" s="53"/>
      <c r="BE187" s="53">
        <v>0</v>
      </c>
      <c r="BF187" s="53"/>
      <c r="BG187" s="53">
        <v>0</v>
      </c>
      <c r="BH187" s="53"/>
      <c r="BI187" s="53">
        <v>231400</v>
      </c>
      <c r="BJ187" s="53"/>
      <c r="BK187" s="53">
        <v>117664</v>
      </c>
      <c r="BL187" s="53"/>
      <c r="BM187" s="53">
        <f t="shared" si="43"/>
        <v>349064</v>
      </c>
      <c r="BN187" s="54" t="s">
        <v>347</v>
      </c>
      <c r="BR187" s="51"/>
      <c r="BS187" s="53"/>
      <c r="BT187" s="53"/>
      <c r="BU187" s="53"/>
      <c r="BV187" s="53"/>
      <c r="BW187" s="53"/>
      <c r="BX187" s="45"/>
      <c r="BY187" s="45"/>
      <c r="BZ187" s="53"/>
      <c r="CA187" s="53"/>
      <c r="CB187" s="53"/>
      <c r="CC187" s="53"/>
      <c r="CD187" s="53"/>
      <c r="CE187" s="53"/>
      <c r="CF187" s="35"/>
      <c r="CH187" s="35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4"/>
    </row>
    <row r="188" spans="1:99" s="55" customFormat="1" ht="12.75" customHeight="1">
      <c r="A188" s="35" t="s">
        <v>222</v>
      </c>
      <c r="B188" s="51"/>
      <c r="C188" s="35" t="s">
        <v>47</v>
      </c>
      <c r="D188" s="44"/>
      <c r="E188" s="53">
        <f t="shared" si="55"/>
        <v>615082</v>
      </c>
      <c r="F188" s="53"/>
      <c r="G188" s="53">
        <v>4609672</v>
      </c>
      <c r="H188" s="53"/>
      <c r="I188" s="53">
        <v>5224754</v>
      </c>
      <c r="J188" s="53"/>
      <c r="K188" s="53">
        <f t="shared" si="50"/>
        <v>495551</v>
      </c>
      <c r="L188" s="53"/>
      <c r="M188" s="53">
        <v>2070857</v>
      </c>
      <c r="N188" s="53"/>
      <c r="O188" s="53">
        <v>2566408</v>
      </c>
      <c r="P188" s="53"/>
      <c r="Q188" s="53">
        <v>2375102</v>
      </c>
      <c r="R188" s="53"/>
      <c r="S188" s="53">
        <v>0</v>
      </c>
      <c r="T188" s="53"/>
      <c r="U188" s="53">
        <v>283244</v>
      </c>
      <c r="V188" s="53"/>
      <c r="W188" s="53">
        <f t="shared" si="51"/>
        <v>2658346</v>
      </c>
      <c r="X188" s="53"/>
      <c r="Y188" s="35" t="s">
        <v>222</v>
      </c>
      <c r="AA188" s="35" t="s">
        <v>47</v>
      </c>
      <c r="AB188" s="35"/>
      <c r="AC188" s="53">
        <v>539045</v>
      </c>
      <c r="AD188" s="53"/>
      <c r="AE188" s="53">
        <f>300500-131351</f>
        <v>169149</v>
      </c>
      <c r="AF188" s="53"/>
      <c r="AG188" s="53">
        <v>131351</v>
      </c>
      <c r="AH188" s="53"/>
      <c r="AI188" s="45">
        <f t="shared" si="52"/>
        <v>238545</v>
      </c>
      <c r="AJ188" s="45"/>
      <c r="AK188" s="53">
        <v>-131008</v>
      </c>
      <c r="AL188" s="45"/>
      <c r="AM188" s="53">
        <v>45000</v>
      </c>
      <c r="AN188" s="53"/>
      <c r="AO188" s="53">
        <v>0</v>
      </c>
      <c r="AP188" s="53"/>
      <c r="AQ188" s="53">
        <v>0</v>
      </c>
      <c r="AR188" s="53"/>
      <c r="AS188" s="45">
        <f t="shared" si="53"/>
        <v>152537</v>
      </c>
      <c r="AT188" s="45"/>
      <c r="AU188" s="53">
        <v>0</v>
      </c>
      <c r="AV188" s="53"/>
      <c r="AW188" s="53">
        <v>0</v>
      </c>
      <c r="AX188" s="53"/>
      <c r="AY188" s="53">
        <f t="shared" si="54"/>
        <v>119531</v>
      </c>
      <c r="AZ188" s="53"/>
      <c r="BA188" s="35" t="s">
        <v>222</v>
      </c>
      <c r="BC188" s="35" t="s">
        <v>47</v>
      </c>
      <c r="BD188" s="53"/>
      <c r="BE188" s="53">
        <f>1215526+51116</f>
        <v>1266642</v>
      </c>
      <c r="BF188" s="53"/>
      <c r="BG188" s="53">
        <v>0</v>
      </c>
      <c r="BH188" s="53"/>
      <c r="BI188" s="53">
        <f>112597+855331</f>
        <v>967928</v>
      </c>
      <c r="BJ188" s="53"/>
      <c r="BK188" s="53">
        <v>0</v>
      </c>
      <c r="BL188" s="53"/>
      <c r="BM188" s="53">
        <f t="shared" si="43"/>
        <v>2234570</v>
      </c>
      <c r="BN188" s="54" t="s">
        <v>347</v>
      </c>
      <c r="BR188" s="51"/>
      <c r="BS188" s="53"/>
      <c r="BT188" s="53"/>
      <c r="BU188" s="53"/>
      <c r="BV188" s="53"/>
      <c r="BW188" s="53"/>
      <c r="BX188" s="45"/>
      <c r="BY188" s="45"/>
      <c r="BZ188" s="53"/>
      <c r="CA188" s="53"/>
      <c r="CB188" s="53"/>
      <c r="CC188" s="53"/>
      <c r="CD188" s="53"/>
      <c r="CE188" s="53"/>
      <c r="CF188" s="35"/>
      <c r="CH188" s="35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4"/>
    </row>
    <row r="189" spans="1:99" s="55" customFormat="1" ht="12.75" hidden="1" customHeight="1">
      <c r="A189" s="35" t="s">
        <v>223</v>
      </c>
      <c r="B189" s="51"/>
      <c r="C189" s="35" t="s">
        <v>94</v>
      </c>
      <c r="D189" s="44"/>
      <c r="E189" s="53">
        <f t="shared" si="55"/>
        <v>0</v>
      </c>
      <c r="F189" s="53"/>
      <c r="G189" s="53">
        <v>0</v>
      </c>
      <c r="H189" s="53"/>
      <c r="I189" s="53">
        <v>0</v>
      </c>
      <c r="J189" s="53"/>
      <c r="K189" s="53">
        <f t="shared" si="50"/>
        <v>0</v>
      </c>
      <c r="L189" s="53"/>
      <c r="M189" s="53">
        <v>0</v>
      </c>
      <c r="N189" s="53"/>
      <c r="O189" s="53">
        <v>0</v>
      </c>
      <c r="P189" s="53"/>
      <c r="Q189" s="53">
        <v>0</v>
      </c>
      <c r="R189" s="53"/>
      <c r="S189" s="53">
        <v>0</v>
      </c>
      <c r="T189" s="53"/>
      <c r="U189" s="53">
        <v>0</v>
      </c>
      <c r="V189" s="53"/>
      <c r="W189" s="53">
        <f t="shared" si="51"/>
        <v>0</v>
      </c>
      <c r="X189" s="53"/>
      <c r="Y189" s="35" t="s">
        <v>223</v>
      </c>
      <c r="AA189" s="35" t="s">
        <v>94</v>
      </c>
      <c r="AB189" s="35"/>
      <c r="AC189" s="53">
        <v>0</v>
      </c>
      <c r="AD189" s="53"/>
      <c r="AE189" s="53">
        <v>0</v>
      </c>
      <c r="AF189" s="53"/>
      <c r="AG189" s="53">
        <v>0</v>
      </c>
      <c r="AH189" s="53"/>
      <c r="AI189" s="45">
        <f t="shared" si="52"/>
        <v>0</v>
      </c>
      <c r="AJ189" s="45"/>
      <c r="AK189" s="53">
        <v>0</v>
      </c>
      <c r="AL189" s="45"/>
      <c r="AM189" s="53">
        <v>0</v>
      </c>
      <c r="AN189" s="53"/>
      <c r="AO189" s="53">
        <v>0</v>
      </c>
      <c r="AP189" s="53"/>
      <c r="AQ189" s="53">
        <v>0</v>
      </c>
      <c r="AR189" s="53"/>
      <c r="AS189" s="45">
        <f t="shared" si="53"/>
        <v>0</v>
      </c>
      <c r="AT189" s="45"/>
      <c r="AU189" s="53">
        <v>0</v>
      </c>
      <c r="AV189" s="53"/>
      <c r="AW189" s="53">
        <v>0</v>
      </c>
      <c r="AX189" s="53"/>
      <c r="AY189" s="53">
        <f t="shared" si="54"/>
        <v>0</v>
      </c>
      <c r="AZ189" s="53"/>
      <c r="BA189" s="35" t="s">
        <v>223</v>
      </c>
      <c r="BC189" s="35" t="s">
        <v>94</v>
      </c>
      <c r="BD189" s="53"/>
      <c r="BE189" s="53">
        <v>0</v>
      </c>
      <c r="BF189" s="53"/>
      <c r="BG189" s="53">
        <v>0</v>
      </c>
      <c r="BH189" s="53"/>
      <c r="BI189" s="53">
        <v>0</v>
      </c>
      <c r="BJ189" s="53"/>
      <c r="BK189" s="53">
        <v>0</v>
      </c>
      <c r="BL189" s="53"/>
      <c r="BM189" s="53">
        <f t="shared" si="43"/>
        <v>0</v>
      </c>
      <c r="BN189" s="54" t="s">
        <v>347</v>
      </c>
      <c r="BR189" s="51"/>
      <c r="BS189" s="53"/>
      <c r="BT189" s="53"/>
      <c r="BU189" s="53"/>
      <c r="BV189" s="53"/>
      <c r="BW189" s="53"/>
      <c r="BX189" s="45"/>
      <c r="BY189" s="45"/>
      <c r="BZ189" s="53"/>
      <c r="CA189" s="53"/>
      <c r="CB189" s="53"/>
      <c r="CC189" s="53"/>
      <c r="CD189" s="53"/>
      <c r="CE189" s="53"/>
      <c r="CF189" s="35"/>
      <c r="CH189" s="35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4"/>
    </row>
    <row r="190" spans="1:99" s="55" customFormat="1" ht="12.75" customHeight="1">
      <c r="A190" s="35" t="s">
        <v>76</v>
      </c>
      <c r="B190" s="51"/>
      <c r="C190" s="35" t="s">
        <v>132</v>
      </c>
      <c r="D190" s="44"/>
      <c r="E190" s="53">
        <f t="shared" si="55"/>
        <v>12293494</v>
      </c>
      <c r="F190" s="53"/>
      <c r="G190" s="53">
        <v>52296000</v>
      </c>
      <c r="H190" s="53"/>
      <c r="I190" s="53">
        <v>64589494</v>
      </c>
      <c r="J190" s="53"/>
      <c r="K190" s="53">
        <f t="shared" si="50"/>
        <v>2687064</v>
      </c>
      <c r="L190" s="53"/>
      <c r="M190" s="53">
        <v>27147476</v>
      </c>
      <c r="N190" s="53"/>
      <c r="O190" s="53">
        <v>29834540</v>
      </c>
      <c r="P190" s="53"/>
      <c r="Q190" s="53">
        <v>24520131</v>
      </c>
      <c r="R190" s="53"/>
      <c r="S190" s="53">
        <v>0</v>
      </c>
      <c r="T190" s="53"/>
      <c r="U190" s="53">
        <v>10231823</v>
      </c>
      <c r="V190" s="53"/>
      <c r="W190" s="53">
        <f t="shared" si="51"/>
        <v>34751954</v>
      </c>
      <c r="X190" s="53"/>
      <c r="Y190" s="35" t="s">
        <v>76</v>
      </c>
      <c r="AA190" s="35" t="s">
        <v>132</v>
      </c>
      <c r="AB190" s="35"/>
      <c r="AC190" s="53">
        <v>6113987</v>
      </c>
      <c r="AD190" s="53"/>
      <c r="AE190" s="53">
        <f>5143726-733205</f>
        <v>4410521</v>
      </c>
      <c r="AF190" s="53"/>
      <c r="AG190" s="53">
        <v>733205</v>
      </c>
      <c r="AH190" s="53"/>
      <c r="AI190" s="45">
        <f t="shared" si="52"/>
        <v>970261</v>
      </c>
      <c r="AJ190" s="45"/>
      <c r="AK190" s="53">
        <v>-1193085</v>
      </c>
      <c r="AL190" s="45"/>
      <c r="AM190" s="53">
        <v>0</v>
      </c>
      <c r="AN190" s="53"/>
      <c r="AO190" s="53">
        <v>90354</v>
      </c>
      <c r="AP190" s="53"/>
      <c r="AQ190" s="53">
        <v>12671035</v>
      </c>
      <c r="AR190" s="53"/>
      <c r="AS190" s="45">
        <f t="shared" si="53"/>
        <v>12357857</v>
      </c>
      <c r="AT190" s="45"/>
      <c r="AU190" s="53">
        <v>0</v>
      </c>
      <c r="AV190" s="53"/>
      <c r="AW190" s="53">
        <v>0</v>
      </c>
      <c r="AX190" s="53"/>
      <c r="AY190" s="53">
        <f t="shared" si="54"/>
        <v>9606430</v>
      </c>
      <c r="AZ190" s="53"/>
      <c r="BA190" s="35" t="s">
        <v>76</v>
      </c>
      <c r="BC190" s="35" t="s">
        <v>132</v>
      </c>
      <c r="BD190" s="53"/>
      <c r="BE190" s="53">
        <f>1702622+92000</f>
        <v>1794622</v>
      </c>
      <c r="BF190" s="53"/>
      <c r="BG190" s="53">
        <v>0</v>
      </c>
      <c r="BH190" s="53"/>
      <c r="BI190" s="53">
        <f>25018589+113959+962658+13711</f>
        <v>26108917</v>
      </c>
      <c r="BJ190" s="53"/>
      <c r="BK190" s="53">
        <f>41105+312306</f>
        <v>353411</v>
      </c>
      <c r="BL190" s="53"/>
      <c r="BM190" s="53">
        <f t="shared" si="43"/>
        <v>28256950</v>
      </c>
      <c r="BN190" s="54" t="s">
        <v>347</v>
      </c>
      <c r="BR190" s="51"/>
      <c r="BS190" s="53"/>
      <c r="BT190" s="53"/>
      <c r="BU190" s="53"/>
      <c r="BV190" s="53"/>
      <c r="BW190" s="53"/>
      <c r="BX190" s="45"/>
      <c r="BY190" s="45"/>
      <c r="BZ190" s="53"/>
      <c r="CA190" s="53"/>
      <c r="CB190" s="53"/>
      <c r="CC190" s="53"/>
      <c r="CD190" s="53"/>
      <c r="CE190" s="53"/>
      <c r="CF190" s="35"/>
      <c r="CH190" s="35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4"/>
    </row>
    <row r="191" spans="1:99" s="140" customFormat="1" ht="12.75" hidden="1" customHeight="1">
      <c r="A191" s="126" t="s">
        <v>224</v>
      </c>
      <c r="C191" s="126" t="s">
        <v>27</v>
      </c>
      <c r="D191" s="121"/>
      <c r="E191" s="53">
        <f t="shared" si="55"/>
        <v>0</v>
      </c>
      <c r="F191" s="53"/>
      <c r="G191" s="53">
        <v>0</v>
      </c>
      <c r="H191" s="53"/>
      <c r="I191" s="53">
        <v>0</v>
      </c>
      <c r="J191" s="53"/>
      <c r="K191" s="53">
        <f t="shared" si="50"/>
        <v>0</v>
      </c>
      <c r="L191" s="53"/>
      <c r="M191" s="53">
        <v>0</v>
      </c>
      <c r="N191" s="53"/>
      <c r="O191" s="53">
        <v>0</v>
      </c>
      <c r="P191" s="53"/>
      <c r="Q191" s="53">
        <v>0</v>
      </c>
      <c r="R191" s="53"/>
      <c r="S191" s="53">
        <v>0</v>
      </c>
      <c r="T191" s="53"/>
      <c r="U191" s="53">
        <v>0</v>
      </c>
      <c r="V191" s="53"/>
      <c r="W191" s="53">
        <f t="shared" si="51"/>
        <v>0</v>
      </c>
      <c r="X191" s="137"/>
      <c r="Y191" s="126" t="s">
        <v>224</v>
      </c>
      <c r="AA191" s="126" t="s">
        <v>27</v>
      </c>
      <c r="AB191" s="126"/>
      <c r="AC191" s="53">
        <v>0</v>
      </c>
      <c r="AD191" s="53"/>
      <c r="AE191" s="53">
        <v>0</v>
      </c>
      <c r="AF191" s="53"/>
      <c r="AG191" s="53">
        <v>0</v>
      </c>
      <c r="AH191" s="53"/>
      <c r="AI191" s="45">
        <f t="shared" si="52"/>
        <v>0</v>
      </c>
      <c r="AJ191" s="45"/>
      <c r="AK191" s="53">
        <v>0</v>
      </c>
      <c r="AL191" s="45"/>
      <c r="AM191" s="53">
        <v>0</v>
      </c>
      <c r="AN191" s="53"/>
      <c r="AO191" s="53">
        <v>0</v>
      </c>
      <c r="AP191" s="53"/>
      <c r="AQ191" s="53">
        <v>0</v>
      </c>
      <c r="AR191" s="53"/>
      <c r="AS191" s="45">
        <f t="shared" si="53"/>
        <v>0</v>
      </c>
      <c r="AT191" s="45"/>
      <c r="AU191" s="53">
        <v>0</v>
      </c>
      <c r="AV191" s="53"/>
      <c r="AW191" s="53">
        <v>0</v>
      </c>
      <c r="AX191" s="53"/>
      <c r="AY191" s="53">
        <f t="shared" si="54"/>
        <v>0</v>
      </c>
      <c r="AZ191" s="53"/>
      <c r="BA191" s="126" t="s">
        <v>224</v>
      </c>
      <c r="BC191" s="126" t="s">
        <v>27</v>
      </c>
      <c r="BD191" s="137"/>
      <c r="BE191" s="137"/>
      <c r="BF191" s="137"/>
      <c r="BG191" s="53">
        <v>0</v>
      </c>
      <c r="BH191" s="53"/>
      <c r="BI191" s="53">
        <v>0</v>
      </c>
      <c r="BJ191" s="53"/>
      <c r="BK191" s="53">
        <v>0</v>
      </c>
      <c r="BL191" s="137"/>
      <c r="BM191" s="137">
        <f t="shared" si="43"/>
        <v>0</v>
      </c>
      <c r="BN191" s="139" t="s">
        <v>347</v>
      </c>
      <c r="BR191" s="124"/>
      <c r="BS191" s="137"/>
      <c r="BT191" s="137"/>
      <c r="BU191" s="137"/>
      <c r="BV191" s="137"/>
      <c r="BW191" s="137"/>
      <c r="BX191" s="127"/>
      <c r="BY191" s="127"/>
      <c r="BZ191" s="137"/>
      <c r="CA191" s="137"/>
      <c r="CB191" s="137"/>
      <c r="CC191" s="137"/>
      <c r="CD191" s="137"/>
      <c r="CE191" s="137"/>
      <c r="CF191" s="126"/>
      <c r="CH191" s="126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39"/>
    </row>
    <row r="192" spans="1:99" s="131" customFormat="1" ht="12.75" hidden="1" customHeight="1">
      <c r="A192" s="126" t="s">
        <v>225</v>
      </c>
      <c r="B192" s="124"/>
      <c r="C192" s="126" t="s">
        <v>27</v>
      </c>
      <c r="D192" s="121"/>
      <c r="E192" s="53">
        <f t="shared" si="55"/>
        <v>0</v>
      </c>
      <c r="F192" s="53"/>
      <c r="G192" s="53">
        <v>0</v>
      </c>
      <c r="H192" s="53"/>
      <c r="I192" s="53">
        <v>0</v>
      </c>
      <c r="J192" s="53"/>
      <c r="K192" s="53">
        <f t="shared" si="50"/>
        <v>0</v>
      </c>
      <c r="L192" s="53"/>
      <c r="M192" s="53">
        <v>0</v>
      </c>
      <c r="N192" s="53"/>
      <c r="O192" s="53">
        <v>0</v>
      </c>
      <c r="P192" s="53"/>
      <c r="Q192" s="53">
        <v>0</v>
      </c>
      <c r="R192" s="53"/>
      <c r="S192" s="53">
        <v>0</v>
      </c>
      <c r="T192" s="53"/>
      <c r="U192" s="53">
        <v>0</v>
      </c>
      <c r="V192" s="53"/>
      <c r="W192" s="53">
        <f t="shared" si="51"/>
        <v>0</v>
      </c>
      <c r="X192" s="137"/>
      <c r="Y192" s="126" t="s">
        <v>225</v>
      </c>
      <c r="Z192" s="140"/>
      <c r="AA192" s="126" t="s">
        <v>27</v>
      </c>
      <c r="AB192" s="126"/>
      <c r="AC192" s="53">
        <v>0</v>
      </c>
      <c r="AD192" s="53"/>
      <c r="AE192" s="53">
        <v>0</v>
      </c>
      <c r="AF192" s="53"/>
      <c r="AG192" s="53">
        <v>0</v>
      </c>
      <c r="AH192" s="53"/>
      <c r="AI192" s="45">
        <f t="shared" si="52"/>
        <v>0</v>
      </c>
      <c r="AJ192" s="45"/>
      <c r="AK192" s="53">
        <v>0</v>
      </c>
      <c r="AL192" s="45"/>
      <c r="AM192" s="53">
        <v>0</v>
      </c>
      <c r="AN192" s="53"/>
      <c r="AO192" s="53">
        <v>0</v>
      </c>
      <c r="AP192" s="53"/>
      <c r="AQ192" s="53">
        <v>0</v>
      </c>
      <c r="AR192" s="53"/>
      <c r="AS192" s="45">
        <f t="shared" si="53"/>
        <v>0</v>
      </c>
      <c r="AT192" s="45"/>
      <c r="AU192" s="53">
        <v>0</v>
      </c>
      <c r="AV192" s="53"/>
      <c r="AW192" s="53">
        <v>0</v>
      </c>
      <c r="AX192" s="53"/>
      <c r="AY192" s="53">
        <f t="shared" si="54"/>
        <v>0</v>
      </c>
      <c r="AZ192" s="53"/>
      <c r="BA192" s="126" t="s">
        <v>225</v>
      </c>
      <c r="BB192" s="140"/>
      <c r="BC192" s="126" t="s">
        <v>27</v>
      </c>
      <c r="BD192" s="137"/>
      <c r="BE192" s="137"/>
      <c r="BF192" s="137"/>
      <c r="BG192" s="53">
        <v>0</v>
      </c>
      <c r="BH192" s="53"/>
      <c r="BI192" s="53">
        <v>0</v>
      </c>
      <c r="BJ192" s="53"/>
      <c r="BK192" s="53">
        <v>0</v>
      </c>
      <c r="BL192" s="137"/>
      <c r="BM192" s="137">
        <f t="shared" si="43"/>
        <v>0</v>
      </c>
      <c r="BN192" s="138" t="s">
        <v>347</v>
      </c>
      <c r="BR192" s="136"/>
      <c r="BS192" s="135"/>
      <c r="BT192" s="135"/>
      <c r="BU192" s="135"/>
      <c r="BV192" s="135"/>
      <c r="BW192" s="135"/>
      <c r="BX192" s="128"/>
      <c r="BY192" s="128"/>
      <c r="BZ192" s="135"/>
      <c r="CA192" s="135"/>
      <c r="CB192" s="135"/>
      <c r="CC192" s="135"/>
      <c r="CD192" s="135"/>
      <c r="CE192" s="135"/>
      <c r="CF192" s="123"/>
      <c r="CH192" s="123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8"/>
    </row>
    <row r="193" spans="1:108" s="131" customFormat="1" ht="12.75" hidden="1" customHeight="1">
      <c r="A193" s="126" t="s">
        <v>226</v>
      </c>
      <c r="B193" s="124"/>
      <c r="C193" s="126" t="s">
        <v>45</v>
      </c>
      <c r="D193" s="121"/>
      <c r="E193" s="53">
        <f t="shared" si="55"/>
        <v>0</v>
      </c>
      <c r="F193" s="53"/>
      <c r="G193" s="53">
        <v>0</v>
      </c>
      <c r="H193" s="53"/>
      <c r="I193" s="53">
        <v>0</v>
      </c>
      <c r="J193" s="53"/>
      <c r="K193" s="53">
        <f t="shared" si="50"/>
        <v>0</v>
      </c>
      <c r="L193" s="53"/>
      <c r="M193" s="53">
        <v>0</v>
      </c>
      <c r="N193" s="53"/>
      <c r="O193" s="53">
        <v>0</v>
      </c>
      <c r="P193" s="53"/>
      <c r="Q193" s="53">
        <v>0</v>
      </c>
      <c r="R193" s="53"/>
      <c r="S193" s="53">
        <v>0</v>
      </c>
      <c r="T193" s="53"/>
      <c r="U193" s="53">
        <v>0</v>
      </c>
      <c r="V193" s="53"/>
      <c r="W193" s="53">
        <f t="shared" si="51"/>
        <v>0</v>
      </c>
      <c r="X193" s="137"/>
      <c r="Y193" s="126" t="s">
        <v>226</v>
      </c>
      <c r="Z193" s="140"/>
      <c r="AA193" s="126" t="s">
        <v>45</v>
      </c>
      <c r="AB193" s="126"/>
      <c r="AC193" s="53">
        <v>0</v>
      </c>
      <c r="AD193" s="53"/>
      <c r="AE193" s="53">
        <v>0</v>
      </c>
      <c r="AF193" s="53"/>
      <c r="AG193" s="53">
        <v>0</v>
      </c>
      <c r="AH193" s="53"/>
      <c r="AI193" s="45">
        <f t="shared" si="52"/>
        <v>0</v>
      </c>
      <c r="AJ193" s="45"/>
      <c r="AK193" s="53">
        <v>0</v>
      </c>
      <c r="AL193" s="45"/>
      <c r="AM193" s="53">
        <v>0</v>
      </c>
      <c r="AN193" s="53"/>
      <c r="AO193" s="53">
        <v>0</v>
      </c>
      <c r="AP193" s="53"/>
      <c r="AQ193" s="53">
        <v>0</v>
      </c>
      <c r="AR193" s="53"/>
      <c r="AS193" s="45">
        <f t="shared" si="53"/>
        <v>0</v>
      </c>
      <c r="AT193" s="45"/>
      <c r="AU193" s="53">
        <v>0</v>
      </c>
      <c r="AV193" s="53"/>
      <c r="AW193" s="53">
        <v>0</v>
      </c>
      <c r="AX193" s="53"/>
      <c r="AY193" s="53">
        <f t="shared" si="54"/>
        <v>0</v>
      </c>
      <c r="AZ193" s="53"/>
      <c r="BA193" s="126" t="s">
        <v>226</v>
      </c>
      <c r="BB193" s="140"/>
      <c r="BC193" s="126" t="s">
        <v>45</v>
      </c>
      <c r="BD193" s="137"/>
      <c r="BE193" s="137"/>
      <c r="BF193" s="137"/>
      <c r="BG193" s="53">
        <v>0</v>
      </c>
      <c r="BH193" s="53"/>
      <c r="BI193" s="53">
        <v>0</v>
      </c>
      <c r="BJ193" s="53"/>
      <c r="BK193" s="53">
        <v>0</v>
      </c>
      <c r="BL193" s="137"/>
      <c r="BM193" s="137">
        <f t="shared" si="43"/>
        <v>0</v>
      </c>
      <c r="BN193" s="138"/>
      <c r="BR193" s="136"/>
      <c r="BS193" s="135"/>
      <c r="BT193" s="135"/>
      <c r="BU193" s="135"/>
      <c r="BV193" s="135"/>
      <c r="BW193" s="135"/>
      <c r="BX193" s="128"/>
      <c r="BY193" s="128"/>
      <c r="BZ193" s="135"/>
      <c r="CA193" s="135"/>
      <c r="CB193" s="135"/>
      <c r="CC193" s="135"/>
      <c r="CD193" s="135"/>
      <c r="CE193" s="135"/>
      <c r="CF193" s="123"/>
      <c r="CH193" s="123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8"/>
    </row>
    <row r="194" spans="1:108" s="55" customFormat="1" ht="12.75" customHeight="1">
      <c r="A194" s="35" t="s">
        <v>227</v>
      </c>
      <c r="C194" s="35" t="s">
        <v>17</v>
      </c>
      <c r="D194" s="44"/>
      <c r="E194" s="53">
        <f t="shared" si="55"/>
        <v>501105</v>
      </c>
      <c r="F194" s="53"/>
      <c r="G194" s="53">
        <v>662185</v>
      </c>
      <c r="H194" s="53"/>
      <c r="I194" s="53">
        <v>1163290</v>
      </c>
      <c r="J194" s="53"/>
      <c r="K194" s="53">
        <f t="shared" si="50"/>
        <v>86986</v>
      </c>
      <c r="L194" s="53"/>
      <c r="M194" s="53">
        <v>35076</v>
      </c>
      <c r="N194" s="53"/>
      <c r="O194" s="53">
        <v>122062</v>
      </c>
      <c r="P194" s="53"/>
      <c r="Q194" s="53">
        <v>639045</v>
      </c>
      <c r="R194" s="53"/>
      <c r="S194" s="53">
        <v>0</v>
      </c>
      <c r="T194" s="53"/>
      <c r="U194" s="53">
        <v>402183</v>
      </c>
      <c r="V194" s="53"/>
      <c r="W194" s="53">
        <f t="shared" si="51"/>
        <v>1041228</v>
      </c>
      <c r="X194" s="53"/>
      <c r="Y194" s="35" t="s">
        <v>227</v>
      </c>
      <c r="AA194" s="35" t="s">
        <v>17</v>
      </c>
      <c r="AB194" s="35"/>
      <c r="AC194" s="53">
        <v>947251</v>
      </c>
      <c r="AD194" s="53"/>
      <c r="AE194" s="53">
        <f>869137-86066</f>
        <v>783071</v>
      </c>
      <c r="AF194" s="53"/>
      <c r="AG194" s="53">
        <v>86066</v>
      </c>
      <c r="AH194" s="53"/>
      <c r="AI194" s="45">
        <f t="shared" si="52"/>
        <v>78114</v>
      </c>
      <c r="AJ194" s="45"/>
      <c r="AK194" s="53">
        <v>-415</v>
      </c>
      <c r="AL194" s="45"/>
      <c r="AM194" s="53">
        <v>0</v>
      </c>
      <c r="AN194" s="53"/>
      <c r="AO194" s="53">
        <v>0</v>
      </c>
      <c r="AP194" s="53"/>
      <c r="AQ194" s="53">
        <v>0</v>
      </c>
      <c r="AR194" s="53"/>
      <c r="AS194" s="45">
        <f t="shared" si="53"/>
        <v>77699</v>
      </c>
      <c r="AT194" s="45"/>
      <c r="AU194" s="53">
        <v>0</v>
      </c>
      <c r="AV194" s="53"/>
      <c r="AW194" s="53">
        <v>0</v>
      </c>
      <c r="AX194" s="53"/>
      <c r="AY194" s="53">
        <f t="shared" si="54"/>
        <v>414119</v>
      </c>
      <c r="AZ194" s="53"/>
      <c r="BA194" s="35" t="s">
        <v>227</v>
      </c>
      <c r="BC194" s="35" t="s">
        <v>17</v>
      </c>
      <c r="BD194" s="53"/>
      <c r="BE194" s="53">
        <v>0</v>
      </c>
      <c r="BF194" s="53"/>
      <c r="BG194" s="53">
        <v>0</v>
      </c>
      <c r="BH194" s="53"/>
      <c r="BI194" s="53">
        <v>0</v>
      </c>
      <c r="BJ194" s="53"/>
      <c r="BK194" s="53">
        <v>35076</v>
      </c>
      <c r="BL194" s="53"/>
      <c r="BM194" s="53">
        <f t="shared" si="43"/>
        <v>35076</v>
      </c>
      <c r="BN194" s="54" t="s">
        <v>347</v>
      </c>
      <c r="BR194" s="65"/>
      <c r="BS194" s="53"/>
      <c r="BT194" s="53"/>
      <c r="BU194" s="53"/>
      <c r="BV194" s="53"/>
      <c r="BW194" s="53"/>
      <c r="BX194" s="45"/>
      <c r="BY194" s="45"/>
      <c r="BZ194" s="53"/>
      <c r="CA194" s="53"/>
      <c r="CB194" s="53"/>
      <c r="CC194" s="53"/>
      <c r="CD194" s="53"/>
      <c r="CE194" s="53"/>
      <c r="CF194" s="35"/>
      <c r="CH194" s="35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4"/>
    </row>
    <row r="195" spans="1:108" s="55" customFormat="1" ht="12.75" customHeight="1">
      <c r="A195" s="35" t="s">
        <v>228</v>
      </c>
      <c r="B195" s="51"/>
      <c r="C195" s="35" t="s">
        <v>153</v>
      </c>
      <c r="D195" s="44"/>
      <c r="E195" s="53">
        <f t="shared" si="55"/>
        <v>1161055</v>
      </c>
      <c r="F195" s="53"/>
      <c r="G195" s="53">
        <v>10613696</v>
      </c>
      <c r="H195" s="53"/>
      <c r="I195" s="53">
        <v>11774751</v>
      </c>
      <c r="J195" s="53"/>
      <c r="K195" s="53">
        <f t="shared" si="50"/>
        <v>249501</v>
      </c>
      <c r="L195" s="53"/>
      <c r="M195" s="53">
        <v>2704516</v>
      </c>
      <c r="N195" s="53"/>
      <c r="O195" s="53">
        <v>2954017</v>
      </c>
      <c r="P195" s="53"/>
      <c r="Q195" s="53">
        <v>7851162</v>
      </c>
      <c r="R195" s="53"/>
      <c r="S195" s="53">
        <v>0</v>
      </c>
      <c r="T195" s="53"/>
      <c r="U195" s="53">
        <v>969572</v>
      </c>
      <c r="V195" s="53"/>
      <c r="W195" s="53">
        <f t="shared" si="51"/>
        <v>8820734</v>
      </c>
      <c r="X195" s="53"/>
      <c r="Y195" s="35" t="s">
        <v>228</v>
      </c>
      <c r="AA195" s="35" t="s">
        <v>153</v>
      </c>
      <c r="AB195" s="35"/>
      <c r="AC195" s="53">
        <v>1859677</v>
      </c>
      <c r="AD195" s="53"/>
      <c r="AE195" s="53">
        <f>1872857-368432</f>
        <v>1504425</v>
      </c>
      <c r="AF195" s="53"/>
      <c r="AG195" s="53">
        <v>368432</v>
      </c>
      <c r="AH195" s="53"/>
      <c r="AI195" s="45">
        <f t="shared" si="52"/>
        <v>-13180</v>
      </c>
      <c r="AJ195" s="45"/>
      <c r="AK195" s="53">
        <v>-78301</v>
      </c>
      <c r="AL195" s="45"/>
      <c r="AM195" s="53">
        <v>0</v>
      </c>
      <c r="AN195" s="53"/>
      <c r="AO195" s="53">
        <v>0</v>
      </c>
      <c r="AP195" s="53"/>
      <c r="AQ195" s="53">
        <v>193559</v>
      </c>
      <c r="AR195" s="53"/>
      <c r="AS195" s="45">
        <f t="shared" si="53"/>
        <v>102078</v>
      </c>
      <c r="AT195" s="45"/>
      <c r="AU195" s="53">
        <v>0</v>
      </c>
      <c r="AV195" s="53"/>
      <c r="AW195" s="53">
        <v>0</v>
      </c>
      <c r="AX195" s="53"/>
      <c r="AY195" s="53">
        <f t="shared" si="54"/>
        <v>911554</v>
      </c>
      <c r="AZ195" s="53"/>
      <c r="BA195" s="35" t="s">
        <v>228</v>
      </c>
      <c r="BC195" s="35" t="s">
        <v>153</v>
      </c>
      <c r="BD195" s="53"/>
      <c r="BE195" s="53">
        <v>0</v>
      </c>
      <c r="BF195" s="53"/>
      <c r="BG195" s="53">
        <v>0</v>
      </c>
      <c r="BH195" s="53"/>
      <c r="BI195" s="53">
        <f>2668458+94073</f>
        <v>2762531</v>
      </c>
      <c r="BJ195" s="53"/>
      <c r="BK195" s="53">
        <f>14424+36058</f>
        <v>50482</v>
      </c>
      <c r="BL195" s="53"/>
      <c r="BM195" s="53">
        <f t="shared" si="43"/>
        <v>2813013</v>
      </c>
      <c r="BN195" s="54" t="s">
        <v>347</v>
      </c>
      <c r="BO195" s="55" t="s">
        <v>404</v>
      </c>
      <c r="BR195" s="51"/>
      <c r="BS195" s="53"/>
      <c r="BT195" s="53"/>
      <c r="BU195" s="53"/>
      <c r="BV195" s="53"/>
      <c r="BW195" s="53"/>
      <c r="BX195" s="45"/>
      <c r="BY195" s="45"/>
      <c r="BZ195" s="53"/>
      <c r="CA195" s="53"/>
      <c r="CB195" s="53"/>
      <c r="CC195" s="53"/>
      <c r="CD195" s="53"/>
      <c r="CE195" s="53"/>
      <c r="CF195" s="35"/>
      <c r="CH195" s="35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4"/>
    </row>
    <row r="196" spans="1:108" s="55" customFormat="1" ht="12.75" customHeight="1">
      <c r="A196" s="35" t="s">
        <v>229</v>
      </c>
      <c r="B196" s="51"/>
      <c r="C196" s="35" t="s">
        <v>228</v>
      </c>
      <c r="D196" s="44"/>
      <c r="E196" s="53">
        <f t="shared" si="55"/>
        <v>2362842</v>
      </c>
      <c r="F196" s="53"/>
      <c r="G196" s="53">
        <v>19813281</v>
      </c>
      <c r="H196" s="53"/>
      <c r="I196" s="53">
        <v>22176123</v>
      </c>
      <c r="J196" s="53"/>
      <c r="K196" s="53">
        <f t="shared" si="50"/>
        <v>477891</v>
      </c>
      <c r="L196" s="53"/>
      <c r="M196" s="53">
        <v>5868762</v>
      </c>
      <c r="N196" s="53"/>
      <c r="O196" s="53">
        <v>6346653</v>
      </c>
      <c r="P196" s="53"/>
      <c r="Q196" s="53">
        <v>13678281</v>
      </c>
      <c r="R196" s="53"/>
      <c r="S196" s="53">
        <v>0</v>
      </c>
      <c r="T196" s="53"/>
      <c r="U196" s="53">
        <v>2151189</v>
      </c>
      <c r="V196" s="53"/>
      <c r="W196" s="53">
        <f t="shared" si="51"/>
        <v>15829470</v>
      </c>
      <c r="X196" s="53"/>
      <c r="Y196" s="35" t="s">
        <v>229</v>
      </c>
      <c r="AA196" s="35" t="s">
        <v>228</v>
      </c>
      <c r="AB196" s="35"/>
      <c r="AC196" s="53">
        <v>3354943</v>
      </c>
      <c r="AD196" s="53"/>
      <c r="AE196" s="53">
        <f>3521777-919903</f>
        <v>2601874</v>
      </c>
      <c r="AF196" s="53"/>
      <c r="AG196" s="53">
        <v>919903</v>
      </c>
      <c r="AH196" s="53"/>
      <c r="AI196" s="45">
        <f t="shared" si="52"/>
        <v>-166834</v>
      </c>
      <c r="AJ196" s="45"/>
      <c r="AK196" s="53">
        <f>+-250413</f>
        <v>-250413</v>
      </c>
      <c r="AL196" s="45"/>
      <c r="AM196" s="53">
        <v>0</v>
      </c>
      <c r="AN196" s="53"/>
      <c r="AO196" s="53">
        <v>0</v>
      </c>
      <c r="AP196" s="53"/>
      <c r="AQ196" s="53">
        <v>0</v>
      </c>
      <c r="AR196" s="53"/>
      <c r="AS196" s="45">
        <f t="shared" si="53"/>
        <v>-417247</v>
      </c>
      <c r="AT196" s="45"/>
      <c r="AU196" s="53">
        <v>0</v>
      </c>
      <c r="AV196" s="53"/>
      <c r="AW196" s="53">
        <v>0</v>
      </c>
      <c r="AX196" s="53"/>
      <c r="AY196" s="53">
        <f t="shared" si="54"/>
        <v>1884951</v>
      </c>
      <c r="AZ196" s="53"/>
      <c r="BA196" s="35" t="s">
        <v>229</v>
      </c>
      <c r="BC196" s="35" t="s">
        <v>228</v>
      </c>
      <c r="BD196" s="53"/>
      <c r="BE196" s="53">
        <f>5770000+365000</f>
        <v>6135000</v>
      </c>
      <c r="BF196" s="53"/>
      <c r="BG196" s="53">
        <v>0</v>
      </c>
      <c r="BH196" s="53"/>
      <c r="BI196" s="53">
        <v>0</v>
      </c>
      <c r="BJ196" s="53"/>
      <c r="BK196" s="53">
        <f>98762+4024</f>
        <v>102786</v>
      </c>
      <c r="BL196" s="53"/>
      <c r="BM196" s="53">
        <f t="shared" si="43"/>
        <v>6237786</v>
      </c>
      <c r="BN196" s="54" t="s">
        <v>347</v>
      </c>
      <c r="BO196" s="35" t="s">
        <v>404</v>
      </c>
      <c r="BP196" s="35"/>
      <c r="BQ196" s="35"/>
      <c r="BR196" s="51"/>
      <c r="BS196" s="53"/>
      <c r="BT196" s="53"/>
      <c r="BU196" s="53"/>
      <c r="BV196" s="53"/>
      <c r="BW196" s="53"/>
      <c r="BX196" s="45"/>
      <c r="BY196" s="45"/>
      <c r="BZ196" s="53"/>
      <c r="CA196" s="53"/>
      <c r="CB196" s="53"/>
      <c r="CC196" s="53"/>
      <c r="CD196" s="53"/>
      <c r="CE196" s="53"/>
      <c r="CF196" s="35"/>
      <c r="CH196" s="35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4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</row>
    <row r="197" spans="1:108" s="140" customFormat="1" ht="12.75" hidden="1" customHeight="1">
      <c r="A197" s="126" t="s">
        <v>230</v>
      </c>
      <c r="B197" s="124"/>
      <c r="C197" s="126" t="s">
        <v>45</v>
      </c>
      <c r="D197" s="121"/>
      <c r="E197" s="53">
        <f t="shared" si="55"/>
        <v>0</v>
      </c>
      <c r="F197" s="53"/>
      <c r="G197" s="53">
        <v>0</v>
      </c>
      <c r="H197" s="53"/>
      <c r="I197" s="53">
        <v>0</v>
      </c>
      <c r="J197" s="53"/>
      <c r="K197" s="53">
        <f t="shared" si="50"/>
        <v>0</v>
      </c>
      <c r="L197" s="53"/>
      <c r="M197" s="53">
        <v>0</v>
      </c>
      <c r="N197" s="53"/>
      <c r="O197" s="53">
        <v>0</v>
      </c>
      <c r="P197" s="53"/>
      <c r="Q197" s="53">
        <v>0</v>
      </c>
      <c r="R197" s="53"/>
      <c r="S197" s="53">
        <v>0</v>
      </c>
      <c r="T197" s="53"/>
      <c r="U197" s="53">
        <v>0</v>
      </c>
      <c r="V197" s="53"/>
      <c r="W197" s="53">
        <f t="shared" si="51"/>
        <v>0</v>
      </c>
      <c r="X197" s="137"/>
      <c r="Y197" s="126" t="s">
        <v>230</v>
      </c>
      <c r="AA197" s="126" t="s">
        <v>45</v>
      </c>
      <c r="AB197" s="126"/>
      <c r="AC197" s="53">
        <v>0</v>
      </c>
      <c r="AD197" s="53"/>
      <c r="AE197" s="53">
        <v>0</v>
      </c>
      <c r="AF197" s="53"/>
      <c r="AG197" s="53">
        <v>0</v>
      </c>
      <c r="AH197" s="53"/>
      <c r="AI197" s="45">
        <f t="shared" si="52"/>
        <v>0</v>
      </c>
      <c r="AJ197" s="45"/>
      <c r="AK197" s="53">
        <v>0</v>
      </c>
      <c r="AL197" s="45"/>
      <c r="AM197" s="53">
        <v>0</v>
      </c>
      <c r="AN197" s="53"/>
      <c r="AO197" s="53">
        <v>0</v>
      </c>
      <c r="AP197" s="53"/>
      <c r="AQ197" s="53">
        <v>0</v>
      </c>
      <c r="AR197" s="53"/>
      <c r="AS197" s="45">
        <f t="shared" si="53"/>
        <v>0</v>
      </c>
      <c r="AT197" s="45"/>
      <c r="AU197" s="53">
        <v>0</v>
      </c>
      <c r="AV197" s="53"/>
      <c r="AW197" s="53">
        <v>0</v>
      </c>
      <c r="AX197" s="53"/>
      <c r="AY197" s="53">
        <f t="shared" si="54"/>
        <v>0</v>
      </c>
      <c r="AZ197" s="53"/>
      <c r="BA197" s="126" t="s">
        <v>230</v>
      </c>
      <c r="BC197" s="126" t="s">
        <v>45</v>
      </c>
      <c r="BD197" s="137"/>
      <c r="BE197" s="137"/>
      <c r="BF197" s="137"/>
      <c r="BG197" s="53">
        <v>0</v>
      </c>
      <c r="BH197" s="53"/>
      <c r="BI197" s="53">
        <v>0</v>
      </c>
      <c r="BJ197" s="53"/>
      <c r="BK197" s="53">
        <v>0</v>
      </c>
      <c r="BL197" s="137"/>
      <c r="BM197" s="137">
        <f t="shared" si="43"/>
        <v>0</v>
      </c>
      <c r="BN197" s="139" t="s">
        <v>347</v>
      </c>
      <c r="BR197" s="124"/>
      <c r="BS197" s="137"/>
      <c r="BT197" s="137"/>
      <c r="BU197" s="137"/>
      <c r="BV197" s="137"/>
      <c r="BW197" s="137"/>
      <c r="BX197" s="127"/>
      <c r="BY197" s="127"/>
      <c r="BZ197" s="137"/>
      <c r="CA197" s="137"/>
      <c r="CB197" s="137"/>
      <c r="CC197" s="137"/>
      <c r="CD197" s="137"/>
      <c r="CE197" s="137"/>
      <c r="CF197" s="126"/>
      <c r="CH197" s="126"/>
      <c r="CI197" s="137"/>
      <c r="CJ197" s="137"/>
      <c r="CK197" s="137"/>
      <c r="CL197" s="137"/>
      <c r="CM197" s="137"/>
      <c r="CN197" s="137"/>
      <c r="CO197" s="137"/>
      <c r="CP197" s="137"/>
      <c r="CQ197" s="137"/>
      <c r="CR197" s="137"/>
      <c r="CS197" s="139"/>
    </row>
    <row r="198" spans="1:108" s="140" customFormat="1" ht="12.75" hidden="1" customHeight="1">
      <c r="A198" s="126" t="s">
        <v>231</v>
      </c>
      <c r="B198" s="124"/>
      <c r="C198" s="126" t="s">
        <v>27</v>
      </c>
      <c r="D198" s="121"/>
      <c r="E198" s="53">
        <f t="shared" si="55"/>
        <v>0</v>
      </c>
      <c r="F198" s="53"/>
      <c r="G198" s="53">
        <v>0</v>
      </c>
      <c r="H198" s="53"/>
      <c r="I198" s="53">
        <v>0</v>
      </c>
      <c r="J198" s="53"/>
      <c r="K198" s="53">
        <f t="shared" si="50"/>
        <v>0</v>
      </c>
      <c r="L198" s="53"/>
      <c r="M198" s="53">
        <v>0</v>
      </c>
      <c r="N198" s="53"/>
      <c r="O198" s="53">
        <v>0</v>
      </c>
      <c r="P198" s="53"/>
      <c r="Q198" s="53">
        <v>0</v>
      </c>
      <c r="R198" s="53"/>
      <c r="S198" s="53">
        <v>0</v>
      </c>
      <c r="T198" s="53"/>
      <c r="U198" s="53">
        <v>0</v>
      </c>
      <c r="V198" s="53"/>
      <c r="W198" s="53">
        <f t="shared" si="51"/>
        <v>0</v>
      </c>
      <c r="X198" s="137"/>
      <c r="Y198" s="126" t="s">
        <v>231</v>
      </c>
      <c r="AA198" s="126" t="s">
        <v>27</v>
      </c>
      <c r="AB198" s="126"/>
      <c r="AC198" s="53">
        <v>0</v>
      </c>
      <c r="AD198" s="53"/>
      <c r="AE198" s="53">
        <v>0</v>
      </c>
      <c r="AF198" s="53"/>
      <c r="AG198" s="53">
        <v>0</v>
      </c>
      <c r="AH198" s="53"/>
      <c r="AI198" s="45">
        <f t="shared" si="52"/>
        <v>0</v>
      </c>
      <c r="AJ198" s="45"/>
      <c r="AK198" s="53">
        <v>0</v>
      </c>
      <c r="AL198" s="45"/>
      <c r="AM198" s="53">
        <v>0</v>
      </c>
      <c r="AN198" s="53"/>
      <c r="AO198" s="53">
        <v>0</v>
      </c>
      <c r="AP198" s="53"/>
      <c r="AQ198" s="53">
        <v>0</v>
      </c>
      <c r="AR198" s="53"/>
      <c r="AS198" s="45">
        <f t="shared" si="53"/>
        <v>0</v>
      </c>
      <c r="AT198" s="45"/>
      <c r="AU198" s="53">
        <v>0</v>
      </c>
      <c r="AV198" s="53"/>
      <c r="AW198" s="53">
        <v>0</v>
      </c>
      <c r="AX198" s="53"/>
      <c r="AY198" s="53">
        <f t="shared" si="54"/>
        <v>0</v>
      </c>
      <c r="AZ198" s="53"/>
      <c r="BA198" s="126" t="s">
        <v>231</v>
      </c>
      <c r="BC198" s="126" t="s">
        <v>27</v>
      </c>
      <c r="BD198" s="137"/>
      <c r="BE198" s="137"/>
      <c r="BF198" s="137"/>
      <c r="BG198" s="53">
        <v>0</v>
      </c>
      <c r="BH198" s="53"/>
      <c r="BI198" s="53">
        <v>0</v>
      </c>
      <c r="BJ198" s="53"/>
      <c r="BK198" s="53">
        <v>0</v>
      </c>
      <c r="BL198" s="137"/>
      <c r="BM198" s="137">
        <f t="shared" si="43"/>
        <v>0</v>
      </c>
      <c r="BN198" s="139" t="s">
        <v>347</v>
      </c>
      <c r="BR198" s="124"/>
      <c r="BS198" s="137"/>
      <c r="BT198" s="137"/>
      <c r="BU198" s="137"/>
      <c r="BV198" s="137"/>
      <c r="BW198" s="127"/>
      <c r="BX198" s="127"/>
      <c r="BY198" s="137"/>
      <c r="BZ198" s="137"/>
      <c r="CA198" s="137"/>
      <c r="CB198" s="137"/>
      <c r="CC198" s="137"/>
      <c r="CD198" s="137"/>
      <c r="CE198" s="137"/>
      <c r="CF198" s="126"/>
      <c r="CH198" s="126"/>
      <c r="CI198" s="137"/>
      <c r="CJ198" s="137"/>
      <c r="CK198" s="137"/>
      <c r="CL198" s="137"/>
      <c r="CM198" s="137"/>
      <c r="CN198" s="137"/>
      <c r="CO198" s="137"/>
      <c r="CP198" s="137"/>
      <c r="CQ198" s="137"/>
      <c r="CR198" s="137"/>
      <c r="CS198" s="139"/>
    </row>
    <row r="199" spans="1:108" s="140" customFormat="1" ht="12.75" hidden="1" customHeight="1">
      <c r="A199" s="126" t="s">
        <v>232</v>
      </c>
      <c r="B199" s="124"/>
      <c r="C199" s="126" t="s">
        <v>27</v>
      </c>
      <c r="D199" s="121"/>
      <c r="E199" s="53">
        <f t="shared" si="55"/>
        <v>0</v>
      </c>
      <c r="F199" s="53"/>
      <c r="G199" s="53">
        <v>0</v>
      </c>
      <c r="H199" s="53"/>
      <c r="I199" s="53">
        <v>0</v>
      </c>
      <c r="J199" s="53"/>
      <c r="K199" s="53">
        <f t="shared" si="50"/>
        <v>0</v>
      </c>
      <c r="L199" s="53"/>
      <c r="M199" s="53">
        <v>0</v>
      </c>
      <c r="N199" s="53"/>
      <c r="O199" s="53">
        <v>0</v>
      </c>
      <c r="P199" s="53"/>
      <c r="Q199" s="53">
        <v>0</v>
      </c>
      <c r="R199" s="53"/>
      <c r="S199" s="53">
        <v>0</v>
      </c>
      <c r="T199" s="53"/>
      <c r="U199" s="53">
        <v>0</v>
      </c>
      <c r="V199" s="53"/>
      <c r="W199" s="53">
        <f t="shared" si="51"/>
        <v>0</v>
      </c>
      <c r="X199" s="137"/>
      <c r="Y199" s="126" t="s">
        <v>232</v>
      </c>
      <c r="AA199" s="126" t="s">
        <v>27</v>
      </c>
      <c r="AB199" s="126"/>
      <c r="AC199" s="53">
        <v>0</v>
      </c>
      <c r="AD199" s="53"/>
      <c r="AE199" s="53">
        <v>0</v>
      </c>
      <c r="AF199" s="53"/>
      <c r="AG199" s="53">
        <v>0</v>
      </c>
      <c r="AH199" s="53"/>
      <c r="AI199" s="45">
        <f t="shared" si="52"/>
        <v>0</v>
      </c>
      <c r="AJ199" s="45"/>
      <c r="AK199" s="53">
        <v>0</v>
      </c>
      <c r="AL199" s="45"/>
      <c r="AM199" s="53">
        <v>0</v>
      </c>
      <c r="AN199" s="53"/>
      <c r="AO199" s="53">
        <v>0</v>
      </c>
      <c r="AP199" s="53"/>
      <c r="AQ199" s="53">
        <v>0</v>
      </c>
      <c r="AR199" s="53"/>
      <c r="AS199" s="45">
        <f t="shared" si="53"/>
        <v>0</v>
      </c>
      <c r="AT199" s="45"/>
      <c r="AU199" s="53">
        <v>0</v>
      </c>
      <c r="AV199" s="53"/>
      <c r="AW199" s="53">
        <v>0</v>
      </c>
      <c r="AX199" s="53"/>
      <c r="AY199" s="53">
        <f t="shared" si="54"/>
        <v>0</v>
      </c>
      <c r="AZ199" s="53"/>
      <c r="BA199" s="126" t="s">
        <v>232</v>
      </c>
      <c r="BC199" s="126" t="s">
        <v>27</v>
      </c>
      <c r="BD199" s="137"/>
      <c r="BE199" s="137"/>
      <c r="BF199" s="137"/>
      <c r="BG199" s="53">
        <v>0</v>
      </c>
      <c r="BH199" s="53"/>
      <c r="BI199" s="53">
        <v>0</v>
      </c>
      <c r="BJ199" s="53"/>
      <c r="BK199" s="53">
        <v>0</v>
      </c>
      <c r="BL199" s="137"/>
      <c r="BM199" s="137">
        <f t="shared" si="43"/>
        <v>0</v>
      </c>
      <c r="BN199" s="139" t="s">
        <v>347</v>
      </c>
      <c r="BR199" s="124"/>
      <c r="BS199" s="137"/>
      <c r="BT199" s="137"/>
      <c r="BU199" s="137"/>
      <c r="BV199" s="137"/>
      <c r="BW199" s="137"/>
      <c r="BX199" s="127"/>
      <c r="BY199" s="127"/>
      <c r="BZ199" s="137"/>
      <c r="CA199" s="137"/>
      <c r="CB199" s="137"/>
      <c r="CC199" s="137"/>
      <c r="CD199" s="137"/>
      <c r="CE199" s="137"/>
      <c r="CF199" s="126"/>
      <c r="CH199" s="126"/>
      <c r="CI199" s="137"/>
      <c r="CJ199" s="137"/>
      <c r="CK199" s="137"/>
      <c r="CL199" s="137"/>
      <c r="CM199" s="137"/>
      <c r="CN199" s="137"/>
      <c r="CO199" s="137"/>
      <c r="CP199" s="137"/>
      <c r="CQ199" s="137"/>
      <c r="CR199" s="137"/>
      <c r="CS199" s="139"/>
    </row>
    <row r="200" spans="1:108" s="55" customFormat="1" ht="12.75" customHeight="1">
      <c r="A200" s="35" t="s">
        <v>233</v>
      </c>
      <c r="B200" s="51"/>
      <c r="C200" s="35" t="s">
        <v>111</v>
      </c>
      <c r="D200" s="44"/>
      <c r="E200" s="53">
        <f t="shared" si="55"/>
        <v>3059449</v>
      </c>
      <c r="F200" s="53"/>
      <c r="G200" s="53">
        <v>37692485</v>
      </c>
      <c r="H200" s="53"/>
      <c r="I200" s="53">
        <v>40751934</v>
      </c>
      <c r="J200" s="53"/>
      <c r="K200" s="53">
        <f t="shared" si="50"/>
        <v>899717</v>
      </c>
      <c r="L200" s="53"/>
      <c r="M200" s="53">
        <v>18333286</v>
      </c>
      <c r="N200" s="53"/>
      <c r="O200" s="53">
        <v>19233003</v>
      </c>
      <c r="P200" s="53"/>
      <c r="Q200" s="53">
        <v>16435628</v>
      </c>
      <c r="R200" s="53"/>
      <c r="S200" s="53">
        <v>2168350</v>
      </c>
      <c r="T200" s="53"/>
      <c r="U200" s="53">
        <v>2914953</v>
      </c>
      <c r="V200" s="53"/>
      <c r="W200" s="53">
        <f t="shared" si="51"/>
        <v>21518931</v>
      </c>
      <c r="X200" s="53"/>
      <c r="Y200" s="35" t="s">
        <v>233</v>
      </c>
      <c r="AA200" s="35" t="s">
        <v>111</v>
      </c>
      <c r="AB200" s="35"/>
      <c r="AC200" s="53">
        <v>2403702</v>
      </c>
      <c r="AD200" s="53"/>
      <c r="AE200" s="53">
        <f>2425271-765476</f>
        <v>1659795</v>
      </c>
      <c r="AF200" s="53"/>
      <c r="AG200" s="53">
        <v>765476</v>
      </c>
      <c r="AH200" s="53"/>
      <c r="AI200" s="45">
        <f t="shared" si="52"/>
        <v>-21569</v>
      </c>
      <c r="AJ200" s="45"/>
      <c r="AK200" s="53">
        <v>-897285</v>
      </c>
      <c r="AL200" s="45"/>
      <c r="AM200" s="53">
        <v>500000</v>
      </c>
      <c r="AN200" s="53"/>
      <c r="AO200" s="53">
        <v>466285</v>
      </c>
      <c r="AP200" s="53"/>
      <c r="AQ200" s="53">
        <v>194673</v>
      </c>
      <c r="AR200" s="53"/>
      <c r="AS200" s="45">
        <f t="shared" si="53"/>
        <v>-690466</v>
      </c>
      <c r="AT200" s="45"/>
      <c r="AU200" s="53">
        <v>0</v>
      </c>
      <c r="AV200" s="53"/>
      <c r="AW200" s="53">
        <v>0</v>
      </c>
      <c r="AX200" s="53"/>
      <c r="AY200" s="53">
        <f t="shared" si="54"/>
        <v>2159732</v>
      </c>
      <c r="AZ200" s="53"/>
      <c r="BA200" s="35" t="s">
        <v>233</v>
      </c>
      <c r="BC200" s="35" t="s">
        <v>111</v>
      </c>
      <c r="BD200" s="53"/>
      <c r="BE200" s="53">
        <v>0</v>
      </c>
      <c r="BF200" s="53"/>
      <c r="BG200" s="53">
        <f>18308059+780448</f>
        <v>19088507</v>
      </c>
      <c r="BH200" s="53"/>
      <c r="BI200" s="53">
        <v>0</v>
      </c>
      <c r="BJ200" s="53"/>
      <c r="BK200" s="53">
        <f>25227+3034</f>
        <v>28261</v>
      </c>
      <c r="BL200" s="53"/>
      <c r="BM200" s="53">
        <f t="shared" si="43"/>
        <v>19116768</v>
      </c>
      <c r="BN200" s="54" t="s">
        <v>347</v>
      </c>
      <c r="BR200" s="51"/>
      <c r="BS200" s="53"/>
      <c r="BT200" s="53"/>
      <c r="BU200" s="53"/>
      <c r="BV200" s="53"/>
      <c r="BW200" s="53"/>
      <c r="BX200" s="45"/>
      <c r="BY200" s="45"/>
      <c r="BZ200" s="53"/>
      <c r="CA200" s="53"/>
      <c r="CB200" s="53"/>
      <c r="CC200" s="53"/>
      <c r="CD200" s="53"/>
      <c r="CE200" s="53"/>
      <c r="CF200" s="35"/>
      <c r="CH200" s="35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4"/>
    </row>
    <row r="201" spans="1:108" s="140" customFormat="1" ht="12.75" hidden="1" customHeight="1">
      <c r="A201" s="126" t="s">
        <v>234</v>
      </c>
      <c r="B201" s="124"/>
      <c r="C201" s="126" t="s">
        <v>45</v>
      </c>
      <c r="D201" s="121"/>
      <c r="E201" s="53">
        <f t="shared" si="55"/>
        <v>0</v>
      </c>
      <c r="F201" s="53"/>
      <c r="G201" s="53">
        <v>0</v>
      </c>
      <c r="H201" s="53"/>
      <c r="I201" s="53">
        <v>0</v>
      </c>
      <c r="J201" s="53"/>
      <c r="K201" s="53">
        <f t="shared" si="50"/>
        <v>0</v>
      </c>
      <c r="L201" s="53"/>
      <c r="M201" s="53">
        <v>0</v>
      </c>
      <c r="N201" s="53"/>
      <c r="O201" s="53">
        <v>0</v>
      </c>
      <c r="P201" s="53"/>
      <c r="Q201" s="53">
        <v>0</v>
      </c>
      <c r="R201" s="53"/>
      <c r="S201" s="53">
        <v>0</v>
      </c>
      <c r="T201" s="53"/>
      <c r="U201" s="53">
        <v>0</v>
      </c>
      <c r="V201" s="53"/>
      <c r="W201" s="53">
        <f t="shared" si="51"/>
        <v>0</v>
      </c>
      <c r="X201" s="137"/>
      <c r="Y201" s="126" t="s">
        <v>234</v>
      </c>
      <c r="AA201" s="126" t="s">
        <v>45</v>
      </c>
      <c r="AB201" s="126"/>
      <c r="AC201" s="53">
        <v>0</v>
      </c>
      <c r="AD201" s="53"/>
      <c r="AE201" s="53">
        <v>0</v>
      </c>
      <c r="AF201" s="53"/>
      <c r="AG201" s="53">
        <v>0</v>
      </c>
      <c r="AH201" s="53"/>
      <c r="AI201" s="45">
        <f t="shared" si="52"/>
        <v>0</v>
      </c>
      <c r="AJ201" s="45"/>
      <c r="AK201" s="53">
        <v>0</v>
      </c>
      <c r="AL201" s="45"/>
      <c r="AM201" s="53">
        <v>0</v>
      </c>
      <c r="AN201" s="53"/>
      <c r="AO201" s="53">
        <v>0</v>
      </c>
      <c r="AP201" s="53"/>
      <c r="AQ201" s="53">
        <v>0</v>
      </c>
      <c r="AR201" s="53"/>
      <c r="AS201" s="45">
        <f t="shared" si="53"/>
        <v>0</v>
      </c>
      <c r="AT201" s="45"/>
      <c r="AU201" s="53">
        <v>0</v>
      </c>
      <c r="AV201" s="53"/>
      <c r="AW201" s="53">
        <v>0</v>
      </c>
      <c r="AX201" s="53"/>
      <c r="AY201" s="53">
        <f t="shared" si="54"/>
        <v>0</v>
      </c>
      <c r="AZ201" s="53"/>
      <c r="BA201" s="126" t="s">
        <v>234</v>
      </c>
      <c r="BC201" s="126" t="s">
        <v>45</v>
      </c>
      <c r="BD201" s="137"/>
      <c r="BE201" s="137"/>
      <c r="BF201" s="137"/>
      <c r="BG201" s="53">
        <v>0</v>
      </c>
      <c r="BH201" s="53"/>
      <c r="BI201" s="53">
        <v>0</v>
      </c>
      <c r="BJ201" s="53"/>
      <c r="BK201" s="53">
        <v>0</v>
      </c>
      <c r="BL201" s="137"/>
      <c r="BM201" s="137">
        <f t="shared" si="43"/>
        <v>0</v>
      </c>
      <c r="BN201" s="139" t="s">
        <v>347</v>
      </c>
      <c r="BR201" s="124"/>
      <c r="BS201" s="137"/>
      <c r="BT201" s="137"/>
      <c r="BU201" s="137"/>
      <c r="BV201" s="137"/>
      <c r="BW201" s="127"/>
      <c r="BX201" s="127"/>
      <c r="BY201" s="137"/>
      <c r="BZ201" s="137"/>
      <c r="CA201" s="137"/>
      <c r="CB201" s="137"/>
      <c r="CC201" s="137"/>
      <c r="CD201" s="137"/>
      <c r="CE201" s="137"/>
      <c r="CF201" s="126"/>
      <c r="CH201" s="126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9"/>
    </row>
    <row r="202" spans="1:108" s="55" customFormat="1" ht="12.75" customHeight="1">
      <c r="A202" s="35" t="s">
        <v>235</v>
      </c>
      <c r="B202" s="51"/>
      <c r="C202" s="35" t="s">
        <v>183</v>
      </c>
      <c r="D202" s="44"/>
      <c r="E202" s="53">
        <f t="shared" si="55"/>
        <v>23815223</v>
      </c>
      <c r="F202" s="53"/>
      <c r="G202" s="53">
        <v>41565171</v>
      </c>
      <c r="H202" s="53"/>
      <c r="I202" s="53">
        <v>65380394</v>
      </c>
      <c r="J202" s="53"/>
      <c r="K202" s="53">
        <f t="shared" si="50"/>
        <v>4098926</v>
      </c>
      <c r="L202" s="53"/>
      <c r="M202" s="53">
        <v>23755771</v>
      </c>
      <c r="N202" s="53"/>
      <c r="O202" s="53">
        <v>27854697</v>
      </c>
      <c r="P202" s="53"/>
      <c r="Q202" s="53">
        <v>25344725</v>
      </c>
      <c r="R202" s="53"/>
      <c r="S202" s="53">
        <v>0</v>
      </c>
      <c r="T202" s="53"/>
      <c r="U202" s="53">
        <v>12180972</v>
      </c>
      <c r="V202" s="53"/>
      <c r="W202" s="53">
        <f t="shared" si="51"/>
        <v>37525697</v>
      </c>
      <c r="X202" s="53"/>
      <c r="Y202" s="35" t="s">
        <v>235</v>
      </c>
      <c r="AA202" s="35" t="s">
        <v>183</v>
      </c>
      <c r="AB202" s="35"/>
      <c r="AC202" s="53">
        <v>10359834</v>
      </c>
      <c r="AD202" s="53"/>
      <c r="AE202" s="53">
        <f>8930035-2846448</f>
        <v>6083587</v>
      </c>
      <c r="AF202" s="53"/>
      <c r="AG202" s="53">
        <v>2846448</v>
      </c>
      <c r="AH202" s="53"/>
      <c r="AI202" s="45">
        <f t="shared" si="52"/>
        <v>1429799</v>
      </c>
      <c r="AJ202" s="45"/>
      <c r="AK202" s="53">
        <v>780567</v>
      </c>
      <c r="AL202" s="45"/>
      <c r="AM202" s="53">
        <v>0</v>
      </c>
      <c r="AN202" s="53"/>
      <c r="AO202" s="53">
        <v>0</v>
      </c>
      <c r="AP202" s="53"/>
      <c r="AQ202" s="53">
        <v>0</v>
      </c>
      <c r="AR202" s="53"/>
      <c r="AS202" s="45">
        <f t="shared" ref="AS202:AS250" si="56">+AI202+AK202+AM202-AO202+AQ202</f>
        <v>2210366</v>
      </c>
      <c r="AT202" s="45"/>
      <c r="AU202" s="53">
        <v>0</v>
      </c>
      <c r="AV202" s="53"/>
      <c r="AW202" s="53">
        <v>0</v>
      </c>
      <c r="AX202" s="53"/>
      <c r="AY202" s="53">
        <f t="shared" si="54"/>
        <v>19716297</v>
      </c>
      <c r="AZ202" s="53"/>
      <c r="BA202" s="35" t="s">
        <v>235</v>
      </c>
      <c r="BC202" s="35" t="s">
        <v>183</v>
      </c>
      <c r="BD202" s="53"/>
      <c r="BE202" s="53">
        <f>23463925+2599115</f>
        <v>26063040</v>
      </c>
      <c r="BF202" s="53"/>
      <c r="BG202" s="53">
        <v>0</v>
      </c>
      <c r="BH202" s="53"/>
      <c r="BI202" s="53">
        <v>0</v>
      </c>
      <c r="BJ202" s="53"/>
      <c r="BK202" s="53">
        <f>291846+45000</f>
        <v>336846</v>
      </c>
      <c r="BL202" s="53"/>
      <c r="BM202" s="53">
        <f t="shared" si="43"/>
        <v>26399886</v>
      </c>
      <c r="BN202" s="54" t="s">
        <v>347</v>
      </c>
      <c r="BO202" s="55" t="s">
        <v>404</v>
      </c>
      <c r="BR202" s="51"/>
      <c r="BS202" s="53"/>
      <c r="BT202" s="53"/>
      <c r="BU202" s="53"/>
      <c r="BV202" s="53"/>
      <c r="BW202" s="53"/>
      <c r="BX202" s="45"/>
      <c r="BY202" s="45"/>
      <c r="BZ202" s="53"/>
      <c r="CA202" s="53"/>
      <c r="CB202" s="53"/>
      <c r="CC202" s="53"/>
      <c r="CD202" s="53"/>
      <c r="CE202" s="53"/>
      <c r="CF202" s="35"/>
      <c r="CH202" s="35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4"/>
    </row>
    <row r="203" spans="1:108" s="140" customFormat="1" ht="12.75" hidden="1" customHeight="1">
      <c r="A203" s="126" t="s">
        <v>236</v>
      </c>
      <c r="B203" s="124"/>
      <c r="C203" s="126" t="s">
        <v>45</v>
      </c>
      <c r="D203" s="121"/>
      <c r="E203" s="53">
        <f t="shared" si="55"/>
        <v>0</v>
      </c>
      <c r="F203" s="53"/>
      <c r="G203" s="53">
        <v>0</v>
      </c>
      <c r="H203" s="53"/>
      <c r="I203" s="53">
        <v>0</v>
      </c>
      <c r="J203" s="53"/>
      <c r="K203" s="53">
        <f t="shared" si="50"/>
        <v>0</v>
      </c>
      <c r="L203" s="53"/>
      <c r="M203" s="53">
        <v>0</v>
      </c>
      <c r="N203" s="53"/>
      <c r="O203" s="53">
        <v>0</v>
      </c>
      <c r="P203" s="53"/>
      <c r="Q203" s="53">
        <v>0</v>
      </c>
      <c r="R203" s="53"/>
      <c r="S203" s="53">
        <v>0</v>
      </c>
      <c r="T203" s="53"/>
      <c r="U203" s="53">
        <v>0</v>
      </c>
      <c r="V203" s="53"/>
      <c r="W203" s="53">
        <f t="shared" si="51"/>
        <v>0</v>
      </c>
      <c r="X203" s="137"/>
      <c r="Y203" s="126" t="s">
        <v>236</v>
      </c>
      <c r="AA203" s="126" t="s">
        <v>45</v>
      </c>
      <c r="AB203" s="126"/>
      <c r="AC203" s="53">
        <v>0</v>
      </c>
      <c r="AD203" s="53"/>
      <c r="AE203" s="53">
        <v>0</v>
      </c>
      <c r="AF203" s="53"/>
      <c r="AG203" s="53">
        <v>0</v>
      </c>
      <c r="AH203" s="53"/>
      <c r="AI203" s="45">
        <f t="shared" si="52"/>
        <v>0</v>
      </c>
      <c r="AJ203" s="45"/>
      <c r="AK203" s="53">
        <v>0</v>
      </c>
      <c r="AL203" s="45"/>
      <c r="AM203" s="53">
        <v>0</v>
      </c>
      <c r="AN203" s="53"/>
      <c r="AO203" s="53">
        <v>0</v>
      </c>
      <c r="AP203" s="53"/>
      <c r="AQ203" s="53">
        <v>0</v>
      </c>
      <c r="AR203" s="53"/>
      <c r="AS203" s="45">
        <f t="shared" si="56"/>
        <v>0</v>
      </c>
      <c r="AT203" s="45"/>
      <c r="AU203" s="53">
        <v>0</v>
      </c>
      <c r="AV203" s="53"/>
      <c r="AW203" s="53">
        <v>0</v>
      </c>
      <c r="AX203" s="53"/>
      <c r="AY203" s="53">
        <f t="shared" si="54"/>
        <v>0</v>
      </c>
      <c r="AZ203" s="53"/>
      <c r="BA203" s="126" t="s">
        <v>236</v>
      </c>
      <c r="BC203" s="126" t="s">
        <v>45</v>
      </c>
      <c r="BD203" s="137"/>
      <c r="BE203" s="137"/>
      <c r="BF203" s="137"/>
      <c r="BG203" s="53">
        <v>0</v>
      </c>
      <c r="BH203" s="53"/>
      <c r="BI203" s="53">
        <v>0</v>
      </c>
      <c r="BJ203" s="53"/>
      <c r="BK203" s="53">
        <v>0</v>
      </c>
      <c r="BL203" s="137"/>
      <c r="BM203" s="137">
        <f t="shared" si="43"/>
        <v>0</v>
      </c>
      <c r="BN203" s="139" t="s">
        <v>347</v>
      </c>
      <c r="BR203" s="124"/>
      <c r="BS203" s="137"/>
      <c r="BT203" s="137"/>
      <c r="BU203" s="137"/>
      <c r="BV203" s="137"/>
      <c r="BW203" s="137"/>
      <c r="BX203" s="127"/>
      <c r="BY203" s="127"/>
      <c r="BZ203" s="137"/>
      <c r="CA203" s="137"/>
      <c r="CB203" s="137"/>
      <c r="CC203" s="137"/>
      <c r="CD203" s="137"/>
      <c r="CE203" s="137"/>
      <c r="CF203" s="126"/>
      <c r="CH203" s="126"/>
      <c r="CI203" s="137"/>
      <c r="CJ203" s="137"/>
      <c r="CK203" s="137"/>
      <c r="CL203" s="137"/>
      <c r="CM203" s="137"/>
      <c r="CN203" s="137"/>
      <c r="CO203" s="137"/>
      <c r="CP203" s="137"/>
      <c r="CQ203" s="137"/>
      <c r="CR203" s="137"/>
      <c r="CS203" s="139"/>
    </row>
    <row r="204" spans="1:108" s="55" customFormat="1" ht="12.75" customHeight="1">
      <c r="A204" s="35" t="s">
        <v>237</v>
      </c>
      <c r="B204" s="51"/>
      <c r="C204" s="35" t="s">
        <v>33</v>
      </c>
      <c r="D204" s="44"/>
      <c r="E204" s="53">
        <f t="shared" si="55"/>
        <v>148277</v>
      </c>
      <c r="F204" s="53"/>
      <c r="G204" s="53">
        <v>2732794</v>
      </c>
      <c r="H204" s="53"/>
      <c r="I204" s="53">
        <v>2881071</v>
      </c>
      <c r="J204" s="53"/>
      <c r="K204" s="53">
        <f t="shared" si="50"/>
        <v>151606</v>
      </c>
      <c r="L204" s="53"/>
      <c r="M204" s="53">
        <v>767641</v>
      </c>
      <c r="N204" s="53"/>
      <c r="O204" s="53">
        <v>919247</v>
      </c>
      <c r="P204" s="53"/>
      <c r="Q204" s="53">
        <v>1710643</v>
      </c>
      <c r="R204" s="53"/>
      <c r="S204" s="53">
        <v>0</v>
      </c>
      <c r="T204" s="53"/>
      <c r="U204" s="53">
        <v>251181</v>
      </c>
      <c r="V204" s="53"/>
      <c r="W204" s="53">
        <f t="shared" si="51"/>
        <v>1961824</v>
      </c>
      <c r="X204" s="53"/>
      <c r="Y204" s="35" t="s">
        <v>237</v>
      </c>
      <c r="AA204" s="35" t="s">
        <v>33</v>
      </c>
      <c r="AB204" s="35"/>
      <c r="AC204" s="53">
        <v>801227</v>
      </c>
      <c r="AD204" s="53"/>
      <c r="AE204" s="53">
        <f>1045264-368537</f>
        <v>676727</v>
      </c>
      <c r="AF204" s="53"/>
      <c r="AG204" s="53">
        <v>368537</v>
      </c>
      <c r="AH204" s="53"/>
      <c r="AI204" s="45">
        <f t="shared" si="52"/>
        <v>-244037</v>
      </c>
      <c r="AJ204" s="45"/>
      <c r="AK204" s="53">
        <v>-27688</v>
      </c>
      <c r="AL204" s="45"/>
      <c r="AM204" s="53">
        <v>0</v>
      </c>
      <c r="AN204" s="53"/>
      <c r="AO204" s="53">
        <v>0</v>
      </c>
      <c r="AP204" s="53"/>
      <c r="AQ204" s="53">
        <v>0</v>
      </c>
      <c r="AR204" s="53"/>
      <c r="AS204" s="45">
        <f t="shared" si="56"/>
        <v>-271725</v>
      </c>
      <c r="AT204" s="45"/>
      <c r="AU204" s="53">
        <v>0</v>
      </c>
      <c r="AV204" s="53"/>
      <c r="AW204" s="53">
        <v>0</v>
      </c>
      <c r="AX204" s="53"/>
      <c r="AY204" s="53">
        <f t="shared" si="54"/>
        <v>-3329</v>
      </c>
      <c r="AZ204" s="53"/>
      <c r="BA204" s="35" t="s">
        <v>237</v>
      </c>
      <c r="BC204" s="35" t="s">
        <v>33</v>
      </c>
      <c r="BD204" s="53"/>
      <c r="BE204" s="53">
        <f>326340+35000</f>
        <v>361340</v>
      </c>
      <c r="BF204" s="53"/>
      <c r="BG204" s="53">
        <v>0</v>
      </c>
      <c r="BH204" s="53"/>
      <c r="BI204" s="53">
        <f>118672+315733+2566+19096</f>
        <v>456067</v>
      </c>
      <c r="BJ204" s="53"/>
      <c r="BK204" s="53">
        <f>6896+1514</f>
        <v>8410</v>
      </c>
      <c r="BL204" s="53"/>
      <c r="BM204" s="53">
        <f t="shared" si="43"/>
        <v>825817</v>
      </c>
      <c r="BN204" s="54" t="s">
        <v>347</v>
      </c>
      <c r="BR204" s="51"/>
      <c r="BS204" s="53"/>
      <c r="BT204" s="53"/>
      <c r="BU204" s="53"/>
      <c r="BV204" s="53"/>
      <c r="BW204" s="53"/>
      <c r="BX204" s="45"/>
      <c r="BY204" s="45"/>
      <c r="BZ204" s="53"/>
      <c r="CA204" s="53"/>
      <c r="CB204" s="53"/>
      <c r="CC204" s="53"/>
      <c r="CD204" s="53"/>
      <c r="CE204" s="53"/>
      <c r="CF204" s="35"/>
      <c r="CH204" s="35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4"/>
    </row>
    <row r="205" spans="1:108" s="55" customFormat="1" ht="12.75" customHeight="1">
      <c r="A205" s="35" t="s">
        <v>238</v>
      </c>
      <c r="C205" s="35" t="s">
        <v>239</v>
      </c>
      <c r="D205" s="44"/>
      <c r="E205" s="53">
        <f t="shared" si="55"/>
        <v>3061890</v>
      </c>
      <c r="F205" s="53"/>
      <c r="G205" s="53">
        <f>12059893+4643067</f>
        <v>16702960</v>
      </c>
      <c r="H205" s="53"/>
      <c r="I205" s="53">
        <v>19764850</v>
      </c>
      <c r="J205" s="53"/>
      <c r="K205" s="53">
        <f t="shared" si="50"/>
        <v>159491</v>
      </c>
      <c r="L205" s="53"/>
      <c r="M205" s="53">
        <f>59701+11437005</f>
        <v>11496706</v>
      </c>
      <c r="N205" s="53"/>
      <c r="O205" s="53">
        <v>11656197</v>
      </c>
      <c r="P205" s="53"/>
      <c r="Q205" s="53">
        <v>5265955</v>
      </c>
      <c r="R205" s="53"/>
      <c r="S205" s="53">
        <v>0</v>
      </c>
      <c r="T205" s="53"/>
      <c r="U205" s="53">
        <v>2742698</v>
      </c>
      <c r="V205" s="53"/>
      <c r="W205" s="53">
        <f t="shared" si="51"/>
        <v>8008653</v>
      </c>
      <c r="X205" s="53"/>
      <c r="Y205" s="35" t="s">
        <v>238</v>
      </c>
      <c r="AA205" s="35" t="s">
        <v>239</v>
      </c>
      <c r="AB205" s="35"/>
      <c r="AC205" s="53">
        <v>2112291</v>
      </c>
      <c r="AD205" s="53"/>
      <c r="AE205" s="53">
        <f>1257467-246676</f>
        <v>1010791</v>
      </c>
      <c r="AF205" s="53"/>
      <c r="AG205" s="53">
        <v>246676</v>
      </c>
      <c r="AH205" s="53"/>
      <c r="AI205" s="45">
        <f t="shared" si="52"/>
        <v>854824</v>
      </c>
      <c r="AJ205" s="45"/>
      <c r="AK205" s="53">
        <v>-37618</v>
      </c>
      <c r="AL205" s="45"/>
      <c r="AM205" s="53">
        <v>0</v>
      </c>
      <c r="AN205" s="53"/>
      <c r="AO205" s="53">
        <v>0</v>
      </c>
      <c r="AP205" s="53"/>
      <c r="AQ205" s="53">
        <v>0</v>
      </c>
      <c r="AR205" s="53"/>
      <c r="AS205" s="45">
        <f t="shared" si="56"/>
        <v>817206</v>
      </c>
      <c r="AT205" s="45"/>
      <c r="AU205" s="53">
        <v>0</v>
      </c>
      <c r="AV205" s="53"/>
      <c r="AW205" s="53">
        <v>0</v>
      </c>
      <c r="AX205" s="53"/>
      <c r="AY205" s="53">
        <f t="shared" si="54"/>
        <v>2902399</v>
      </c>
      <c r="AZ205" s="53"/>
      <c r="BA205" s="35" t="s">
        <v>238</v>
      </c>
      <c r="BC205" s="35" t="s">
        <v>239</v>
      </c>
      <c r="BD205" s="53"/>
      <c r="BE205" s="53">
        <v>11437005</v>
      </c>
      <c r="BF205" s="53"/>
      <c r="BG205" s="53">
        <v>0</v>
      </c>
      <c r="BH205" s="53"/>
      <c r="BI205" s="53">
        <v>59701</v>
      </c>
      <c r="BJ205" s="53"/>
      <c r="BK205" s="53">
        <v>0</v>
      </c>
      <c r="BL205" s="53"/>
      <c r="BM205" s="53">
        <f t="shared" si="43"/>
        <v>11496706</v>
      </c>
      <c r="BN205" s="54" t="s">
        <v>347</v>
      </c>
      <c r="BR205" s="51"/>
      <c r="BS205" s="53"/>
      <c r="BT205" s="53"/>
      <c r="BU205" s="53"/>
      <c r="BV205" s="53"/>
      <c r="BW205" s="53"/>
      <c r="BX205" s="45"/>
      <c r="BY205" s="45"/>
      <c r="BZ205" s="53"/>
      <c r="CA205" s="53"/>
      <c r="CB205" s="53"/>
      <c r="CC205" s="53"/>
      <c r="CD205" s="53"/>
      <c r="CE205" s="53"/>
      <c r="CF205" s="35"/>
      <c r="CH205" s="35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4"/>
    </row>
    <row r="206" spans="1:108" s="55" customFormat="1" ht="12.75" customHeight="1">
      <c r="A206" s="35" t="s">
        <v>486</v>
      </c>
      <c r="B206" s="51"/>
      <c r="C206" s="35" t="s">
        <v>249</v>
      </c>
      <c r="D206" s="44"/>
      <c r="E206" s="53">
        <f t="shared" si="55"/>
        <v>3781905</v>
      </c>
      <c r="F206" s="53"/>
      <c r="G206" s="53">
        <v>14079788</v>
      </c>
      <c r="H206" s="53"/>
      <c r="I206" s="53">
        <v>17861693</v>
      </c>
      <c r="J206" s="53"/>
      <c r="K206" s="53">
        <f t="shared" si="50"/>
        <v>585799</v>
      </c>
      <c r="L206" s="53"/>
      <c r="M206" s="53">
        <v>12097546</v>
      </c>
      <c r="N206" s="53"/>
      <c r="O206" s="53">
        <v>12683345</v>
      </c>
      <c r="P206" s="53"/>
      <c r="Q206" s="53">
        <v>1709966</v>
      </c>
      <c r="R206" s="53"/>
      <c r="S206" s="53">
        <v>0</v>
      </c>
      <c r="T206" s="53"/>
      <c r="U206" s="53">
        <v>3468382</v>
      </c>
      <c r="V206" s="53"/>
      <c r="W206" s="53">
        <f t="shared" si="51"/>
        <v>5178348</v>
      </c>
      <c r="X206" s="53"/>
      <c r="Y206" s="35" t="s">
        <v>486</v>
      </c>
      <c r="AA206" s="35" t="s">
        <v>249</v>
      </c>
      <c r="AB206" s="35"/>
      <c r="AC206" s="53">
        <v>5433208</v>
      </c>
      <c r="AD206" s="53"/>
      <c r="AE206" s="53">
        <f>3584871-198827</f>
        <v>3386044</v>
      </c>
      <c r="AF206" s="53"/>
      <c r="AG206" s="53">
        <v>198827</v>
      </c>
      <c r="AH206" s="53"/>
      <c r="AI206" s="45">
        <f t="shared" si="52"/>
        <v>1848337</v>
      </c>
      <c r="AJ206" s="45"/>
      <c r="AK206" s="53">
        <v>-549734</v>
      </c>
      <c r="AL206" s="45"/>
      <c r="AM206" s="53">
        <v>0</v>
      </c>
      <c r="AN206" s="53"/>
      <c r="AO206" s="53">
        <v>1004964</v>
      </c>
      <c r="AP206" s="53"/>
      <c r="AQ206" s="53">
        <v>95968</v>
      </c>
      <c r="AR206" s="53"/>
      <c r="AS206" s="45">
        <f t="shared" si="56"/>
        <v>389607</v>
      </c>
      <c r="AT206" s="45"/>
      <c r="AU206" s="53">
        <v>0</v>
      </c>
      <c r="AV206" s="53"/>
      <c r="AW206" s="53">
        <v>0</v>
      </c>
      <c r="AX206" s="53"/>
      <c r="AY206" s="53">
        <f t="shared" si="54"/>
        <v>3196106</v>
      </c>
      <c r="AZ206" s="53"/>
      <c r="BA206" s="35" t="s">
        <v>486</v>
      </c>
      <c r="BC206" s="35" t="s">
        <v>249</v>
      </c>
      <c r="BD206" s="53"/>
      <c r="BE206" s="53">
        <f>1091426+46255</f>
        <v>1137681</v>
      </c>
      <c r="BF206" s="53"/>
      <c r="BG206" s="53">
        <v>0</v>
      </c>
      <c r="BH206" s="53"/>
      <c r="BI206" s="53">
        <f>88747+10790110+92060+16209+222000+23105</f>
        <v>11232231</v>
      </c>
      <c r="BJ206" s="53"/>
      <c r="BK206" s="53">
        <f>13102+35203</f>
        <v>48305</v>
      </c>
      <c r="BL206" s="53"/>
      <c r="BM206" s="53">
        <f>SUM(BE206:BK206)</f>
        <v>12418217</v>
      </c>
      <c r="BN206" s="54" t="s">
        <v>347</v>
      </c>
      <c r="BR206" s="51"/>
      <c r="BS206" s="53"/>
      <c r="BT206" s="53"/>
      <c r="BU206" s="53"/>
      <c r="BV206" s="53"/>
      <c r="BW206" s="53"/>
      <c r="BX206" s="45"/>
      <c r="BY206" s="45"/>
      <c r="BZ206" s="53"/>
      <c r="CA206" s="53"/>
      <c r="CB206" s="53"/>
      <c r="CC206" s="53"/>
      <c r="CD206" s="53"/>
      <c r="CE206" s="53"/>
      <c r="CF206" s="44"/>
      <c r="CH206" s="44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4"/>
    </row>
    <row r="207" spans="1:108" s="140" customFormat="1" ht="12.75" hidden="1" customHeight="1">
      <c r="A207" s="126" t="s">
        <v>240</v>
      </c>
      <c r="B207" s="124"/>
      <c r="C207" s="126" t="s">
        <v>13</v>
      </c>
      <c r="D207" s="121"/>
      <c r="E207" s="53">
        <f t="shared" si="55"/>
        <v>0</v>
      </c>
      <c r="F207" s="53"/>
      <c r="G207" s="53">
        <v>0</v>
      </c>
      <c r="H207" s="53"/>
      <c r="I207" s="53">
        <v>0</v>
      </c>
      <c r="J207" s="53"/>
      <c r="K207" s="53">
        <f t="shared" si="50"/>
        <v>0</v>
      </c>
      <c r="L207" s="53"/>
      <c r="M207" s="53">
        <v>0</v>
      </c>
      <c r="N207" s="53"/>
      <c r="O207" s="53">
        <v>0</v>
      </c>
      <c r="P207" s="53"/>
      <c r="Q207" s="53">
        <v>0</v>
      </c>
      <c r="R207" s="53"/>
      <c r="S207" s="53">
        <v>0</v>
      </c>
      <c r="T207" s="53"/>
      <c r="U207" s="53">
        <v>0</v>
      </c>
      <c r="V207" s="53"/>
      <c r="W207" s="53">
        <f t="shared" si="51"/>
        <v>0</v>
      </c>
      <c r="X207" s="137"/>
      <c r="Y207" s="126" t="s">
        <v>240</v>
      </c>
      <c r="AA207" s="126" t="s">
        <v>13</v>
      </c>
      <c r="AB207" s="126"/>
      <c r="AC207" s="53">
        <v>0</v>
      </c>
      <c r="AD207" s="53"/>
      <c r="AE207" s="53">
        <v>0</v>
      </c>
      <c r="AF207" s="53"/>
      <c r="AG207" s="53">
        <v>0</v>
      </c>
      <c r="AH207" s="53"/>
      <c r="AI207" s="45">
        <f t="shared" si="52"/>
        <v>0</v>
      </c>
      <c r="AJ207" s="45"/>
      <c r="AK207" s="53">
        <v>0</v>
      </c>
      <c r="AL207" s="45"/>
      <c r="AM207" s="53">
        <v>0</v>
      </c>
      <c r="AN207" s="53"/>
      <c r="AO207" s="53">
        <v>0</v>
      </c>
      <c r="AP207" s="53"/>
      <c r="AQ207" s="53">
        <v>0</v>
      </c>
      <c r="AR207" s="53"/>
      <c r="AS207" s="45">
        <f t="shared" si="56"/>
        <v>0</v>
      </c>
      <c r="AT207" s="45"/>
      <c r="AU207" s="53">
        <v>0</v>
      </c>
      <c r="AV207" s="53"/>
      <c r="AW207" s="53">
        <v>0</v>
      </c>
      <c r="AX207" s="53"/>
      <c r="AY207" s="53">
        <f t="shared" si="54"/>
        <v>0</v>
      </c>
      <c r="AZ207" s="53"/>
      <c r="BA207" s="126" t="s">
        <v>240</v>
      </c>
      <c r="BC207" s="126" t="s">
        <v>13</v>
      </c>
      <c r="BD207" s="137"/>
      <c r="BE207" s="137"/>
      <c r="BF207" s="137"/>
      <c r="BG207" s="53">
        <v>0</v>
      </c>
      <c r="BH207" s="53"/>
      <c r="BI207" s="53">
        <v>0</v>
      </c>
      <c r="BJ207" s="53"/>
      <c r="BK207" s="53">
        <v>0</v>
      </c>
      <c r="BL207" s="137"/>
      <c r="BM207" s="137">
        <f t="shared" si="43"/>
        <v>0</v>
      </c>
      <c r="BN207" s="139" t="s">
        <v>347</v>
      </c>
      <c r="BR207" s="124"/>
      <c r="BS207" s="137"/>
      <c r="BT207" s="137"/>
      <c r="BU207" s="137"/>
      <c r="BV207" s="137"/>
      <c r="BW207" s="137"/>
      <c r="BX207" s="127"/>
      <c r="BY207" s="127"/>
      <c r="BZ207" s="137"/>
      <c r="CA207" s="137"/>
      <c r="CB207" s="137"/>
      <c r="CC207" s="137"/>
      <c r="CD207" s="137"/>
      <c r="CE207" s="137"/>
      <c r="CF207" s="121"/>
      <c r="CH207" s="121"/>
      <c r="CI207" s="137"/>
      <c r="CJ207" s="137"/>
      <c r="CK207" s="137"/>
      <c r="CL207" s="137"/>
      <c r="CM207" s="137"/>
      <c r="CN207" s="137"/>
      <c r="CO207" s="137"/>
      <c r="CP207" s="137"/>
      <c r="CQ207" s="137"/>
      <c r="CR207" s="137"/>
      <c r="CS207" s="139"/>
    </row>
    <row r="208" spans="1:108" s="140" customFormat="1" ht="12.75" hidden="1" customHeight="1">
      <c r="A208" s="126" t="s">
        <v>241</v>
      </c>
      <c r="B208" s="124"/>
      <c r="C208" s="126" t="s">
        <v>22</v>
      </c>
      <c r="D208" s="121"/>
      <c r="E208" s="53">
        <f t="shared" si="55"/>
        <v>0</v>
      </c>
      <c r="F208" s="53"/>
      <c r="G208" s="53">
        <v>0</v>
      </c>
      <c r="H208" s="53"/>
      <c r="I208" s="53">
        <v>0</v>
      </c>
      <c r="J208" s="53"/>
      <c r="K208" s="53">
        <f t="shared" si="50"/>
        <v>0</v>
      </c>
      <c r="L208" s="53"/>
      <c r="M208" s="53">
        <v>0</v>
      </c>
      <c r="N208" s="53"/>
      <c r="O208" s="53">
        <v>0</v>
      </c>
      <c r="P208" s="53"/>
      <c r="Q208" s="53">
        <v>0</v>
      </c>
      <c r="R208" s="53"/>
      <c r="S208" s="53">
        <v>0</v>
      </c>
      <c r="T208" s="53"/>
      <c r="U208" s="53">
        <v>0</v>
      </c>
      <c r="V208" s="53"/>
      <c r="W208" s="53">
        <f t="shared" si="51"/>
        <v>0</v>
      </c>
      <c r="X208" s="137"/>
      <c r="Y208" s="126" t="s">
        <v>241</v>
      </c>
      <c r="AA208" s="126" t="s">
        <v>22</v>
      </c>
      <c r="AB208" s="126"/>
      <c r="AC208" s="53">
        <v>0</v>
      </c>
      <c r="AD208" s="53"/>
      <c r="AE208" s="53">
        <v>0</v>
      </c>
      <c r="AF208" s="53"/>
      <c r="AG208" s="53">
        <v>0</v>
      </c>
      <c r="AH208" s="53"/>
      <c r="AI208" s="45">
        <f t="shared" si="52"/>
        <v>0</v>
      </c>
      <c r="AJ208" s="45"/>
      <c r="AK208" s="53">
        <v>0</v>
      </c>
      <c r="AL208" s="45"/>
      <c r="AM208" s="53">
        <v>0</v>
      </c>
      <c r="AN208" s="53"/>
      <c r="AO208" s="53">
        <v>0</v>
      </c>
      <c r="AP208" s="53"/>
      <c r="AQ208" s="53">
        <v>0</v>
      </c>
      <c r="AR208" s="53"/>
      <c r="AS208" s="45">
        <f t="shared" si="56"/>
        <v>0</v>
      </c>
      <c r="AT208" s="45"/>
      <c r="AU208" s="53">
        <v>0</v>
      </c>
      <c r="AV208" s="53"/>
      <c r="AW208" s="53">
        <v>0</v>
      </c>
      <c r="AX208" s="53"/>
      <c r="AY208" s="53">
        <f t="shared" si="54"/>
        <v>0</v>
      </c>
      <c r="AZ208" s="53"/>
      <c r="BA208" s="126" t="s">
        <v>241</v>
      </c>
      <c r="BC208" s="126" t="s">
        <v>22</v>
      </c>
      <c r="BD208" s="137"/>
      <c r="BE208" s="137"/>
      <c r="BF208" s="137"/>
      <c r="BG208" s="53">
        <v>0</v>
      </c>
      <c r="BH208" s="53"/>
      <c r="BI208" s="53">
        <v>0</v>
      </c>
      <c r="BJ208" s="53"/>
      <c r="BK208" s="53">
        <v>0</v>
      </c>
      <c r="BL208" s="137"/>
      <c r="BM208" s="137">
        <f t="shared" si="43"/>
        <v>0</v>
      </c>
      <c r="BN208" s="139" t="s">
        <v>347</v>
      </c>
      <c r="BR208" s="124"/>
      <c r="BS208" s="137"/>
      <c r="BT208" s="137"/>
      <c r="BU208" s="137"/>
      <c r="BV208" s="137"/>
      <c r="BW208" s="137"/>
      <c r="BX208" s="127"/>
      <c r="BY208" s="127"/>
      <c r="BZ208" s="137"/>
      <c r="CA208" s="137"/>
      <c r="CB208" s="137"/>
      <c r="CC208" s="137"/>
      <c r="CD208" s="137"/>
      <c r="CE208" s="137"/>
      <c r="CF208" s="126"/>
      <c r="CH208" s="126"/>
      <c r="CI208" s="137"/>
      <c r="CJ208" s="137"/>
      <c r="CK208" s="137"/>
      <c r="CL208" s="137"/>
      <c r="CM208" s="137"/>
      <c r="CN208" s="137"/>
      <c r="CO208" s="137"/>
      <c r="CP208" s="137"/>
      <c r="CQ208" s="137"/>
      <c r="CR208" s="137"/>
      <c r="CS208" s="139"/>
    </row>
    <row r="209" spans="1:105" s="55" customFormat="1" ht="12.75" customHeight="1">
      <c r="A209" s="35" t="s">
        <v>242</v>
      </c>
      <c r="B209" s="51"/>
      <c r="C209" s="35" t="s">
        <v>27</v>
      </c>
      <c r="D209" s="44"/>
      <c r="E209" s="53">
        <f t="shared" si="55"/>
        <v>4280104</v>
      </c>
      <c r="F209" s="53"/>
      <c r="G209" s="53">
        <v>52632263</v>
      </c>
      <c r="H209" s="53"/>
      <c r="I209" s="53">
        <v>56912367</v>
      </c>
      <c r="J209" s="53"/>
      <c r="K209" s="53">
        <f t="shared" si="50"/>
        <v>1261040</v>
      </c>
      <c r="L209" s="53"/>
      <c r="M209" s="53">
        <v>2377650</v>
      </c>
      <c r="N209" s="53"/>
      <c r="O209" s="53">
        <v>3638690</v>
      </c>
      <c r="P209" s="53"/>
      <c r="Q209" s="53">
        <v>49376535</v>
      </c>
      <c r="R209" s="53"/>
      <c r="S209" s="53">
        <v>0</v>
      </c>
      <c r="T209" s="53"/>
      <c r="U209" s="53">
        <v>3897142</v>
      </c>
      <c r="V209" s="53"/>
      <c r="W209" s="53">
        <f t="shared" si="51"/>
        <v>53273677</v>
      </c>
      <c r="X209" s="53"/>
      <c r="Y209" s="35" t="s">
        <v>242</v>
      </c>
      <c r="AA209" s="35" t="s">
        <v>27</v>
      </c>
      <c r="AB209" s="35"/>
      <c r="AC209" s="53">
        <v>5104311</v>
      </c>
      <c r="AD209" s="53"/>
      <c r="AE209" s="53">
        <f>6556939-2321555</f>
        <v>4235384</v>
      </c>
      <c r="AF209" s="53"/>
      <c r="AG209" s="53">
        <v>2321555</v>
      </c>
      <c r="AH209" s="53"/>
      <c r="AI209" s="45">
        <f t="shared" si="52"/>
        <v>-1452628</v>
      </c>
      <c r="AJ209" s="45"/>
      <c r="AK209" s="53">
        <v>-7942</v>
      </c>
      <c r="AL209" s="45"/>
      <c r="AM209" s="53">
        <v>0</v>
      </c>
      <c r="AN209" s="53"/>
      <c r="AO209" s="53">
        <v>0</v>
      </c>
      <c r="AP209" s="53"/>
      <c r="AQ209" s="53">
        <v>0</v>
      </c>
      <c r="AR209" s="53"/>
      <c r="AS209" s="45">
        <f t="shared" si="56"/>
        <v>-1460570</v>
      </c>
      <c r="AT209" s="45"/>
      <c r="AU209" s="53">
        <v>0</v>
      </c>
      <c r="AV209" s="53"/>
      <c r="AW209" s="53">
        <v>0</v>
      </c>
      <c r="AX209" s="53"/>
      <c r="AY209" s="53">
        <f t="shared" si="54"/>
        <v>3019064</v>
      </c>
      <c r="AZ209" s="53"/>
      <c r="BA209" s="35" t="s">
        <v>242</v>
      </c>
      <c r="BC209" s="35" t="s">
        <v>27</v>
      </c>
      <c r="BD209" s="53"/>
      <c r="BE209" s="53">
        <v>0</v>
      </c>
      <c r="BF209" s="53"/>
      <c r="BG209" s="53">
        <v>0</v>
      </c>
      <c r="BH209" s="53"/>
      <c r="BI209" s="53">
        <f>2280081+63773+897701+14173</f>
        <v>3255728</v>
      </c>
      <c r="BJ209" s="53"/>
      <c r="BK209" s="53">
        <f>33796+119129</f>
        <v>152925</v>
      </c>
      <c r="BL209" s="53"/>
      <c r="BM209" s="53">
        <f t="shared" si="43"/>
        <v>3408653</v>
      </c>
      <c r="BN209" s="54" t="s">
        <v>347</v>
      </c>
      <c r="BR209" s="51"/>
      <c r="BS209" s="53"/>
      <c r="BT209" s="53"/>
      <c r="BU209" s="53"/>
      <c r="BV209" s="53"/>
      <c r="BW209" s="53"/>
      <c r="BX209" s="45"/>
      <c r="BY209" s="45"/>
      <c r="BZ209" s="53"/>
      <c r="CA209" s="53"/>
      <c r="CB209" s="53"/>
      <c r="CC209" s="53"/>
      <c r="CD209" s="53"/>
      <c r="CE209" s="53"/>
      <c r="CF209" s="35"/>
      <c r="CH209" s="35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4"/>
    </row>
    <row r="210" spans="1:105" s="55" customFormat="1" ht="12.75" customHeight="1">
      <c r="A210" s="35" t="s">
        <v>243</v>
      </c>
      <c r="C210" s="35" t="s">
        <v>163</v>
      </c>
      <c r="D210" s="44"/>
      <c r="E210" s="53">
        <f t="shared" si="55"/>
        <v>1731270</v>
      </c>
      <c r="F210" s="53"/>
      <c r="G210" s="53">
        <v>11209277</v>
      </c>
      <c r="H210" s="53"/>
      <c r="I210" s="53">
        <v>12940547</v>
      </c>
      <c r="J210" s="53"/>
      <c r="K210" s="53">
        <f t="shared" ref="K210:K250" si="57">O210-M210</f>
        <v>301208</v>
      </c>
      <c r="L210" s="53"/>
      <c r="M210" s="53">
        <v>131608</v>
      </c>
      <c r="N210" s="53"/>
      <c r="O210" s="53">
        <v>432816</v>
      </c>
      <c r="P210" s="53"/>
      <c r="Q210" s="53">
        <v>11209277</v>
      </c>
      <c r="R210" s="53"/>
      <c r="S210" s="53">
        <v>0</v>
      </c>
      <c r="T210" s="53"/>
      <c r="U210" s="53">
        <v>1298454</v>
      </c>
      <c r="V210" s="53"/>
      <c r="W210" s="53">
        <f t="shared" si="51"/>
        <v>12507731</v>
      </c>
      <c r="X210" s="53"/>
      <c r="Y210" s="35" t="s">
        <v>243</v>
      </c>
      <c r="AA210" s="35" t="s">
        <v>163</v>
      </c>
      <c r="AB210" s="35"/>
      <c r="AC210" s="53">
        <v>2183918</v>
      </c>
      <c r="AD210" s="53"/>
      <c r="AE210" s="53">
        <f>2675076-472730</f>
        <v>2202346</v>
      </c>
      <c r="AF210" s="53"/>
      <c r="AG210" s="53">
        <v>472730</v>
      </c>
      <c r="AH210" s="53"/>
      <c r="AI210" s="45">
        <f t="shared" ref="AI210:AI250" si="58">+AC210-AE210-AG210</f>
        <v>-491158</v>
      </c>
      <c r="AJ210" s="45"/>
      <c r="AK210" s="53">
        <v>-10990</v>
      </c>
      <c r="AL210" s="45"/>
      <c r="AM210" s="53">
        <v>0</v>
      </c>
      <c r="AN210" s="53"/>
      <c r="AO210" s="53">
        <v>219242</v>
      </c>
      <c r="AP210" s="53"/>
      <c r="AQ210" s="53">
        <v>0</v>
      </c>
      <c r="AR210" s="53"/>
      <c r="AS210" s="45">
        <f t="shared" si="56"/>
        <v>-721390</v>
      </c>
      <c r="AT210" s="45"/>
      <c r="AU210" s="53">
        <v>0</v>
      </c>
      <c r="AV210" s="53"/>
      <c r="AW210" s="53">
        <v>0</v>
      </c>
      <c r="AX210" s="53"/>
      <c r="AY210" s="53">
        <f t="shared" ref="AY210:AY250" si="59">+E210-K210</f>
        <v>1430062</v>
      </c>
      <c r="AZ210" s="53"/>
      <c r="BA210" s="35" t="s">
        <v>243</v>
      </c>
      <c r="BC210" s="35" t="s">
        <v>163</v>
      </c>
      <c r="BD210" s="53"/>
      <c r="BE210" s="53">
        <v>0</v>
      </c>
      <c r="BF210" s="53"/>
      <c r="BG210" s="53">
        <v>0</v>
      </c>
      <c r="BH210" s="53"/>
      <c r="BI210" s="53">
        <v>0</v>
      </c>
      <c r="BJ210" s="53"/>
      <c r="BK210" s="53">
        <v>131608</v>
      </c>
      <c r="BL210" s="53"/>
      <c r="BM210" s="53">
        <f t="shared" ref="BM210" si="60">SUM(BE210:BK210)</f>
        <v>131608</v>
      </c>
      <c r="BN210" s="54" t="s">
        <v>347</v>
      </c>
      <c r="BO210" s="55" t="s">
        <v>404</v>
      </c>
      <c r="BR210" s="51"/>
      <c r="BS210" s="53"/>
      <c r="BT210" s="53"/>
      <c r="BU210" s="53"/>
      <c r="BV210" s="53"/>
      <c r="BW210" s="53"/>
      <c r="BX210" s="45"/>
      <c r="BY210" s="45"/>
      <c r="BZ210" s="53"/>
      <c r="CA210" s="53"/>
      <c r="CB210" s="53"/>
      <c r="CC210" s="53"/>
      <c r="CD210" s="53"/>
      <c r="CE210" s="53"/>
      <c r="CF210" s="35"/>
      <c r="CH210" s="35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4"/>
    </row>
    <row r="211" spans="1:105" s="55" customFormat="1" ht="12.75" customHeight="1">
      <c r="A211" s="35" t="s">
        <v>244</v>
      </c>
      <c r="B211" s="65"/>
      <c r="C211" s="35" t="s">
        <v>13</v>
      </c>
      <c r="D211" s="44"/>
      <c r="E211" s="53">
        <f t="shared" si="55"/>
        <v>4341543</v>
      </c>
      <c r="F211" s="53"/>
      <c r="G211" s="53">
        <v>5173919</v>
      </c>
      <c r="H211" s="53"/>
      <c r="I211" s="53">
        <v>9515462</v>
      </c>
      <c r="J211" s="53"/>
      <c r="K211" s="53">
        <f t="shared" si="57"/>
        <v>591449</v>
      </c>
      <c r="L211" s="53"/>
      <c r="M211" s="53">
        <v>232318</v>
      </c>
      <c r="N211" s="53"/>
      <c r="O211" s="53">
        <v>823767</v>
      </c>
      <c r="P211" s="53"/>
      <c r="Q211" s="53">
        <v>4913581</v>
      </c>
      <c r="R211" s="53"/>
      <c r="S211" s="53">
        <v>0</v>
      </c>
      <c r="T211" s="53"/>
      <c r="U211" s="53">
        <v>4063114</v>
      </c>
      <c r="V211" s="53"/>
      <c r="W211" s="53">
        <f t="shared" si="51"/>
        <v>8976695</v>
      </c>
      <c r="X211" s="53"/>
      <c r="Y211" s="35" t="s">
        <v>244</v>
      </c>
      <c r="AA211" s="35" t="s">
        <v>13</v>
      </c>
      <c r="AB211" s="35"/>
      <c r="AC211" s="53">
        <v>1477244</v>
      </c>
      <c r="AD211" s="53"/>
      <c r="AE211" s="53">
        <f>1771299-226362</f>
        <v>1544937</v>
      </c>
      <c r="AF211" s="53"/>
      <c r="AG211" s="53">
        <v>226362</v>
      </c>
      <c r="AH211" s="53"/>
      <c r="AI211" s="45">
        <f t="shared" si="58"/>
        <v>-294055</v>
      </c>
      <c r="AJ211" s="45"/>
      <c r="AK211" s="53">
        <v>-29910</v>
      </c>
      <c r="AL211" s="45"/>
      <c r="AM211" s="53">
        <v>0</v>
      </c>
      <c r="AN211" s="53"/>
      <c r="AO211" s="53">
        <v>0</v>
      </c>
      <c r="AP211" s="53"/>
      <c r="AQ211" s="53">
        <v>0</v>
      </c>
      <c r="AR211" s="53"/>
      <c r="AS211" s="45">
        <f t="shared" si="56"/>
        <v>-323965</v>
      </c>
      <c r="AT211" s="45"/>
      <c r="AU211" s="53">
        <v>0</v>
      </c>
      <c r="AV211" s="53"/>
      <c r="AW211" s="53">
        <v>0</v>
      </c>
      <c r="AX211" s="53"/>
      <c r="AY211" s="53">
        <f t="shared" si="59"/>
        <v>3750094</v>
      </c>
      <c r="AZ211" s="53"/>
      <c r="BA211" s="35" t="s">
        <v>244</v>
      </c>
      <c r="BC211" s="35" t="s">
        <v>13</v>
      </c>
      <c r="BD211" s="53"/>
      <c r="BE211" s="53">
        <v>0</v>
      </c>
      <c r="BF211" s="53"/>
      <c r="BG211" s="53">
        <v>0</v>
      </c>
      <c r="BH211" s="53"/>
      <c r="BI211" s="53">
        <v>0</v>
      </c>
      <c r="BJ211" s="53"/>
      <c r="BK211" s="53">
        <f>232318+50006+41000</f>
        <v>323324</v>
      </c>
      <c r="BL211" s="53"/>
      <c r="BM211" s="53">
        <f t="shared" ref="BM211:BM250" si="61">SUM(BE211:BK211)</f>
        <v>323324</v>
      </c>
      <c r="BN211" s="54" t="s">
        <v>347</v>
      </c>
      <c r="BR211" s="65"/>
      <c r="BS211" s="53"/>
      <c r="BT211" s="53"/>
      <c r="BU211" s="53"/>
      <c r="BV211" s="53"/>
      <c r="BW211" s="53"/>
      <c r="BX211" s="45"/>
      <c r="BY211" s="45"/>
      <c r="BZ211" s="53"/>
      <c r="CA211" s="53"/>
      <c r="CB211" s="53"/>
      <c r="CC211" s="53"/>
      <c r="CD211" s="53"/>
      <c r="CE211" s="53"/>
      <c r="CF211" s="35"/>
      <c r="CH211" s="35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4"/>
    </row>
    <row r="212" spans="1:105" s="55" customFormat="1" ht="12.75" customHeight="1">
      <c r="A212" s="35" t="s">
        <v>245</v>
      </c>
      <c r="B212" s="51"/>
      <c r="C212" s="35" t="s">
        <v>110</v>
      </c>
      <c r="D212" s="44"/>
      <c r="E212" s="53">
        <f t="shared" si="55"/>
        <v>6258561</v>
      </c>
      <c r="F212" s="53"/>
      <c r="G212" s="53">
        <v>21447375</v>
      </c>
      <c r="H212" s="53"/>
      <c r="I212" s="53">
        <v>27705936</v>
      </c>
      <c r="J212" s="53"/>
      <c r="K212" s="53">
        <f t="shared" si="57"/>
        <v>7811335</v>
      </c>
      <c r="L212" s="53"/>
      <c r="M212" s="53">
        <v>6143825</v>
      </c>
      <c r="N212" s="53"/>
      <c r="O212" s="53">
        <v>13955160</v>
      </c>
      <c r="P212" s="53"/>
      <c r="Q212" s="53">
        <v>9705831</v>
      </c>
      <c r="R212" s="53"/>
      <c r="S212" s="53">
        <v>0</v>
      </c>
      <c r="T212" s="53"/>
      <c r="U212" s="53">
        <v>4044945</v>
      </c>
      <c r="V212" s="53"/>
      <c r="W212" s="53">
        <f t="shared" si="51"/>
        <v>13750776</v>
      </c>
      <c r="X212" s="53"/>
      <c r="Y212" s="35" t="s">
        <v>245</v>
      </c>
      <c r="AA212" s="35" t="s">
        <v>110</v>
      </c>
      <c r="AB212" s="35"/>
      <c r="AC212" s="53">
        <v>3865643</v>
      </c>
      <c r="AD212" s="53"/>
      <c r="AE212" s="53">
        <f>2733259-563306</f>
        <v>2169953</v>
      </c>
      <c r="AF212" s="53"/>
      <c r="AG212" s="53">
        <v>563306</v>
      </c>
      <c r="AH212" s="53"/>
      <c r="AI212" s="45">
        <f t="shared" si="58"/>
        <v>1132384</v>
      </c>
      <c r="AJ212" s="45"/>
      <c r="AK212" s="53">
        <v>-420356</v>
      </c>
      <c r="AL212" s="45"/>
      <c r="AM212" s="53">
        <v>0</v>
      </c>
      <c r="AN212" s="53"/>
      <c r="AO212" s="53">
        <v>0</v>
      </c>
      <c r="AP212" s="53"/>
      <c r="AQ212" s="53">
        <v>449068</v>
      </c>
      <c r="AR212" s="53"/>
      <c r="AS212" s="45">
        <f t="shared" si="56"/>
        <v>1161096</v>
      </c>
      <c r="AT212" s="45"/>
      <c r="AU212" s="53">
        <v>0</v>
      </c>
      <c r="AV212" s="53"/>
      <c r="AW212" s="53">
        <v>0</v>
      </c>
      <c r="AX212" s="53"/>
      <c r="AY212" s="53">
        <f t="shared" si="59"/>
        <v>-1552774</v>
      </c>
      <c r="AZ212" s="53"/>
      <c r="BA212" s="35" t="s">
        <v>245</v>
      </c>
      <c r="BC212" s="35" t="s">
        <v>110</v>
      </c>
      <c r="BD212" s="53"/>
      <c r="BE212" s="53">
        <f>5981544+560000</f>
        <v>6541544</v>
      </c>
      <c r="BF212" s="53"/>
      <c r="BG212" s="53">
        <v>0</v>
      </c>
      <c r="BH212" s="53"/>
      <c r="BI212" s="53">
        <v>0</v>
      </c>
      <c r="BJ212" s="53"/>
      <c r="BK212" s="53">
        <f>162281+92358</f>
        <v>254639</v>
      </c>
      <c r="BL212" s="53"/>
      <c r="BM212" s="53">
        <f t="shared" si="61"/>
        <v>6796183</v>
      </c>
      <c r="BN212" s="54" t="s">
        <v>347</v>
      </c>
      <c r="BR212" s="51"/>
      <c r="BS212" s="53"/>
      <c r="BT212" s="53"/>
      <c r="BU212" s="53"/>
      <c r="BV212" s="53"/>
      <c r="BW212" s="53"/>
      <c r="BX212" s="45"/>
      <c r="BY212" s="45"/>
      <c r="BZ212" s="53"/>
      <c r="CA212" s="53"/>
      <c r="CB212" s="53"/>
      <c r="CC212" s="53"/>
      <c r="CD212" s="53"/>
      <c r="CE212" s="53"/>
      <c r="CF212" s="44"/>
      <c r="CH212" s="35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4"/>
    </row>
    <row r="213" spans="1:105" s="55" customFormat="1" ht="12.75" customHeight="1">
      <c r="A213" s="35" t="s">
        <v>246</v>
      </c>
      <c r="B213" s="51"/>
      <c r="C213" s="35" t="s">
        <v>209</v>
      </c>
      <c r="D213" s="44"/>
      <c r="E213" s="53">
        <f t="shared" si="55"/>
        <v>1150405</v>
      </c>
      <c r="F213" s="53"/>
      <c r="G213" s="53">
        <v>11206994</v>
      </c>
      <c r="H213" s="53"/>
      <c r="I213" s="53">
        <v>12357399</v>
      </c>
      <c r="J213" s="53"/>
      <c r="K213" s="53">
        <f t="shared" si="57"/>
        <v>125544</v>
      </c>
      <c r="L213" s="53"/>
      <c r="M213" s="53">
        <v>633843</v>
      </c>
      <c r="N213" s="53"/>
      <c r="O213" s="53">
        <v>759387</v>
      </c>
      <c r="P213" s="53"/>
      <c r="Q213" s="53">
        <v>5012585</v>
      </c>
      <c r="R213" s="53"/>
      <c r="S213" s="53">
        <v>0</v>
      </c>
      <c r="T213" s="53"/>
      <c r="U213" s="53">
        <v>6585427</v>
      </c>
      <c r="V213" s="53"/>
      <c r="W213" s="53">
        <f t="shared" si="51"/>
        <v>11598012</v>
      </c>
      <c r="X213" s="53"/>
      <c r="Y213" s="35" t="s">
        <v>246</v>
      </c>
      <c r="AA213" s="35" t="s">
        <v>209</v>
      </c>
      <c r="AB213" s="35"/>
      <c r="AC213" s="53">
        <v>1210301</v>
      </c>
      <c r="AD213" s="53"/>
      <c r="AE213" s="53">
        <f>1225701-261821</f>
        <v>963880</v>
      </c>
      <c r="AF213" s="53"/>
      <c r="AG213" s="53">
        <v>261821</v>
      </c>
      <c r="AH213" s="53"/>
      <c r="AI213" s="45">
        <f t="shared" si="58"/>
        <v>-15400</v>
      </c>
      <c r="AJ213" s="45"/>
      <c r="AK213" s="53">
        <v>38098</v>
      </c>
      <c r="AL213" s="45"/>
      <c r="AM213" s="53">
        <v>0</v>
      </c>
      <c r="AN213" s="53"/>
      <c r="AO213" s="53">
        <v>7074</v>
      </c>
      <c r="AP213" s="53"/>
      <c r="AQ213" s="53">
        <v>121395</v>
      </c>
      <c r="AR213" s="53"/>
      <c r="AS213" s="45">
        <f t="shared" si="56"/>
        <v>137019</v>
      </c>
      <c r="AT213" s="45"/>
      <c r="AU213" s="53">
        <v>0</v>
      </c>
      <c r="AV213" s="53"/>
      <c r="AW213" s="53">
        <v>0</v>
      </c>
      <c r="AX213" s="53"/>
      <c r="AY213" s="53">
        <f t="shared" si="59"/>
        <v>1024861</v>
      </c>
      <c r="AZ213" s="53"/>
      <c r="BA213" s="35" t="s">
        <v>246</v>
      </c>
      <c r="BC213" s="35" t="s">
        <v>209</v>
      </c>
      <c r="BD213" s="53"/>
      <c r="BE213" s="53">
        <f>225000+125000</f>
        <v>350000</v>
      </c>
      <c r="BF213" s="53"/>
      <c r="BG213" s="53">
        <v>0</v>
      </c>
      <c r="BH213" s="53"/>
      <c r="BI213" s="53">
        <v>397680</v>
      </c>
      <c r="BJ213" s="53"/>
      <c r="BK213" s="53">
        <f>11163+5819</f>
        <v>16982</v>
      </c>
      <c r="BL213" s="53"/>
      <c r="BM213" s="53">
        <f t="shared" si="61"/>
        <v>764662</v>
      </c>
      <c r="BN213" s="54" t="s">
        <v>347</v>
      </c>
      <c r="BR213" s="51"/>
      <c r="BS213" s="53"/>
      <c r="BT213" s="53"/>
      <c r="BU213" s="53"/>
      <c r="BV213" s="53"/>
      <c r="BW213" s="53"/>
      <c r="BX213" s="45"/>
      <c r="BY213" s="45"/>
      <c r="BZ213" s="53"/>
      <c r="CA213" s="53"/>
      <c r="CB213" s="53"/>
      <c r="CC213" s="53"/>
      <c r="CD213" s="53"/>
      <c r="CE213" s="53"/>
      <c r="CF213" s="35"/>
      <c r="CH213" s="35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4"/>
    </row>
    <row r="214" spans="1:105" s="55" customFormat="1" ht="12.75" customHeight="1">
      <c r="A214" s="35" t="s">
        <v>247</v>
      </c>
      <c r="C214" s="35" t="s">
        <v>163</v>
      </c>
      <c r="D214" s="44"/>
      <c r="E214" s="53">
        <f t="shared" si="55"/>
        <v>65193000</v>
      </c>
      <c r="F214" s="53"/>
      <c r="G214" s="53">
        <v>442109000</v>
      </c>
      <c r="H214" s="53"/>
      <c r="I214" s="53">
        <v>507302000</v>
      </c>
      <c r="J214" s="53"/>
      <c r="K214" s="53">
        <f t="shared" si="57"/>
        <v>46203000</v>
      </c>
      <c r="L214" s="53"/>
      <c r="M214" s="53">
        <v>228704000</v>
      </c>
      <c r="N214" s="53"/>
      <c r="O214" s="53">
        <v>274907000</v>
      </c>
      <c r="P214" s="53"/>
      <c r="Q214" s="53">
        <v>201560000</v>
      </c>
      <c r="R214" s="53"/>
      <c r="S214" s="53">
        <v>4010000</v>
      </c>
      <c r="T214" s="53"/>
      <c r="U214" s="53">
        <v>26825000</v>
      </c>
      <c r="V214" s="53"/>
      <c r="W214" s="53">
        <f t="shared" si="51"/>
        <v>232395000</v>
      </c>
      <c r="X214" s="53"/>
      <c r="Y214" s="35" t="s">
        <v>247</v>
      </c>
      <c r="AA214" s="35" t="s">
        <v>163</v>
      </c>
      <c r="AB214" s="35"/>
      <c r="AC214" s="53">
        <v>54189000</v>
      </c>
      <c r="AD214" s="53"/>
      <c r="AE214" s="53">
        <f>38812000-8202000</f>
        <v>30610000</v>
      </c>
      <c r="AF214" s="53"/>
      <c r="AG214" s="53">
        <v>8202000</v>
      </c>
      <c r="AH214" s="53"/>
      <c r="AI214" s="45">
        <f t="shared" si="58"/>
        <v>15377000</v>
      </c>
      <c r="AJ214" s="45"/>
      <c r="AK214" s="53">
        <v>-11040000</v>
      </c>
      <c r="AL214" s="45"/>
      <c r="AM214" s="53">
        <v>0</v>
      </c>
      <c r="AN214" s="53"/>
      <c r="AO214" s="53">
        <v>168000</v>
      </c>
      <c r="AP214" s="53"/>
      <c r="AQ214" s="53">
        <v>0</v>
      </c>
      <c r="AR214" s="53"/>
      <c r="AS214" s="45">
        <f t="shared" si="56"/>
        <v>4169000</v>
      </c>
      <c r="AT214" s="45"/>
      <c r="AU214" s="53">
        <v>0</v>
      </c>
      <c r="AV214" s="53"/>
      <c r="AW214" s="53">
        <v>0</v>
      </c>
      <c r="AX214" s="53"/>
      <c r="AY214" s="53">
        <f t="shared" si="59"/>
        <v>18990000</v>
      </c>
      <c r="AZ214" s="53"/>
      <c r="BA214" s="35" t="s">
        <v>247</v>
      </c>
      <c r="BC214" s="35" t="s">
        <v>163</v>
      </c>
      <c r="BD214" s="53"/>
      <c r="BE214" s="53">
        <v>0</v>
      </c>
      <c r="BF214" s="53"/>
      <c r="BG214" s="53">
        <f>30325000+11230000</f>
        <v>41555000</v>
      </c>
      <c r="BH214" s="53"/>
      <c r="BI214" s="53">
        <v>0</v>
      </c>
      <c r="BJ214" s="53"/>
      <c r="BK214" s="53">
        <v>198379000</v>
      </c>
      <c r="BL214" s="53"/>
      <c r="BM214" s="53">
        <f t="shared" si="61"/>
        <v>239934000</v>
      </c>
      <c r="BN214" s="54" t="s">
        <v>347</v>
      </c>
      <c r="BR214" s="51"/>
      <c r="BS214" s="53"/>
      <c r="BT214" s="53"/>
      <c r="BU214" s="53"/>
      <c r="BV214" s="53"/>
      <c r="BW214" s="53"/>
      <c r="BX214" s="45"/>
      <c r="BY214" s="45"/>
      <c r="BZ214" s="53"/>
      <c r="CA214" s="53"/>
      <c r="CB214" s="53"/>
      <c r="CC214" s="53"/>
      <c r="CD214" s="53"/>
      <c r="CE214" s="53"/>
      <c r="CF214" s="35"/>
      <c r="CH214" s="35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4"/>
    </row>
    <row r="215" spans="1:105" s="55" customFormat="1" ht="12.75" customHeight="1">
      <c r="A215" s="35" t="s">
        <v>248</v>
      </c>
      <c r="C215" s="35" t="s">
        <v>249</v>
      </c>
      <c r="D215" s="44"/>
      <c r="E215" s="53">
        <f t="shared" si="55"/>
        <v>425919</v>
      </c>
      <c r="F215" s="53"/>
      <c r="G215" s="53">
        <v>1171793</v>
      </c>
      <c r="H215" s="53"/>
      <c r="I215" s="53">
        <v>1597712</v>
      </c>
      <c r="J215" s="53"/>
      <c r="K215" s="53">
        <f t="shared" si="57"/>
        <v>34160</v>
      </c>
      <c r="L215" s="53"/>
      <c r="M215" s="53">
        <v>952</v>
      </c>
      <c r="N215" s="53"/>
      <c r="O215" s="53">
        <v>35112</v>
      </c>
      <c r="P215" s="53"/>
      <c r="Q215" s="53">
        <v>1171794</v>
      </c>
      <c r="R215" s="53"/>
      <c r="S215" s="53">
        <v>0</v>
      </c>
      <c r="T215" s="53"/>
      <c r="U215" s="53">
        <v>390806</v>
      </c>
      <c r="V215" s="53"/>
      <c r="W215" s="53">
        <f t="shared" si="51"/>
        <v>1562600</v>
      </c>
      <c r="X215" s="53"/>
      <c r="Y215" s="35" t="s">
        <v>248</v>
      </c>
      <c r="AA215" s="35" t="s">
        <v>249</v>
      </c>
      <c r="AB215" s="35"/>
      <c r="AC215" s="53">
        <v>621635</v>
      </c>
      <c r="AD215" s="53"/>
      <c r="AE215" s="53">
        <f>536939-42889</f>
        <v>494050</v>
      </c>
      <c r="AF215" s="53"/>
      <c r="AG215" s="53">
        <v>42889</v>
      </c>
      <c r="AH215" s="53"/>
      <c r="AI215" s="45">
        <f t="shared" si="58"/>
        <v>84696</v>
      </c>
      <c r="AJ215" s="45"/>
      <c r="AK215" s="53">
        <v>0</v>
      </c>
      <c r="AL215" s="45"/>
      <c r="AM215" s="53">
        <v>0</v>
      </c>
      <c r="AN215" s="53"/>
      <c r="AO215" s="53">
        <v>0</v>
      </c>
      <c r="AP215" s="53"/>
      <c r="AQ215" s="53">
        <v>0</v>
      </c>
      <c r="AR215" s="53"/>
      <c r="AS215" s="45">
        <f t="shared" si="56"/>
        <v>84696</v>
      </c>
      <c r="AT215" s="45"/>
      <c r="AU215" s="53">
        <v>0</v>
      </c>
      <c r="AV215" s="53"/>
      <c r="AW215" s="53">
        <v>0</v>
      </c>
      <c r="AX215" s="53"/>
      <c r="AY215" s="53">
        <f t="shared" si="59"/>
        <v>391759</v>
      </c>
      <c r="AZ215" s="53"/>
      <c r="BA215" s="35" t="s">
        <v>248</v>
      </c>
      <c r="BC215" s="35" t="s">
        <v>249</v>
      </c>
      <c r="BD215" s="53"/>
      <c r="BE215" s="53">
        <v>0</v>
      </c>
      <c r="BF215" s="53"/>
      <c r="BG215" s="53">
        <v>0</v>
      </c>
      <c r="BH215" s="53"/>
      <c r="BI215" s="53">
        <v>0</v>
      </c>
      <c r="BJ215" s="53"/>
      <c r="BK215" s="53">
        <f>952+452</f>
        <v>1404</v>
      </c>
      <c r="BL215" s="53"/>
      <c r="BM215" s="53">
        <f t="shared" si="61"/>
        <v>1404</v>
      </c>
      <c r="BN215" s="54" t="s">
        <v>347</v>
      </c>
      <c r="BR215" s="51"/>
      <c r="BS215" s="53"/>
      <c r="BT215" s="53"/>
      <c r="BU215" s="53"/>
      <c r="BV215" s="53"/>
      <c r="BW215" s="53"/>
      <c r="BX215" s="45"/>
      <c r="BY215" s="45"/>
      <c r="BZ215" s="53"/>
      <c r="CA215" s="53"/>
      <c r="CB215" s="53"/>
      <c r="CC215" s="53"/>
      <c r="CD215" s="53"/>
      <c r="CE215" s="53"/>
      <c r="CF215" s="35"/>
      <c r="CH215" s="35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4"/>
    </row>
    <row r="216" spans="1:105" s="55" customFormat="1" ht="12.75" customHeight="1">
      <c r="A216" s="35" t="s">
        <v>250</v>
      </c>
      <c r="B216" s="51"/>
      <c r="C216" s="35" t="s">
        <v>103</v>
      </c>
      <c r="D216" s="44"/>
      <c r="E216" s="53">
        <f t="shared" si="55"/>
        <v>1162360</v>
      </c>
      <c r="F216" s="53"/>
      <c r="G216" s="53">
        <v>792667</v>
      </c>
      <c r="H216" s="53"/>
      <c r="I216" s="53">
        <v>1955027</v>
      </c>
      <c r="J216" s="53"/>
      <c r="K216" s="53">
        <f t="shared" si="57"/>
        <v>152054</v>
      </c>
      <c r="L216" s="53"/>
      <c r="M216" s="53">
        <v>828816</v>
      </c>
      <c r="N216" s="53"/>
      <c r="O216" s="53">
        <v>980870</v>
      </c>
      <c r="P216" s="53"/>
      <c r="Q216" s="53">
        <v>764936</v>
      </c>
      <c r="R216" s="53"/>
      <c r="S216" s="53">
        <v>0</v>
      </c>
      <c r="T216" s="53"/>
      <c r="U216" s="53">
        <v>209221</v>
      </c>
      <c r="V216" s="53"/>
      <c r="W216" s="53">
        <f t="shared" ref="W216:W250" si="62">SUM(Q216:U216)</f>
        <v>974157</v>
      </c>
      <c r="X216" s="53"/>
      <c r="Y216" s="35" t="s">
        <v>250</v>
      </c>
      <c r="AA216" s="35" t="s">
        <v>103</v>
      </c>
      <c r="AB216" s="35"/>
      <c r="AC216" s="53">
        <v>1452453</v>
      </c>
      <c r="AD216" s="53"/>
      <c r="AE216" s="53">
        <f>2078768-42760</f>
        <v>2036008</v>
      </c>
      <c r="AF216" s="53"/>
      <c r="AG216" s="53">
        <v>42760</v>
      </c>
      <c r="AH216" s="53"/>
      <c r="AI216" s="45">
        <f t="shared" si="58"/>
        <v>-626315</v>
      </c>
      <c r="AJ216" s="45"/>
      <c r="AK216" s="53">
        <v>-1401</v>
      </c>
      <c r="AL216" s="45"/>
      <c r="AM216" s="53">
        <v>3465</v>
      </c>
      <c r="AN216" s="53"/>
      <c r="AO216" s="53">
        <v>10000</v>
      </c>
      <c r="AP216" s="53"/>
      <c r="AQ216" s="53">
        <v>0</v>
      </c>
      <c r="AR216" s="53"/>
      <c r="AS216" s="45">
        <f t="shared" si="56"/>
        <v>-634251</v>
      </c>
      <c r="AT216" s="45"/>
      <c r="AU216" s="53">
        <v>0</v>
      </c>
      <c r="AV216" s="53"/>
      <c r="AW216" s="53">
        <v>0</v>
      </c>
      <c r="AX216" s="53"/>
      <c r="AY216" s="53">
        <f t="shared" si="59"/>
        <v>1010306</v>
      </c>
      <c r="AZ216" s="53"/>
      <c r="BA216" s="35" t="s">
        <v>250</v>
      </c>
      <c r="BC216" s="35" t="s">
        <v>103</v>
      </c>
      <c r="BD216" s="53"/>
      <c r="BE216" s="53">
        <v>0</v>
      </c>
      <c r="BF216" s="53"/>
      <c r="BG216" s="53">
        <v>0</v>
      </c>
      <c r="BH216" s="53"/>
      <c r="BI216" s="53">
        <f>810350+42650</f>
        <v>853000</v>
      </c>
      <c r="BJ216" s="53"/>
      <c r="BK216" s="53">
        <f>18466+7302</f>
        <v>25768</v>
      </c>
      <c r="BL216" s="53"/>
      <c r="BM216" s="53">
        <f t="shared" si="61"/>
        <v>878768</v>
      </c>
      <c r="BN216" s="54" t="s">
        <v>347</v>
      </c>
      <c r="BR216" s="51"/>
      <c r="BS216" s="53"/>
      <c r="BT216" s="53"/>
      <c r="BU216" s="53"/>
      <c r="BV216" s="53"/>
      <c r="BW216" s="53"/>
      <c r="BX216" s="45"/>
      <c r="BY216" s="45"/>
      <c r="BZ216" s="53"/>
      <c r="CA216" s="53"/>
      <c r="CB216" s="53"/>
      <c r="CC216" s="53"/>
      <c r="CD216" s="53"/>
      <c r="CE216" s="53"/>
      <c r="CF216" s="35"/>
      <c r="CH216" s="35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4"/>
    </row>
    <row r="217" spans="1:105" s="55" customFormat="1" ht="12.75" customHeight="1">
      <c r="A217" s="35" t="s">
        <v>251</v>
      </c>
      <c r="B217" s="51"/>
      <c r="C217" s="35" t="s">
        <v>66</v>
      </c>
      <c r="D217" s="44"/>
      <c r="E217" s="53">
        <f t="shared" si="55"/>
        <v>536209</v>
      </c>
      <c r="F217" s="53"/>
      <c r="G217" s="53">
        <f>12026+452265</f>
        <v>464291</v>
      </c>
      <c r="H217" s="53"/>
      <c r="I217" s="53">
        <v>1000500</v>
      </c>
      <c r="J217" s="53"/>
      <c r="K217" s="53">
        <f t="shared" si="57"/>
        <v>511659</v>
      </c>
      <c r="L217" s="53"/>
      <c r="M217" s="53">
        <f>9684+1130</f>
        <v>10814</v>
      </c>
      <c r="N217" s="53"/>
      <c r="O217" s="53">
        <v>522473</v>
      </c>
      <c r="P217" s="53"/>
      <c r="Q217" s="53">
        <v>447543</v>
      </c>
      <c r="R217" s="53"/>
      <c r="S217" s="53">
        <v>0</v>
      </c>
      <c r="T217" s="53"/>
      <c r="U217" s="53">
        <v>30484</v>
      </c>
      <c r="V217" s="53"/>
      <c r="W217" s="53">
        <f t="shared" si="62"/>
        <v>478027</v>
      </c>
      <c r="X217" s="53"/>
      <c r="Y217" s="35" t="s">
        <v>251</v>
      </c>
      <c r="AA217" s="35" t="s">
        <v>66</v>
      </c>
      <c r="AB217" s="35"/>
      <c r="AC217" s="53">
        <v>984248</v>
      </c>
      <c r="AD217" s="53"/>
      <c r="AE217" s="53">
        <f>989970-29177</f>
        <v>960793</v>
      </c>
      <c r="AF217" s="53"/>
      <c r="AG217" s="53">
        <v>29177</v>
      </c>
      <c r="AH217" s="53"/>
      <c r="AI217" s="45">
        <f t="shared" si="58"/>
        <v>-5722</v>
      </c>
      <c r="AJ217" s="45"/>
      <c r="AK217" s="53">
        <v>-22689</v>
      </c>
      <c r="AL217" s="45"/>
      <c r="AM217" s="53">
        <v>0</v>
      </c>
      <c r="AN217" s="53"/>
      <c r="AO217" s="53">
        <v>10000</v>
      </c>
      <c r="AP217" s="53"/>
      <c r="AQ217" s="53">
        <v>0</v>
      </c>
      <c r="AR217" s="53"/>
      <c r="AS217" s="45">
        <f t="shared" si="56"/>
        <v>-38411</v>
      </c>
      <c r="AT217" s="45"/>
      <c r="AU217" s="53">
        <v>0</v>
      </c>
      <c r="AV217" s="53"/>
      <c r="AW217" s="53">
        <v>0</v>
      </c>
      <c r="AX217" s="53"/>
      <c r="AY217" s="53">
        <f t="shared" si="59"/>
        <v>24550</v>
      </c>
      <c r="AZ217" s="53"/>
      <c r="BA217" s="35" t="s">
        <v>251</v>
      </c>
      <c r="BC217" s="35" t="s">
        <v>66</v>
      </c>
      <c r="BD217" s="53"/>
      <c r="BE217" s="53">
        <v>0</v>
      </c>
      <c r="BF217" s="53"/>
      <c r="BG217" s="53">
        <v>0</v>
      </c>
      <c r="BH217" s="53"/>
      <c r="BI217" s="53">
        <f>11330+5418</f>
        <v>16748</v>
      </c>
      <c r="BJ217" s="53"/>
      <c r="BK217" s="53">
        <f>9684+16253</f>
        <v>25937</v>
      </c>
      <c r="BL217" s="53"/>
      <c r="BM217" s="53">
        <f t="shared" si="61"/>
        <v>42685</v>
      </c>
      <c r="BN217" s="54" t="s">
        <v>347</v>
      </c>
      <c r="BR217" s="51"/>
      <c r="BS217" s="53"/>
      <c r="BT217" s="53"/>
      <c r="BU217" s="53"/>
      <c r="BV217" s="53"/>
      <c r="BW217" s="53"/>
      <c r="BX217" s="45"/>
      <c r="BY217" s="45"/>
      <c r="BZ217" s="53"/>
      <c r="CA217" s="53"/>
      <c r="CB217" s="53"/>
      <c r="CC217" s="53"/>
      <c r="CD217" s="53"/>
      <c r="CE217" s="53"/>
      <c r="CF217" s="35"/>
      <c r="CH217" s="35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4"/>
    </row>
    <row r="218" spans="1:105" s="55" customFormat="1" ht="12.75" customHeight="1">
      <c r="A218" s="35" t="s">
        <v>252</v>
      </c>
      <c r="B218" s="51"/>
      <c r="C218" s="35" t="s">
        <v>209</v>
      </c>
      <c r="D218" s="44"/>
      <c r="E218" s="53">
        <f t="shared" si="55"/>
        <v>8439522</v>
      </c>
      <c r="F218" s="53"/>
      <c r="G218" s="53">
        <v>20206534</v>
      </c>
      <c r="H218" s="53"/>
      <c r="I218" s="53">
        <v>28646056</v>
      </c>
      <c r="J218" s="53"/>
      <c r="K218" s="53">
        <f t="shared" si="57"/>
        <v>749952</v>
      </c>
      <c r="L218" s="53"/>
      <c r="M218" s="53">
        <v>6510355</v>
      </c>
      <c r="N218" s="53"/>
      <c r="O218" s="53">
        <v>7260307</v>
      </c>
      <c r="P218" s="53"/>
      <c r="Q218" s="53">
        <v>14036534</v>
      </c>
      <c r="R218" s="53"/>
      <c r="S218" s="53">
        <v>0</v>
      </c>
      <c r="T218" s="53"/>
      <c r="U218" s="53">
        <v>7349215</v>
      </c>
      <c r="V218" s="53"/>
      <c r="W218" s="53">
        <f t="shared" si="62"/>
        <v>21385749</v>
      </c>
      <c r="X218" s="53"/>
      <c r="Y218" s="35" t="s">
        <v>252</v>
      </c>
      <c r="AA218" s="35" t="s">
        <v>209</v>
      </c>
      <c r="AB218" s="35"/>
      <c r="AC218" s="53">
        <v>3232390</v>
      </c>
      <c r="AD218" s="53"/>
      <c r="AE218" s="53">
        <f>3758826-916357</f>
        <v>2842469</v>
      </c>
      <c r="AF218" s="53"/>
      <c r="AG218" s="53">
        <v>916357</v>
      </c>
      <c r="AH218" s="53"/>
      <c r="AI218" s="45">
        <f t="shared" si="58"/>
        <v>-526436</v>
      </c>
      <c r="AJ218" s="45"/>
      <c r="AK218" s="53">
        <v>-135575</v>
      </c>
      <c r="AL218" s="45"/>
      <c r="AM218" s="53">
        <v>15646</v>
      </c>
      <c r="AN218" s="53"/>
      <c r="AO218" s="53">
        <v>0</v>
      </c>
      <c r="AP218" s="53"/>
      <c r="AQ218" s="53">
        <v>1313655</v>
      </c>
      <c r="AR218" s="53"/>
      <c r="AS218" s="45">
        <f t="shared" si="56"/>
        <v>667290</v>
      </c>
      <c r="AT218" s="45"/>
      <c r="AU218" s="53">
        <v>0</v>
      </c>
      <c r="AV218" s="53"/>
      <c r="AW218" s="53">
        <v>0</v>
      </c>
      <c r="AX218" s="53"/>
      <c r="AY218" s="53">
        <f t="shared" si="59"/>
        <v>7689570</v>
      </c>
      <c r="AZ218" s="53"/>
      <c r="BA218" s="35" t="s">
        <v>252</v>
      </c>
      <c r="BC218" s="35" t="s">
        <v>209</v>
      </c>
      <c r="BD218" s="53"/>
      <c r="BE218" s="53">
        <f>6309436+573234</f>
        <v>6882670</v>
      </c>
      <c r="BF218" s="53"/>
      <c r="BG218" s="53">
        <v>0</v>
      </c>
      <c r="BH218" s="53"/>
      <c r="BI218" s="53">
        <v>0</v>
      </c>
      <c r="BJ218" s="53"/>
      <c r="BK218" s="53">
        <f>200919+70421</f>
        <v>271340</v>
      </c>
      <c r="BL218" s="53"/>
      <c r="BM218" s="53">
        <f t="shared" si="61"/>
        <v>7154010</v>
      </c>
      <c r="BN218" s="54" t="s">
        <v>347</v>
      </c>
      <c r="BO218" s="55" t="s">
        <v>405</v>
      </c>
      <c r="BR218" s="51"/>
      <c r="BS218" s="53"/>
      <c r="BT218" s="53"/>
      <c r="BU218" s="53"/>
      <c r="BV218" s="53"/>
      <c r="BW218" s="53"/>
      <c r="BX218" s="45"/>
      <c r="BY218" s="45"/>
      <c r="BZ218" s="53"/>
      <c r="CA218" s="53"/>
      <c r="CB218" s="53"/>
      <c r="CC218" s="53"/>
      <c r="CD218" s="53"/>
      <c r="CE218" s="53"/>
      <c r="CF218" s="35"/>
      <c r="CH218" s="35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4"/>
    </row>
    <row r="219" spans="1:105" s="55" customFormat="1" ht="12.75" customHeight="1">
      <c r="A219" s="35" t="s">
        <v>253</v>
      </c>
      <c r="B219" s="51"/>
      <c r="C219" s="35" t="s">
        <v>13</v>
      </c>
      <c r="D219" s="44"/>
      <c r="E219" s="53">
        <f t="shared" si="55"/>
        <v>3404851</v>
      </c>
      <c r="F219" s="53"/>
      <c r="G219" s="53">
        <v>32979414</v>
      </c>
      <c r="H219" s="53"/>
      <c r="I219" s="53">
        <v>36384265</v>
      </c>
      <c r="J219" s="53"/>
      <c r="K219" s="53">
        <f t="shared" si="57"/>
        <v>224670</v>
      </c>
      <c r="L219" s="53"/>
      <c r="M219" s="53">
        <v>223814</v>
      </c>
      <c r="N219" s="53"/>
      <c r="O219" s="53">
        <v>448484</v>
      </c>
      <c r="P219" s="53"/>
      <c r="Q219" s="53">
        <v>32959414</v>
      </c>
      <c r="R219" s="53"/>
      <c r="S219" s="53">
        <v>0</v>
      </c>
      <c r="T219" s="53"/>
      <c r="U219" s="53">
        <v>2976367</v>
      </c>
      <c r="V219" s="53"/>
      <c r="W219" s="53">
        <f t="shared" si="62"/>
        <v>35935781</v>
      </c>
      <c r="X219" s="53"/>
      <c r="Y219" s="35" t="s">
        <v>253</v>
      </c>
      <c r="AA219" s="35" t="s">
        <v>13</v>
      </c>
      <c r="AB219" s="35"/>
      <c r="AC219" s="53">
        <v>3039372</v>
      </c>
      <c r="AD219" s="53"/>
      <c r="AE219" s="53">
        <f>2988585-756385</f>
        <v>2232200</v>
      </c>
      <c r="AF219" s="53"/>
      <c r="AG219" s="53">
        <v>756385</v>
      </c>
      <c r="AH219" s="53"/>
      <c r="AI219" s="45">
        <f t="shared" si="58"/>
        <v>50787</v>
      </c>
      <c r="AJ219" s="45"/>
      <c r="AK219" s="53">
        <v>-8017</v>
      </c>
      <c r="AL219" s="45"/>
      <c r="AM219" s="53">
        <v>0</v>
      </c>
      <c r="AN219" s="53"/>
      <c r="AO219" s="53">
        <v>50611</v>
      </c>
      <c r="AP219" s="53"/>
      <c r="AQ219" s="53">
        <v>0</v>
      </c>
      <c r="AR219" s="53"/>
      <c r="AS219" s="45">
        <f t="shared" si="56"/>
        <v>-7841</v>
      </c>
      <c r="AT219" s="45"/>
      <c r="AU219" s="53">
        <v>0</v>
      </c>
      <c r="AV219" s="53"/>
      <c r="AW219" s="53">
        <v>0</v>
      </c>
      <c r="AX219" s="53"/>
      <c r="AY219" s="53">
        <f t="shared" si="59"/>
        <v>3180181</v>
      </c>
      <c r="AZ219" s="53"/>
      <c r="BA219" s="35" t="s">
        <v>253</v>
      </c>
      <c r="BC219" s="35" t="s">
        <v>13</v>
      </c>
      <c r="BD219" s="53"/>
      <c r="BE219" s="53">
        <v>0</v>
      </c>
      <c r="BF219" s="53"/>
      <c r="BG219" s="53">
        <v>0</v>
      </c>
      <c r="BH219" s="53"/>
      <c r="BI219" s="53">
        <v>0</v>
      </c>
      <c r="BJ219" s="53"/>
      <c r="BK219" s="53">
        <f>213814+72418</f>
        <v>286232</v>
      </c>
      <c r="BL219" s="53"/>
      <c r="BM219" s="53">
        <f>SUM(BE219:BK219)</f>
        <v>286232</v>
      </c>
      <c r="BN219" s="54" t="s">
        <v>347</v>
      </c>
      <c r="BO219" s="35"/>
      <c r="BP219" s="35"/>
      <c r="BQ219" s="35"/>
      <c r="BR219" s="51"/>
      <c r="BS219" s="53"/>
      <c r="BT219" s="53"/>
      <c r="BU219" s="53"/>
      <c r="BV219" s="53"/>
      <c r="BW219" s="45"/>
      <c r="BX219" s="45"/>
      <c r="BY219" s="53"/>
      <c r="BZ219" s="53"/>
      <c r="CA219" s="53"/>
      <c r="CB219" s="53"/>
      <c r="CC219" s="53"/>
      <c r="CD219" s="53"/>
      <c r="CE219" s="53"/>
      <c r="CF219" s="35"/>
      <c r="CH219" s="35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4"/>
      <c r="CT219" s="35"/>
      <c r="CU219" s="35"/>
      <c r="CV219" s="35"/>
      <c r="CW219" s="35"/>
      <c r="CX219" s="35"/>
      <c r="CY219" s="35"/>
      <c r="CZ219" s="35"/>
      <c r="DA219" s="35"/>
    </row>
    <row r="220" spans="1:105" s="140" customFormat="1" ht="12.75" hidden="1" customHeight="1">
      <c r="A220" s="126" t="s">
        <v>254</v>
      </c>
      <c r="B220" s="124"/>
      <c r="C220" s="126" t="s">
        <v>89</v>
      </c>
      <c r="D220" s="121"/>
      <c r="E220" s="53">
        <f t="shared" si="55"/>
        <v>0</v>
      </c>
      <c r="F220" s="53"/>
      <c r="G220" s="53">
        <v>0</v>
      </c>
      <c r="H220" s="53"/>
      <c r="I220" s="53">
        <v>0</v>
      </c>
      <c r="J220" s="53"/>
      <c r="K220" s="53">
        <f t="shared" si="57"/>
        <v>0</v>
      </c>
      <c r="L220" s="53"/>
      <c r="M220" s="53">
        <v>0</v>
      </c>
      <c r="N220" s="53"/>
      <c r="O220" s="53">
        <v>0</v>
      </c>
      <c r="P220" s="53"/>
      <c r="Q220" s="53">
        <v>0</v>
      </c>
      <c r="R220" s="53"/>
      <c r="S220" s="53">
        <v>0</v>
      </c>
      <c r="T220" s="53"/>
      <c r="U220" s="53">
        <v>0</v>
      </c>
      <c r="V220" s="53"/>
      <c r="W220" s="53">
        <f t="shared" si="62"/>
        <v>0</v>
      </c>
      <c r="X220" s="137"/>
      <c r="Y220" s="126" t="s">
        <v>254</v>
      </c>
      <c r="AA220" s="126" t="s">
        <v>89</v>
      </c>
      <c r="AB220" s="126"/>
      <c r="AC220" s="53">
        <v>0</v>
      </c>
      <c r="AD220" s="53"/>
      <c r="AE220" s="53">
        <v>0</v>
      </c>
      <c r="AF220" s="53"/>
      <c r="AG220" s="53">
        <v>0</v>
      </c>
      <c r="AH220" s="53"/>
      <c r="AI220" s="45">
        <f t="shared" si="58"/>
        <v>0</v>
      </c>
      <c r="AJ220" s="45"/>
      <c r="AK220" s="53">
        <v>0</v>
      </c>
      <c r="AL220" s="45"/>
      <c r="AM220" s="53">
        <v>0</v>
      </c>
      <c r="AN220" s="53"/>
      <c r="AO220" s="53">
        <v>0</v>
      </c>
      <c r="AP220" s="53"/>
      <c r="AQ220" s="53">
        <v>0</v>
      </c>
      <c r="AR220" s="53"/>
      <c r="AS220" s="45">
        <f t="shared" si="56"/>
        <v>0</v>
      </c>
      <c r="AT220" s="45"/>
      <c r="AU220" s="53">
        <v>0</v>
      </c>
      <c r="AV220" s="53"/>
      <c r="AW220" s="53">
        <v>0</v>
      </c>
      <c r="AX220" s="53"/>
      <c r="AY220" s="53">
        <f t="shared" si="59"/>
        <v>0</v>
      </c>
      <c r="AZ220" s="53"/>
      <c r="BA220" s="126" t="s">
        <v>254</v>
      </c>
      <c r="BC220" s="126" t="s">
        <v>89</v>
      </c>
      <c r="BD220" s="137"/>
      <c r="BE220" s="137"/>
      <c r="BF220" s="137"/>
      <c r="BG220" s="53">
        <v>0</v>
      </c>
      <c r="BH220" s="53"/>
      <c r="BI220" s="53">
        <v>0</v>
      </c>
      <c r="BJ220" s="53"/>
      <c r="BK220" s="53">
        <v>0</v>
      </c>
      <c r="BL220" s="137"/>
      <c r="BM220" s="137">
        <f t="shared" si="61"/>
        <v>0</v>
      </c>
      <c r="BN220" s="139" t="s">
        <v>347</v>
      </c>
      <c r="BO220" s="126"/>
      <c r="BR220" s="124"/>
      <c r="BS220" s="137"/>
      <c r="BT220" s="137"/>
      <c r="BU220" s="137"/>
      <c r="BV220" s="137"/>
      <c r="BW220" s="127"/>
      <c r="BX220" s="127"/>
      <c r="BY220" s="137"/>
      <c r="BZ220" s="137"/>
      <c r="CA220" s="137"/>
      <c r="CB220" s="137"/>
      <c r="CC220" s="137"/>
      <c r="CD220" s="137"/>
      <c r="CE220" s="137"/>
      <c r="CF220" s="126"/>
      <c r="CH220" s="126"/>
      <c r="CI220" s="137"/>
      <c r="CJ220" s="137"/>
      <c r="CK220" s="137"/>
      <c r="CL220" s="137"/>
      <c r="CM220" s="137"/>
      <c r="CN220" s="137"/>
      <c r="CO220" s="137"/>
      <c r="CP220" s="137"/>
      <c r="CQ220" s="137"/>
      <c r="CR220" s="137"/>
      <c r="CS220" s="139"/>
      <c r="CT220" s="126"/>
    </row>
    <row r="221" spans="1:105" s="55" customFormat="1" ht="12.75" customHeight="1">
      <c r="A221" s="35" t="s">
        <v>159</v>
      </c>
      <c r="C221" s="35" t="s">
        <v>66</v>
      </c>
      <c r="D221" s="44"/>
      <c r="E221" s="53">
        <f t="shared" si="55"/>
        <v>505450</v>
      </c>
      <c r="F221" s="53"/>
      <c r="G221" s="53">
        <v>4416884</v>
      </c>
      <c r="H221" s="53"/>
      <c r="I221" s="53">
        <v>4922334</v>
      </c>
      <c r="J221" s="53"/>
      <c r="K221" s="53">
        <f t="shared" si="57"/>
        <v>74235</v>
      </c>
      <c r="L221" s="53"/>
      <c r="M221" s="53">
        <v>558445</v>
      </c>
      <c r="N221" s="53"/>
      <c r="O221" s="53">
        <v>632680</v>
      </c>
      <c r="P221" s="53"/>
      <c r="Q221" s="53">
        <v>3841213</v>
      </c>
      <c r="R221" s="53"/>
      <c r="S221" s="53">
        <v>0</v>
      </c>
      <c r="T221" s="53"/>
      <c r="U221" s="53">
        <v>448441</v>
      </c>
      <c r="V221" s="53"/>
      <c r="W221" s="53">
        <f t="shared" si="62"/>
        <v>4289654</v>
      </c>
      <c r="X221" s="53"/>
      <c r="Y221" s="35" t="s">
        <v>159</v>
      </c>
      <c r="AA221" s="35" t="s">
        <v>66</v>
      </c>
      <c r="AB221" s="35"/>
      <c r="AC221" s="53">
        <v>687097</v>
      </c>
      <c r="AD221" s="53"/>
      <c r="AE221" s="53">
        <f>774059-189918</f>
        <v>584141</v>
      </c>
      <c r="AF221" s="53"/>
      <c r="AG221" s="53">
        <v>189918</v>
      </c>
      <c r="AH221" s="53"/>
      <c r="AI221" s="45">
        <f t="shared" si="58"/>
        <v>-86962</v>
      </c>
      <c r="AJ221" s="45"/>
      <c r="AK221" s="53">
        <v>17485</v>
      </c>
      <c r="AL221" s="45"/>
      <c r="AM221" s="53">
        <v>3800</v>
      </c>
      <c r="AN221" s="53"/>
      <c r="AO221" s="53">
        <v>0</v>
      </c>
      <c r="AP221" s="53"/>
      <c r="AQ221" s="53">
        <v>0</v>
      </c>
      <c r="AR221" s="53"/>
      <c r="AS221" s="45">
        <f t="shared" si="56"/>
        <v>-65677</v>
      </c>
      <c r="AT221" s="45"/>
      <c r="AU221" s="53">
        <v>0</v>
      </c>
      <c r="AV221" s="53"/>
      <c r="AW221" s="53">
        <v>0</v>
      </c>
      <c r="AX221" s="53"/>
      <c r="AY221" s="53">
        <f t="shared" si="59"/>
        <v>431215</v>
      </c>
      <c r="AZ221" s="53"/>
      <c r="BA221" s="35" t="s">
        <v>159</v>
      </c>
      <c r="BC221" s="35" t="s">
        <v>66</v>
      </c>
      <c r="BD221" s="53"/>
      <c r="BE221" s="53">
        <v>0</v>
      </c>
      <c r="BF221" s="53"/>
      <c r="BG221" s="53">
        <v>0</v>
      </c>
      <c r="BH221" s="53"/>
      <c r="BI221" s="53">
        <f>527871+31300</f>
        <v>559171</v>
      </c>
      <c r="BJ221" s="53"/>
      <c r="BK221" s="53">
        <f>30574+8466</f>
        <v>39040</v>
      </c>
      <c r="BL221" s="53"/>
      <c r="BM221" s="53">
        <f>SUM(BE221:BK221)</f>
        <v>598211</v>
      </c>
      <c r="BN221" s="54" t="s">
        <v>347</v>
      </c>
      <c r="BR221" s="51"/>
      <c r="BS221" s="53"/>
      <c r="BT221" s="53"/>
      <c r="BU221" s="53"/>
      <c r="BV221" s="53"/>
      <c r="BW221" s="53"/>
      <c r="BX221" s="45"/>
      <c r="BY221" s="45"/>
      <c r="BZ221" s="53"/>
      <c r="CA221" s="53"/>
      <c r="CB221" s="53"/>
      <c r="CC221" s="53"/>
      <c r="CD221" s="53"/>
      <c r="CE221" s="53"/>
      <c r="CF221" s="35"/>
      <c r="CH221" s="35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4"/>
    </row>
    <row r="222" spans="1:105" s="140" customFormat="1" ht="12.75" hidden="1" customHeight="1">
      <c r="A222" s="126" t="s">
        <v>255</v>
      </c>
      <c r="B222" s="124"/>
      <c r="C222" s="126" t="s">
        <v>27</v>
      </c>
      <c r="D222" s="121"/>
      <c r="E222" s="53">
        <f t="shared" si="55"/>
        <v>0</v>
      </c>
      <c r="F222" s="53"/>
      <c r="G222" s="53">
        <v>0</v>
      </c>
      <c r="H222" s="53"/>
      <c r="I222" s="53">
        <v>0</v>
      </c>
      <c r="J222" s="53"/>
      <c r="K222" s="53">
        <f t="shared" si="57"/>
        <v>0</v>
      </c>
      <c r="L222" s="53"/>
      <c r="M222" s="53">
        <v>0</v>
      </c>
      <c r="N222" s="53"/>
      <c r="O222" s="53">
        <v>0</v>
      </c>
      <c r="P222" s="53"/>
      <c r="Q222" s="53">
        <v>0</v>
      </c>
      <c r="R222" s="53"/>
      <c r="S222" s="53">
        <v>0</v>
      </c>
      <c r="T222" s="53"/>
      <c r="U222" s="53">
        <v>0</v>
      </c>
      <c r="V222" s="53"/>
      <c r="W222" s="53">
        <f t="shared" si="62"/>
        <v>0</v>
      </c>
      <c r="X222" s="137"/>
      <c r="Y222" s="126" t="s">
        <v>255</v>
      </c>
      <c r="AA222" s="126" t="s">
        <v>27</v>
      </c>
      <c r="AB222" s="126"/>
      <c r="AC222" s="53">
        <v>0</v>
      </c>
      <c r="AD222" s="53"/>
      <c r="AE222" s="53">
        <v>0</v>
      </c>
      <c r="AF222" s="53"/>
      <c r="AG222" s="53">
        <v>0</v>
      </c>
      <c r="AH222" s="53"/>
      <c r="AI222" s="45">
        <f t="shared" si="58"/>
        <v>0</v>
      </c>
      <c r="AJ222" s="45"/>
      <c r="AK222" s="53">
        <v>0</v>
      </c>
      <c r="AL222" s="45"/>
      <c r="AM222" s="53">
        <v>0</v>
      </c>
      <c r="AN222" s="53"/>
      <c r="AO222" s="53">
        <v>0</v>
      </c>
      <c r="AP222" s="53"/>
      <c r="AQ222" s="53">
        <v>0</v>
      </c>
      <c r="AR222" s="53"/>
      <c r="AS222" s="45">
        <f t="shared" si="56"/>
        <v>0</v>
      </c>
      <c r="AT222" s="45"/>
      <c r="AU222" s="53">
        <v>0</v>
      </c>
      <c r="AV222" s="53"/>
      <c r="AW222" s="53">
        <v>0</v>
      </c>
      <c r="AX222" s="53"/>
      <c r="AY222" s="53">
        <f t="shared" si="59"/>
        <v>0</v>
      </c>
      <c r="AZ222" s="53"/>
      <c r="BA222" s="126" t="s">
        <v>255</v>
      </c>
      <c r="BC222" s="126" t="s">
        <v>27</v>
      </c>
      <c r="BD222" s="137"/>
      <c r="BE222" s="137"/>
      <c r="BF222" s="137"/>
      <c r="BG222" s="53">
        <v>0</v>
      </c>
      <c r="BH222" s="53"/>
      <c r="BI222" s="53">
        <v>0</v>
      </c>
      <c r="BJ222" s="53"/>
      <c r="BK222" s="53">
        <v>0</v>
      </c>
      <c r="BL222" s="137"/>
      <c r="BM222" s="137">
        <f t="shared" si="61"/>
        <v>0</v>
      </c>
      <c r="BN222" s="139" t="s">
        <v>347</v>
      </c>
      <c r="BR222" s="124"/>
      <c r="BS222" s="137"/>
      <c r="BT222" s="137"/>
      <c r="BU222" s="137"/>
      <c r="BV222" s="137"/>
      <c r="BW222" s="137"/>
      <c r="BX222" s="127"/>
      <c r="BY222" s="127"/>
      <c r="BZ222" s="137"/>
      <c r="CA222" s="137"/>
      <c r="CB222" s="137"/>
      <c r="CC222" s="137"/>
      <c r="CD222" s="137"/>
      <c r="CE222" s="137"/>
      <c r="CF222" s="126"/>
      <c r="CH222" s="126"/>
      <c r="CI222" s="137"/>
      <c r="CJ222" s="137"/>
      <c r="CK222" s="137"/>
      <c r="CL222" s="137"/>
      <c r="CM222" s="137"/>
      <c r="CN222" s="137"/>
      <c r="CO222" s="137"/>
      <c r="CP222" s="137"/>
      <c r="CQ222" s="137"/>
      <c r="CR222" s="137"/>
      <c r="CS222" s="139"/>
    </row>
    <row r="223" spans="1:105" s="55" customFormat="1" ht="12.75" customHeight="1">
      <c r="A223" s="35" t="s">
        <v>256</v>
      </c>
      <c r="C223" s="35" t="s">
        <v>43</v>
      </c>
      <c r="D223" s="44"/>
      <c r="E223" s="53">
        <f t="shared" si="55"/>
        <v>222720</v>
      </c>
      <c r="F223" s="53"/>
      <c r="G223" s="53">
        <v>4633006</v>
      </c>
      <c r="H223" s="53"/>
      <c r="I223" s="53">
        <v>4855726</v>
      </c>
      <c r="J223" s="53"/>
      <c r="K223" s="53">
        <f t="shared" si="57"/>
        <v>283038</v>
      </c>
      <c r="L223" s="53"/>
      <c r="M223" s="53">
        <v>707829</v>
      </c>
      <c r="N223" s="53"/>
      <c r="O223" s="53">
        <v>990867</v>
      </c>
      <c r="P223" s="53"/>
      <c r="Q223" s="53">
        <v>3803527</v>
      </c>
      <c r="R223" s="53"/>
      <c r="S223" s="53">
        <v>0</v>
      </c>
      <c r="T223" s="53"/>
      <c r="U223" s="53">
        <v>61332</v>
      </c>
      <c r="V223" s="53"/>
      <c r="W223" s="53">
        <f t="shared" si="62"/>
        <v>3864859</v>
      </c>
      <c r="X223" s="53"/>
      <c r="Y223" s="35" t="s">
        <v>256</v>
      </c>
      <c r="AA223" s="35" t="s">
        <v>43</v>
      </c>
      <c r="AB223" s="35"/>
      <c r="AC223" s="53">
        <v>770913</v>
      </c>
      <c r="AD223" s="53"/>
      <c r="AE223" s="53">
        <f>767628-218335</f>
        <v>549293</v>
      </c>
      <c r="AF223" s="53"/>
      <c r="AG223" s="53">
        <v>218335</v>
      </c>
      <c r="AH223" s="53"/>
      <c r="AI223" s="45">
        <f t="shared" si="58"/>
        <v>3285</v>
      </c>
      <c r="AJ223" s="45"/>
      <c r="AK223" s="53">
        <v>-33012</v>
      </c>
      <c r="AL223" s="45"/>
      <c r="AM223" s="53">
        <v>42000</v>
      </c>
      <c r="AN223" s="53"/>
      <c r="AO223" s="53">
        <v>0</v>
      </c>
      <c r="AP223" s="53"/>
      <c r="AQ223" s="53">
        <v>5280</v>
      </c>
      <c r="AR223" s="53"/>
      <c r="AS223" s="45">
        <f t="shared" si="56"/>
        <v>17553</v>
      </c>
      <c r="AT223" s="45"/>
      <c r="AU223" s="53">
        <v>0</v>
      </c>
      <c r="AV223" s="53"/>
      <c r="AW223" s="53">
        <v>0</v>
      </c>
      <c r="AX223" s="53"/>
      <c r="AY223" s="53">
        <f t="shared" si="59"/>
        <v>-60318</v>
      </c>
      <c r="AZ223" s="53"/>
      <c r="BA223" s="35" t="s">
        <v>256</v>
      </c>
      <c r="BC223" s="35" t="s">
        <v>43</v>
      </c>
      <c r="BD223" s="53"/>
      <c r="BE223" s="53">
        <v>0</v>
      </c>
      <c r="BF223" s="53"/>
      <c r="BG223" s="53">
        <v>0</v>
      </c>
      <c r="BH223" s="53"/>
      <c r="BI223" s="53">
        <f>684060+145419</f>
        <v>829479</v>
      </c>
      <c r="BJ223" s="53"/>
      <c r="BK223" s="53">
        <f>23769+19447</f>
        <v>43216</v>
      </c>
      <c r="BL223" s="53"/>
      <c r="BM223" s="53">
        <f>SUM(BE223:BK223)</f>
        <v>872695</v>
      </c>
      <c r="BN223" s="54" t="s">
        <v>347</v>
      </c>
      <c r="BR223" s="51"/>
      <c r="BS223" s="53"/>
      <c r="BT223" s="53"/>
      <c r="BU223" s="53"/>
      <c r="BV223" s="53"/>
      <c r="BW223" s="53"/>
      <c r="BX223" s="45"/>
      <c r="BY223" s="45"/>
      <c r="BZ223" s="53"/>
      <c r="CA223" s="53"/>
      <c r="CB223" s="53"/>
      <c r="CC223" s="53"/>
      <c r="CD223" s="53"/>
      <c r="CE223" s="53"/>
      <c r="CF223" s="35"/>
      <c r="CH223" s="35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4"/>
    </row>
    <row r="224" spans="1:105" s="55" customFormat="1" ht="12.75" customHeight="1">
      <c r="A224" s="35" t="s">
        <v>257</v>
      </c>
      <c r="B224" s="51"/>
      <c r="C224" s="35" t="s">
        <v>258</v>
      </c>
      <c r="D224" s="44"/>
      <c r="E224" s="53">
        <f t="shared" si="55"/>
        <v>214902</v>
      </c>
      <c r="F224" s="53"/>
      <c r="G224" s="53">
        <f>270820+8578269</f>
        <v>8849089</v>
      </c>
      <c r="H224" s="53"/>
      <c r="I224" s="53">
        <v>9063991</v>
      </c>
      <c r="J224" s="53"/>
      <c r="K224" s="53">
        <f t="shared" si="57"/>
        <v>51852</v>
      </c>
      <c r="L224" s="53"/>
      <c r="M224" s="53">
        <v>0</v>
      </c>
      <c r="N224" s="53"/>
      <c r="O224" s="53">
        <v>51852</v>
      </c>
      <c r="P224" s="53"/>
      <c r="Q224" s="53">
        <v>8849089</v>
      </c>
      <c r="R224" s="53"/>
      <c r="S224" s="53">
        <v>0</v>
      </c>
      <c r="T224" s="53"/>
      <c r="U224" s="53">
        <v>163050</v>
      </c>
      <c r="V224" s="53"/>
      <c r="W224" s="53">
        <f t="shared" si="62"/>
        <v>9012139</v>
      </c>
      <c r="X224" s="53"/>
      <c r="Y224" s="35" t="s">
        <v>257</v>
      </c>
      <c r="AA224" s="35" t="s">
        <v>258</v>
      </c>
      <c r="AB224" s="35"/>
      <c r="AC224" s="53">
        <v>747208</v>
      </c>
      <c r="AD224" s="53"/>
      <c r="AE224" s="53">
        <f>886480-202253</f>
        <v>684227</v>
      </c>
      <c r="AF224" s="53"/>
      <c r="AG224" s="53">
        <v>202253</v>
      </c>
      <c r="AH224" s="53"/>
      <c r="AI224" s="45">
        <f t="shared" si="58"/>
        <v>-139272</v>
      </c>
      <c r="AJ224" s="45"/>
      <c r="AK224" s="53">
        <v>2023</v>
      </c>
      <c r="AL224" s="45"/>
      <c r="AM224" s="53">
        <v>0</v>
      </c>
      <c r="AN224" s="53"/>
      <c r="AO224" s="53">
        <v>85481</v>
      </c>
      <c r="AP224" s="53"/>
      <c r="AQ224" s="53">
        <v>0</v>
      </c>
      <c r="AR224" s="53"/>
      <c r="AS224" s="45">
        <f t="shared" si="56"/>
        <v>-222730</v>
      </c>
      <c r="AT224" s="45"/>
      <c r="AU224" s="53">
        <v>0</v>
      </c>
      <c r="AV224" s="53"/>
      <c r="AW224" s="53">
        <v>0</v>
      </c>
      <c r="AX224" s="53"/>
      <c r="AY224" s="53">
        <f t="shared" si="59"/>
        <v>163050</v>
      </c>
      <c r="AZ224" s="53"/>
      <c r="BA224" s="35" t="s">
        <v>257</v>
      </c>
      <c r="BC224" s="35" t="s">
        <v>258</v>
      </c>
      <c r="BD224" s="53"/>
      <c r="BE224" s="53">
        <v>0</v>
      </c>
      <c r="BF224" s="53"/>
      <c r="BG224" s="53">
        <v>0</v>
      </c>
      <c r="BH224" s="53"/>
      <c r="BI224" s="53">
        <v>0</v>
      </c>
      <c r="BJ224" s="53"/>
      <c r="BK224" s="53">
        <v>0</v>
      </c>
      <c r="BL224" s="53"/>
      <c r="BM224" s="53">
        <f t="shared" si="61"/>
        <v>0</v>
      </c>
      <c r="BN224" s="54" t="s">
        <v>347</v>
      </c>
      <c r="BR224" s="51"/>
      <c r="BS224" s="53"/>
      <c r="BT224" s="53"/>
      <c r="BU224" s="53"/>
      <c r="BV224" s="53"/>
      <c r="BW224" s="53"/>
      <c r="BX224" s="45"/>
      <c r="BY224" s="45"/>
      <c r="BZ224" s="53"/>
      <c r="CA224" s="53"/>
      <c r="CB224" s="53"/>
      <c r="CC224" s="53"/>
      <c r="CD224" s="53"/>
      <c r="CE224" s="53"/>
      <c r="CF224" s="35"/>
      <c r="CH224" s="35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4"/>
    </row>
    <row r="225" spans="1:97" s="55" customFormat="1" ht="12.75" customHeight="1">
      <c r="A225" s="35" t="s">
        <v>259</v>
      </c>
      <c r="B225" s="51"/>
      <c r="C225" s="35" t="s">
        <v>369</v>
      </c>
      <c r="D225" s="44"/>
      <c r="E225" s="53">
        <f t="shared" si="55"/>
        <v>344640</v>
      </c>
      <c r="F225" s="53"/>
      <c r="G225" s="53">
        <v>5840026</v>
      </c>
      <c r="H225" s="53"/>
      <c r="I225" s="53">
        <v>6184666</v>
      </c>
      <c r="J225" s="53"/>
      <c r="K225" s="53">
        <f t="shared" si="57"/>
        <v>1270881</v>
      </c>
      <c r="L225" s="53"/>
      <c r="M225" s="53">
        <v>3968715</v>
      </c>
      <c r="N225" s="53"/>
      <c r="O225" s="53">
        <v>5239596</v>
      </c>
      <c r="P225" s="53"/>
      <c r="Q225" s="53">
        <v>837615</v>
      </c>
      <c r="R225" s="53"/>
      <c r="S225" s="53">
        <v>0</v>
      </c>
      <c r="T225" s="53"/>
      <c r="U225" s="53">
        <v>107455</v>
      </c>
      <c r="V225" s="53"/>
      <c r="W225" s="53">
        <f t="shared" si="62"/>
        <v>945070</v>
      </c>
      <c r="X225" s="53"/>
      <c r="Y225" s="35" t="s">
        <v>259</v>
      </c>
      <c r="AA225" s="35" t="s">
        <v>369</v>
      </c>
      <c r="AB225" s="35"/>
      <c r="AC225" s="53">
        <v>1862377</v>
      </c>
      <c r="AD225" s="53"/>
      <c r="AE225" s="53">
        <f>1636582-215732</f>
        <v>1420850</v>
      </c>
      <c r="AF225" s="53"/>
      <c r="AG225" s="53">
        <v>215732</v>
      </c>
      <c r="AH225" s="53"/>
      <c r="AI225" s="45">
        <f t="shared" si="58"/>
        <v>225795</v>
      </c>
      <c r="AJ225" s="45"/>
      <c r="AK225" s="53">
        <v>-26763</v>
      </c>
      <c r="AL225" s="45"/>
      <c r="AM225" s="53">
        <v>0</v>
      </c>
      <c r="AN225" s="53"/>
      <c r="AO225" s="53">
        <v>0</v>
      </c>
      <c r="AP225" s="53"/>
      <c r="AQ225" s="53">
        <v>2629</v>
      </c>
      <c r="AR225" s="53"/>
      <c r="AS225" s="45">
        <f t="shared" si="56"/>
        <v>201661</v>
      </c>
      <c r="AT225" s="45"/>
      <c r="AU225" s="53">
        <v>0</v>
      </c>
      <c r="AV225" s="53"/>
      <c r="AW225" s="53">
        <v>0</v>
      </c>
      <c r="AX225" s="53"/>
      <c r="AY225" s="53">
        <f t="shared" si="59"/>
        <v>-926241</v>
      </c>
      <c r="AZ225" s="53"/>
      <c r="BA225" s="35" t="s">
        <v>259</v>
      </c>
      <c r="BC225" s="35" t="s">
        <v>369</v>
      </c>
      <c r="BD225" s="53"/>
      <c r="BE225" s="53">
        <v>0</v>
      </c>
      <c r="BF225" s="53"/>
      <c r="BG225" s="53">
        <v>0</v>
      </c>
      <c r="BH225" s="53"/>
      <c r="BI225" s="53">
        <f>3920706+580017</f>
        <v>4500723</v>
      </c>
      <c r="BJ225" s="53"/>
      <c r="BK225" s="53">
        <f>48009+13436</f>
        <v>61445</v>
      </c>
      <c r="BL225" s="53"/>
      <c r="BM225" s="53">
        <f t="shared" si="61"/>
        <v>4562168</v>
      </c>
      <c r="BN225" s="54" t="s">
        <v>347</v>
      </c>
      <c r="BO225" s="55" t="s">
        <v>405</v>
      </c>
      <c r="BR225" s="51"/>
      <c r="BS225" s="53"/>
      <c r="BT225" s="53"/>
      <c r="BU225" s="53"/>
      <c r="BV225" s="53"/>
      <c r="BW225" s="45"/>
      <c r="BX225" s="45"/>
      <c r="BY225" s="53"/>
      <c r="BZ225" s="53"/>
      <c r="CA225" s="53"/>
      <c r="CB225" s="53"/>
      <c r="CC225" s="53"/>
      <c r="CD225" s="53"/>
      <c r="CE225" s="53"/>
      <c r="CF225" s="35"/>
      <c r="CH225" s="35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4"/>
    </row>
    <row r="226" spans="1:97" s="55" customFormat="1" ht="12.75" customHeight="1">
      <c r="A226" s="35" t="s">
        <v>261</v>
      </c>
      <c r="B226" s="51"/>
      <c r="C226" s="35" t="s">
        <v>66</v>
      </c>
      <c r="D226" s="44"/>
      <c r="E226" s="53">
        <f t="shared" si="55"/>
        <v>559603</v>
      </c>
      <c r="F226" s="53"/>
      <c r="G226" s="53">
        <v>16848129</v>
      </c>
      <c r="H226" s="53"/>
      <c r="I226" s="53">
        <v>17407732</v>
      </c>
      <c r="J226" s="53"/>
      <c r="K226" s="53">
        <f t="shared" si="57"/>
        <v>137563</v>
      </c>
      <c r="L226" s="53"/>
      <c r="M226" s="53">
        <v>21112</v>
      </c>
      <c r="N226" s="53"/>
      <c r="O226" s="53">
        <v>158675</v>
      </c>
      <c r="P226" s="53"/>
      <c r="Q226" s="53">
        <v>9373560</v>
      </c>
      <c r="R226" s="53"/>
      <c r="S226" s="53">
        <v>0</v>
      </c>
      <c r="T226" s="53"/>
      <c r="U226" s="53">
        <v>7875497</v>
      </c>
      <c r="V226" s="53"/>
      <c r="W226" s="53">
        <f t="shared" si="62"/>
        <v>17249057</v>
      </c>
      <c r="X226" s="53"/>
      <c r="Y226" s="35" t="s">
        <v>261</v>
      </c>
      <c r="AA226" s="35" t="s">
        <v>66</v>
      </c>
      <c r="AB226" s="35"/>
      <c r="AC226" s="53">
        <v>1255176</v>
      </c>
      <c r="AD226" s="53"/>
      <c r="AE226" s="53">
        <f>1625794-248752</f>
        <v>1377042</v>
      </c>
      <c r="AF226" s="53"/>
      <c r="AG226" s="53">
        <v>248752</v>
      </c>
      <c r="AH226" s="53"/>
      <c r="AI226" s="45">
        <f t="shared" si="58"/>
        <v>-370618</v>
      </c>
      <c r="AJ226" s="45"/>
      <c r="AK226" s="53">
        <v>-73692</v>
      </c>
      <c r="AL226" s="45"/>
      <c r="AM226" s="53">
        <v>0</v>
      </c>
      <c r="AN226" s="53"/>
      <c r="AO226" s="53">
        <v>0</v>
      </c>
      <c r="AP226" s="53"/>
      <c r="AQ226" s="53">
        <v>363273</v>
      </c>
      <c r="AR226" s="53"/>
      <c r="AS226" s="45">
        <f t="shared" si="56"/>
        <v>-81037</v>
      </c>
      <c r="AT226" s="45"/>
      <c r="AU226" s="53">
        <v>0</v>
      </c>
      <c r="AV226" s="53"/>
      <c r="AW226" s="53">
        <v>0</v>
      </c>
      <c r="AX226" s="53"/>
      <c r="AY226" s="53">
        <f t="shared" si="59"/>
        <v>422040</v>
      </c>
      <c r="AZ226" s="53"/>
      <c r="BA226" s="35" t="s">
        <v>261</v>
      </c>
      <c r="BC226" s="35" t="s">
        <v>66</v>
      </c>
      <c r="BD226" s="53"/>
      <c r="BE226" s="53">
        <v>0</v>
      </c>
      <c r="BF226" s="53"/>
      <c r="BG226" s="53">
        <v>0</v>
      </c>
      <c r="BH226" s="53"/>
      <c r="BI226" s="53">
        <v>0</v>
      </c>
      <c r="BJ226" s="53"/>
      <c r="BK226" s="53">
        <f>21112+34539</f>
        <v>55651</v>
      </c>
      <c r="BL226" s="53"/>
      <c r="BM226" s="53">
        <f t="shared" si="61"/>
        <v>55651</v>
      </c>
      <c r="BN226" s="54" t="s">
        <v>347</v>
      </c>
      <c r="BR226" s="51"/>
      <c r="BS226" s="53"/>
      <c r="BT226" s="53"/>
      <c r="BU226" s="53"/>
      <c r="BV226" s="53"/>
      <c r="BW226" s="53"/>
      <c r="BX226" s="45"/>
      <c r="BY226" s="45"/>
      <c r="BZ226" s="53"/>
      <c r="CA226" s="53"/>
      <c r="CB226" s="53"/>
      <c r="CC226" s="53"/>
      <c r="CD226" s="53"/>
      <c r="CE226" s="53"/>
      <c r="CF226" s="35"/>
      <c r="CH226" s="35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4"/>
    </row>
    <row r="227" spans="1:97" s="55" customFormat="1" ht="12.75" customHeight="1">
      <c r="A227" s="35" t="s">
        <v>262</v>
      </c>
      <c r="C227" s="35" t="s">
        <v>132</v>
      </c>
      <c r="D227" s="44"/>
      <c r="E227" s="53">
        <f t="shared" ref="E227:E228" si="63">+I227-G227</f>
        <v>2263697</v>
      </c>
      <c r="F227" s="53"/>
      <c r="G227" s="53">
        <v>5589946</v>
      </c>
      <c r="H227" s="53"/>
      <c r="I227" s="53">
        <v>7853643</v>
      </c>
      <c r="J227" s="53"/>
      <c r="K227" s="53">
        <f t="shared" ref="K227:K228" si="64">O227-M227</f>
        <v>3310172</v>
      </c>
      <c r="L227" s="53"/>
      <c r="M227" s="53">
        <v>5860872</v>
      </c>
      <c r="N227" s="53"/>
      <c r="O227" s="53">
        <v>9171044</v>
      </c>
      <c r="P227" s="53"/>
      <c r="Q227" s="53">
        <v>-1740473</v>
      </c>
      <c r="R227" s="53"/>
      <c r="S227" s="53">
        <v>0</v>
      </c>
      <c r="T227" s="53"/>
      <c r="U227" s="53">
        <v>423072</v>
      </c>
      <c r="V227" s="53"/>
      <c r="W227" s="53">
        <f t="shared" ref="W227:W228" si="65">SUM(Q227:U227)</f>
        <v>-1317401</v>
      </c>
      <c r="X227" s="53"/>
      <c r="Y227" s="35" t="s">
        <v>262</v>
      </c>
      <c r="AA227" s="35" t="s">
        <v>132</v>
      </c>
      <c r="AB227" s="35"/>
      <c r="AC227" s="53">
        <v>1842724</v>
      </c>
      <c r="AD227" s="53"/>
      <c r="AE227" s="53">
        <v>3460827</v>
      </c>
      <c r="AF227" s="53"/>
      <c r="AG227" s="53">
        <v>0</v>
      </c>
      <c r="AH227" s="53"/>
      <c r="AI227" s="45">
        <f t="shared" ref="AI227:AI228" si="66">+AC227-AE227-AG227</f>
        <v>-1618103</v>
      </c>
      <c r="AJ227" s="45"/>
      <c r="AK227" s="53">
        <v>342301</v>
      </c>
      <c r="AL227" s="45"/>
      <c r="AM227" s="53">
        <v>63316</v>
      </c>
      <c r="AN227" s="53"/>
      <c r="AO227" s="53">
        <v>0</v>
      </c>
      <c r="AP227" s="53"/>
      <c r="AQ227" s="53">
        <v>0</v>
      </c>
      <c r="AR227" s="53"/>
      <c r="AS227" s="45">
        <f t="shared" ref="AS227:AS228" si="67">+AI227+AK227+AM227-AO227+AQ227</f>
        <v>-1212486</v>
      </c>
      <c r="AT227" s="45"/>
      <c r="AU227" s="53">
        <v>0</v>
      </c>
      <c r="AV227" s="53"/>
      <c r="AW227" s="53">
        <v>0</v>
      </c>
      <c r="AX227" s="53"/>
      <c r="AY227" s="53">
        <f>+E227-K227</f>
        <v>-1046475</v>
      </c>
      <c r="AZ227" s="53"/>
      <c r="BA227" s="35" t="s">
        <v>262</v>
      </c>
      <c r="BC227" s="35" t="s">
        <v>132</v>
      </c>
      <c r="BD227" s="53"/>
      <c r="BE227" s="53">
        <f>3105595+146575</f>
        <v>3252170</v>
      </c>
      <c r="BF227" s="53"/>
      <c r="BG227" s="53">
        <v>0</v>
      </c>
      <c r="BH227" s="53"/>
      <c r="BI227" s="53">
        <f>1202109+844763+107523+65659</f>
        <v>2220054</v>
      </c>
      <c r="BJ227" s="53"/>
      <c r="BK227" s="53">
        <f>66500+641905+30925+29689</f>
        <v>769019</v>
      </c>
      <c r="BL227" s="53"/>
      <c r="BM227" s="53">
        <f t="shared" ref="BM227:BM228" si="68">SUM(BE227:BK227)</f>
        <v>6241243</v>
      </c>
      <c r="BN227" s="54" t="s">
        <v>347</v>
      </c>
      <c r="BO227" s="55" t="s">
        <v>410</v>
      </c>
      <c r="BR227" s="51"/>
      <c r="BS227" s="53"/>
      <c r="BT227" s="53"/>
      <c r="BU227" s="53"/>
      <c r="BV227" s="53"/>
      <c r="BW227" s="53"/>
      <c r="BX227" s="45"/>
      <c r="BY227" s="45"/>
      <c r="BZ227" s="53"/>
      <c r="CA227" s="53"/>
      <c r="CB227" s="53"/>
      <c r="CC227" s="53"/>
      <c r="CD227" s="53"/>
      <c r="CE227" s="53"/>
      <c r="CF227" s="35"/>
      <c r="CH227" s="35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4"/>
    </row>
    <row r="228" spans="1:97" s="55" customFormat="1" ht="12.75" customHeight="1">
      <c r="A228" s="35" t="s">
        <v>263</v>
      </c>
      <c r="B228" s="51"/>
      <c r="C228" s="35" t="s">
        <v>53</v>
      </c>
      <c r="D228" s="44"/>
      <c r="E228" s="53">
        <f t="shared" si="63"/>
        <v>5094250</v>
      </c>
      <c r="F228" s="53"/>
      <c r="G228" s="53">
        <v>28979239</v>
      </c>
      <c r="H228" s="53"/>
      <c r="I228" s="53">
        <v>34073489</v>
      </c>
      <c r="J228" s="53"/>
      <c r="K228" s="53">
        <f t="shared" si="64"/>
        <v>1175028</v>
      </c>
      <c r="L228" s="53"/>
      <c r="M228" s="53">
        <v>20597244</v>
      </c>
      <c r="N228" s="53"/>
      <c r="O228" s="53">
        <v>21772272</v>
      </c>
      <c r="P228" s="53"/>
      <c r="Q228" s="53">
        <v>7652899</v>
      </c>
      <c r="R228" s="53"/>
      <c r="S228" s="53">
        <v>0</v>
      </c>
      <c r="T228" s="53"/>
      <c r="U228" s="53">
        <v>4648318</v>
      </c>
      <c r="V228" s="53"/>
      <c r="W228" s="53">
        <f t="shared" si="65"/>
        <v>12301217</v>
      </c>
      <c r="X228" s="53"/>
      <c r="Y228" s="35" t="s">
        <v>263</v>
      </c>
      <c r="AA228" s="35" t="s">
        <v>53</v>
      </c>
      <c r="AB228" s="35"/>
      <c r="AC228" s="53">
        <v>3319499</v>
      </c>
      <c r="AD228" s="53"/>
      <c r="AE228" s="53">
        <f>3047722-726255</f>
        <v>2321467</v>
      </c>
      <c r="AF228" s="53"/>
      <c r="AG228" s="53">
        <v>726255</v>
      </c>
      <c r="AH228" s="53"/>
      <c r="AI228" s="45">
        <f t="shared" si="66"/>
        <v>271777</v>
      </c>
      <c r="AJ228" s="45"/>
      <c r="AK228" s="53">
        <v>-642560</v>
      </c>
      <c r="AL228" s="45"/>
      <c r="AM228" s="53">
        <v>0</v>
      </c>
      <c r="AN228" s="53"/>
      <c r="AO228" s="53">
        <v>0</v>
      </c>
      <c r="AP228" s="53"/>
      <c r="AQ228" s="53">
        <v>428629</v>
      </c>
      <c r="AR228" s="53"/>
      <c r="AS228" s="45">
        <f t="shared" si="67"/>
        <v>57846</v>
      </c>
      <c r="AT228" s="45"/>
      <c r="AU228" s="53">
        <v>0</v>
      </c>
      <c r="AV228" s="53"/>
      <c r="AW228" s="53">
        <v>0</v>
      </c>
      <c r="AX228" s="53"/>
      <c r="AY228" s="53">
        <f t="shared" ref="AY228" si="69">+E228-K228</f>
        <v>3919222</v>
      </c>
      <c r="AZ228" s="53"/>
      <c r="BA228" s="35" t="s">
        <v>263</v>
      </c>
      <c r="BC228" s="35" t="s">
        <v>53</v>
      </c>
      <c r="BD228" s="53"/>
      <c r="BE228" s="53">
        <v>0</v>
      </c>
      <c r="BF228" s="53"/>
      <c r="BG228" s="53">
        <v>0</v>
      </c>
      <c r="BH228" s="53"/>
      <c r="BI228" s="53">
        <f>20429683+896657</f>
        <v>21326340</v>
      </c>
      <c r="BJ228" s="53"/>
      <c r="BK228" s="53">
        <f>167561+28406</f>
        <v>195967</v>
      </c>
      <c r="BL228" s="53"/>
      <c r="BM228" s="53">
        <f t="shared" si="68"/>
        <v>21522307</v>
      </c>
      <c r="BN228" s="54" t="s">
        <v>347</v>
      </c>
      <c r="BR228" s="51"/>
      <c r="BS228" s="53"/>
      <c r="BT228" s="53"/>
      <c r="BU228" s="53"/>
      <c r="BV228" s="53"/>
      <c r="BW228" s="53"/>
      <c r="BX228" s="45"/>
      <c r="BY228" s="45"/>
      <c r="BZ228" s="53"/>
      <c r="CA228" s="53"/>
      <c r="CB228" s="53"/>
      <c r="CC228" s="53"/>
      <c r="CD228" s="53"/>
      <c r="CE228" s="53"/>
      <c r="CF228" s="35"/>
      <c r="CH228" s="35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4"/>
    </row>
    <row r="229" spans="1:97" s="55" customFormat="1" ht="12.75" customHeight="1">
      <c r="A229" s="35" t="s">
        <v>264</v>
      </c>
      <c r="B229" s="51"/>
      <c r="C229" s="35" t="s">
        <v>239</v>
      </c>
      <c r="D229" s="44"/>
      <c r="E229" s="53">
        <f t="shared" si="55"/>
        <v>851115</v>
      </c>
      <c r="F229" s="53"/>
      <c r="G229" s="53">
        <v>15624436</v>
      </c>
      <c r="H229" s="53"/>
      <c r="I229" s="53">
        <v>16475551</v>
      </c>
      <c r="J229" s="53"/>
      <c r="K229" s="53">
        <f t="shared" si="57"/>
        <v>623766</v>
      </c>
      <c r="L229" s="53"/>
      <c r="M229" s="53">
        <v>9902347</v>
      </c>
      <c r="N229" s="53"/>
      <c r="O229" s="53">
        <v>10526113</v>
      </c>
      <c r="P229" s="53"/>
      <c r="Q229" s="53">
        <v>4906180</v>
      </c>
      <c r="R229" s="53"/>
      <c r="S229" s="53">
        <f>46829+1094399</f>
        <v>1141228</v>
      </c>
      <c r="T229" s="53"/>
      <c r="U229" s="53">
        <v>-97970</v>
      </c>
      <c r="V229" s="53"/>
      <c r="W229" s="53">
        <f t="shared" si="62"/>
        <v>5949438</v>
      </c>
      <c r="X229" s="53"/>
      <c r="Y229" s="35" t="s">
        <v>264</v>
      </c>
      <c r="AA229" s="35" t="s">
        <v>239</v>
      </c>
      <c r="AB229" s="35"/>
      <c r="AC229" s="53">
        <v>1803104</v>
      </c>
      <c r="AD229" s="53"/>
      <c r="AE229" s="53">
        <f>2403526-466717</f>
        <v>1936809</v>
      </c>
      <c r="AF229" s="53"/>
      <c r="AG229" s="53">
        <v>466717</v>
      </c>
      <c r="AH229" s="53"/>
      <c r="AI229" s="45">
        <f t="shared" si="58"/>
        <v>-600422</v>
      </c>
      <c r="AJ229" s="45"/>
      <c r="AK229" s="53">
        <v>-523688</v>
      </c>
      <c r="AL229" s="45"/>
      <c r="AM229" s="53">
        <v>81382</v>
      </c>
      <c r="AN229" s="53"/>
      <c r="AO229" s="53">
        <v>33190</v>
      </c>
      <c r="AP229" s="53"/>
      <c r="AQ229" s="53">
        <v>85080</v>
      </c>
      <c r="AR229" s="53"/>
      <c r="AS229" s="45">
        <f t="shared" si="56"/>
        <v>-990838</v>
      </c>
      <c r="AT229" s="45"/>
      <c r="AU229" s="53">
        <v>0</v>
      </c>
      <c r="AV229" s="53"/>
      <c r="AW229" s="53">
        <v>0</v>
      </c>
      <c r="AX229" s="53"/>
      <c r="AY229" s="53">
        <f t="shared" si="59"/>
        <v>227349</v>
      </c>
      <c r="AZ229" s="53"/>
      <c r="BA229" s="35" t="s">
        <v>264</v>
      </c>
      <c r="BC229" s="35" t="s">
        <v>239</v>
      </c>
      <c r="BD229" s="53"/>
      <c r="BE229" s="53">
        <v>0</v>
      </c>
      <c r="BF229" s="53"/>
      <c r="BG229" s="53">
        <f>8940000+375000</f>
        <v>9315000</v>
      </c>
      <c r="BH229" s="53"/>
      <c r="BI229" s="53">
        <f>65886+799824+15014+83545</f>
        <v>964269</v>
      </c>
      <c r="BJ229" s="53"/>
      <c r="BK229" s="53">
        <f>6250+90387+2500+21630</f>
        <v>120767</v>
      </c>
      <c r="BL229" s="53"/>
      <c r="BM229" s="53">
        <f t="shared" si="61"/>
        <v>10400036</v>
      </c>
      <c r="BN229" s="54" t="s">
        <v>347</v>
      </c>
      <c r="BR229" s="51"/>
      <c r="BS229" s="53"/>
      <c r="BT229" s="53"/>
      <c r="BU229" s="53"/>
      <c r="BV229" s="53"/>
      <c r="BW229" s="53"/>
      <c r="BX229" s="45"/>
      <c r="BY229" s="45"/>
      <c r="BZ229" s="53"/>
      <c r="CA229" s="53"/>
      <c r="CB229" s="53"/>
      <c r="CC229" s="53"/>
      <c r="CD229" s="53"/>
      <c r="CE229" s="53"/>
      <c r="CF229" s="35"/>
      <c r="CH229" s="35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4"/>
    </row>
    <row r="230" spans="1:97" s="55" customFormat="1" ht="12.75" customHeight="1">
      <c r="A230" s="35" t="s">
        <v>111</v>
      </c>
      <c r="B230" s="51"/>
      <c r="C230" s="44" t="s">
        <v>80</v>
      </c>
      <c r="D230" s="44"/>
      <c r="E230" s="53">
        <f t="shared" si="55"/>
        <v>2666161</v>
      </c>
      <c r="F230" s="53"/>
      <c r="G230" s="53">
        <v>16032565</v>
      </c>
      <c r="H230" s="53"/>
      <c r="I230" s="53">
        <v>18698726</v>
      </c>
      <c r="J230" s="53"/>
      <c r="K230" s="53">
        <f t="shared" si="57"/>
        <v>2525124</v>
      </c>
      <c r="L230" s="53"/>
      <c r="M230" s="53">
        <v>11858783</v>
      </c>
      <c r="N230" s="53"/>
      <c r="O230" s="53">
        <v>14383907</v>
      </c>
      <c r="P230" s="53"/>
      <c r="Q230" s="53">
        <v>2458337</v>
      </c>
      <c r="R230" s="53"/>
      <c r="S230" s="53">
        <v>0</v>
      </c>
      <c r="T230" s="53"/>
      <c r="U230" s="53">
        <v>1856482</v>
      </c>
      <c r="V230" s="53"/>
      <c r="W230" s="53">
        <f t="shared" si="62"/>
        <v>4314819</v>
      </c>
      <c r="X230" s="53"/>
      <c r="Y230" s="35" t="s">
        <v>111</v>
      </c>
      <c r="AA230" s="44" t="s">
        <v>80</v>
      </c>
      <c r="AB230" s="44"/>
      <c r="AC230" s="53">
        <v>7442702</v>
      </c>
      <c r="AD230" s="53"/>
      <c r="AE230" s="53">
        <f>6703247-725045</f>
        <v>5978202</v>
      </c>
      <c r="AF230" s="53"/>
      <c r="AG230" s="53">
        <v>725045</v>
      </c>
      <c r="AH230" s="53"/>
      <c r="AI230" s="45">
        <f t="shared" si="58"/>
        <v>739455</v>
      </c>
      <c r="AJ230" s="45"/>
      <c r="AK230" s="53">
        <v>-639244</v>
      </c>
      <c r="AL230" s="45"/>
      <c r="AM230" s="53">
        <v>0</v>
      </c>
      <c r="AN230" s="53"/>
      <c r="AO230" s="53">
        <v>0</v>
      </c>
      <c r="AP230" s="53"/>
      <c r="AQ230" s="53">
        <v>0</v>
      </c>
      <c r="AR230" s="53"/>
      <c r="AS230" s="45">
        <f t="shared" si="56"/>
        <v>100211</v>
      </c>
      <c r="AT230" s="45"/>
      <c r="AU230" s="53">
        <v>0</v>
      </c>
      <c r="AV230" s="53"/>
      <c r="AW230" s="53">
        <v>0</v>
      </c>
      <c r="AX230" s="53"/>
      <c r="AY230" s="53">
        <f t="shared" si="59"/>
        <v>141037</v>
      </c>
      <c r="AZ230" s="53"/>
      <c r="BA230" s="35" t="s">
        <v>111</v>
      </c>
      <c r="BC230" s="44" t="s">
        <v>80</v>
      </c>
      <c r="BD230" s="53"/>
      <c r="BE230" s="53">
        <f>1577460+518500</f>
        <v>2095960</v>
      </c>
      <c r="BF230" s="53"/>
      <c r="BG230" s="53">
        <v>0</v>
      </c>
      <c r="BH230" s="53"/>
      <c r="BI230" s="53">
        <f>9927038+1469678</f>
        <v>11396716</v>
      </c>
      <c r="BJ230" s="53"/>
      <c r="BK230" s="53">
        <f>20520+333765+25790+159950</f>
        <v>540025</v>
      </c>
      <c r="BL230" s="53"/>
      <c r="BM230" s="53">
        <f t="shared" si="61"/>
        <v>14032701</v>
      </c>
      <c r="BN230" s="54" t="s">
        <v>347</v>
      </c>
      <c r="BR230" s="51"/>
      <c r="BS230" s="53"/>
      <c r="BT230" s="53"/>
      <c r="BU230" s="53"/>
      <c r="BV230" s="53"/>
      <c r="BW230" s="53"/>
      <c r="BX230" s="45"/>
      <c r="BY230" s="45"/>
      <c r="BZ230" s="53"/>
      <c r="CA230" s="53"/>
      <c r="CB230" s="53"/>
      <c r="CC230" s="53"/>
      <c r="CD230" s="53"/>
      <c r="CE230" s="53"/>
      <c r="CF230" s="35"/>
      <c r="CH230" s="35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4"/>
    </row>
    <row r="231" spans="1:97" s="140" customFormat="1" ht="12.75" hidden="1" customHeight="1">
      <c r="A231" s="126" t="s">
        <v>265</v>
      </c>
      <c r="B231" s="124"/>
      <c r="C231" s="121" t="s">
        <v>27</v>
      </c>
      <c r="D231" s="121"/>
      <c r="E231" s="53">
        <f t="shared" si="55"/>
        <v>0</v>
      </c>
      <c r="F231" s="53"/>
      <c r="G231" s="53">
        <v>0</v>
      </c>
      <c r="H231" s="53"/>
      <c r="I231" s="53">
        <v>0</v>
      </c>
      <c r="J231" s="53"/>
      <c r="K231" s="53">
        <f t="shared" si="57"/>
        <v>0</v>
      </c>
      <c r="L231" s="53"/>
      <c r="M231" s="53">
        <v>0</v>
      </c>
      <c r="N231" s="53"/>
      <c r="O231" s="53">
        <v>0</v>
      </c>
      <c r="P231" s="53"/>
      <c r="Q231" s="53">
        <v>0</v>
      </c>
      <c r="R231" s="53"/>
      <c r="S231" s="53">
        <v>0</v>
      </c>
      <c r="T231" s="53"/>
      <c r="U231" s="53">
        <v>0</v>
      </c>
      <c r="V231" s="53"/>
      <c r="W231" s="53">
        <f t="shared" si="62"/>
        <v>0</v>
      </c>
      <c r="X231" s="137"/>
      <c r="Y231" s="126" t="s">
        <v>265</v>
      </c>
      <c r="AA231" s="121" t="s">
        <v>27</v>
      </c>
      <c r="AB231" s="121"/>
      <c r="AC231" s="53">
        <v>0</v>
      </c>
      <c r="AD231" s="53"/>
      <c r="AE231" s="53">
        <v>0</v>
      </c>
      <c r="AF231" s="53"/>
      <c r="AG231" s="53">
        <v>0</v>
      </c>
      <c r="AH231" s="53"/>
      <c r="AI231" s="45">
        <f t="shared" si="58"/>
        <v>0</v>
      </c>
      <c r="AJ231" s="45"/>
      <c r="AK231" s="53">
        <v>0</v>
      </c>
      <c r="AL231" s="45"/>
      <c r="AM231" s="53">
        <v>0</v>
      </c>
      <c r="AN231" s="53"/>
      <c r="AO231" s="53">
        <v>0</v>
      </c>
      <c r="AP231" s="53"/>
      <c r="AQ231" s="53">
        <v>0</v>
      </c>
      <c r="AR231" s="53"/>
      <c r="AS231" s="45">
        <f t="shared" si="56"/>
        <v>0</v>
      </c>
      <c r="AT231" s="45"/>
      <c r="AU231" s="53">
        <v>0</v>
      </c>
      <c r="AV231" s="53"/>
      <c r="AW231" s="53">
        <v>0</v>
      </c>
      <c r="AX231" s="53"/>
      <c r="AY231" s="53">
        <f t="shared" si="59"/>
        <v>0</v>
      </c>
      <c r="AZ231" s="53"/>
      <c r="BA231" s="126" t="s">
        <v>265</v>
      </c>
      <c r="BC231" s="121" t="s">
        <v>27</v>
      </c>
      <c r="BD231" s="137"/>
      <c r="BE231" s="137"/>
      <c r="BF231" s="137"/>
      <c r="BG231" s="53">
        <v>0</v>
      </c>
      <c r="BH231" s="53"/>
      <c r="BI231" s="53">
        <v>0</v>
      </c>
      <c r="BJ231" s="53"/>
      <c r="BK231" s="53">
        <v>0</v>
      </c>
      <c r="BL231" s="137"/>
      <c r="BM231" s="137">
        <f t="shared" si="61"/>
        <v>0</v>
      </c>
      <c r="BN231" s="139" t="s">
        <v>347</v>
      </c>
      <c r="BR231" s="124"/>
      <c r="BS231" s="137"/>
      <c r="BT231" s="137"/>
      <c r="BU231" s="137"/>
      <c r="BV231" s="137"/>
      <c r="BW231" s="137"/>
      <c r="BX231" s="127"/>
      <c r="BY231" s="127"/>
      <c r="BZ231" s="137"/>
      <c r="CA231" s="137"/>
      <c r="CB231" s="137"/>
      <c r="CC231" s="137"/>
      <c r="CD231" s="137"/>
      <c r="CE231" s="137"/>
      <c r="CF231" s="126"/>
      <c r="CH231" s="126"/>
      <c r="CI231" s="137"/>
      <c r="CJ231" s="137"/>
      <c r="CK231" s="137"/>
      <c r="CL231" s="137"/>
      <c r="CM231" s="137"/>
      <c r="CN231" s="137"/>
      <c r="CO231" s="137"/>
      <c r="CP231" s="137"/>
      <c r="CQ231" s="137"/>
      <c r="CR231" s="137"/>
      <c r="CS231" s="139"/>
    </row>
    <row r="232" spans="1:97" s="55" customFormat="1" ht="12.75" customHeight="1">
      <c r="A232" s="35" t="s">
        <v>40</v>
      </c>
      <c r="B232" s="51"/>
      <c r="C232" s="47" t="s">
        <v>451</v>
      </c>
      <c r="D232" s="44"/>
      <c r="E232" s="53">
        <f t="shared" si="55"/>
        <v>794838</v>
      </c>
      <c r="F232" s="53"/>
      <c r="G232" s="53">
        <v>20717702</v>
      </c>
      <c r="H232" s="53"/>
      <c r="I232" s="53">
        <v>21512540</v>
      </c>
      <c r="J232" s="53"/>
      <c r="K232" s="53">
        <f t="shared" si="57"/>
        <v>902347</v>
      </c>
      <c r="L232" s="53"/>
      <c r="M232" s="53">
        <v>4484139</v>
      </c>
      <c r="N232" s="53"/>
      <c r="O232" s="53">
        <v>5386486</v>
      </c>
      <c r="P232" s="53"/>
      <c r="Q232" s="53">
        <v>15914235</v>
      </c>
      <c r="R232" s="53"/>
      <c r="S232" s="53">
        <v>0</v>
      </c>
      <c r="T232" s="53"/>
      <c r="U232" s="53">
        <v>211819</v>
      </c>
      <c r="V232" s="53"/>
      <c r="W232" s="53">
        <f t="shared" si="62"/>
        <v>16126054</v>
      </c>
      <c r="X232" s="53"/>
      <c r="Y232" s="35" t="s">
        <v>40</v>
      </c>
      <c r="AA232" s="47" t="s">
        <v>451</v>
      </c>
      <c r="AB232" s="35"/>
      <c r="AC232" s="53">
        <v>2563761</v>
      </c>
      <c r="AD232" s="53"/>
      <c r="AE232" s="53">
        <f>2649635-382790</f>
        <v>2266845</v>
      </c>
      <c r="AF232" s="53"/>
      <c r="AG232" s="53">
        <v>382790</v>
      </c>
      <c r="AH232" s="53"/>
      <c r="AI232" s="45">
        <f t="shared" si="58"/>
        <v>-85874</v>
      </c>
      <c r="AJ232" s="45"/>
      <c r="AK232" s="53">
        <v>-116787</v>
      </c>
      <c r="AL232" s="45"/>
      <c r="AM232" s="53">
        <v>0</v>
      </c>
      <c r="AN232" s="53"/>
      <c r="AO232" s="53">
        <v>0</v>
      </c>
      <c r="AP232" s="53"/>
      <c r="AQ232" s="53">
        <v>0</v>
      </c>
      <c r="AR232" s="53"/>
      <c r="AS232" s="45">
        <f t="shared" si="56"/>
        <v>-202661</v>
      </c>
      <c r="AT232" s="45"/>
      <c r="AU232" s="53">
        <v>0</v>
      </c>
      <c r="AV232" s="53"/>
      <c r="AW232" s="53">
        <v>0</v>
      </c>
      <c r="AX232" s="53"/>
      <c r="AY232" s="53">
        <f t="shared" si="59"/>
        <v>-107509</v>
      </c>
      <c r="AZ232" s="53"/>
      <c r="BA232" s="35" t="s">
        <v>40</v>
      </c>
      <c r="BC232" s="47" t="s">
        <v>451</v>
      </c>
      <c r="BD232" s="53"/>
      <c r="BE232" s="53">
        <v>0</v>
      </c>
      <c r="BF232" s="53"/>
      <c r="BG232" s="53">
        <v>0</v>
      </c>
      <c r="BH232" s="53"/>
      <c r="BI232" s="53">
        <f>4341533+325851</f>
        <v>4667384</v>
      </c>
      <c r="BJ232" s="53"/>
      <c r="BK232" s="53">
        <f>49641+92945+26583+43118</f>
        <v>212287</v>
      </c>
      <c r="BL232" s="53"/>
      <c r="BM232" s="53">
        <f t="shared" si="61"/>
        <v>4879671</v>
      </c>
      <c r="BN232" s="54" t="s">
        <v>347</v>
      </c>
      <c r="BR232" s="51"/>
      <c r="BS232" s="53"/>
      <c r="BT232" s="53"/>
      <c r="BU232" s="53"/>
      <c r="BV232" s="53"/>
      <c r="BW232" s="53"/>
      <c r="BX232" s="45"/>
      <c r="BY232" s="45"/>
      <c r="BZ232" s="53"/>
      <c r="CA232" s="53"/>
      <c r="CB232" s="53"/>
      <c r="CC232" s="53"/>
      <c r="CD232" s="53"/>
      <c r="CE232" s="53"/>
      <c r="CF232" s="35"/>
      <c r="CH232" s="44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4"/>
    </row>
    <row r="233" spans="1:97" s="55" customFormat="1" ht="12.75" customHeight="1">
      <c r="A233" s="35" t="s">
        <v>266</v>
      </c>
      <c r="B233" s="51"/>
      <c r="C233" s="35" t="s">
        <v>267</v>
      </c>
      <c r="D233" s="44"/>
      <c r="E233" s="53">
        <f t="shared" si="55"/>
        <v>2396588</v>
      </c>
      <c r="F233" s="53"/>
      <c r="G233" s="53">
        <v>5240073</v>
      </c>
      <c r="H233" s="53"/>
      <c r="I233" s="53">
        <v>7636661</v>
      </c>
      <c r="J233" s="53"/>
      <c r="K233" s="53">
        <f t="shared" si="57"/>
        <v>43740</v>
      </c>
      <c r="L233" s="53"/>
      <c r="M233" s="53">
        <v>11723</v>
      </c>
      <c r="N233" s="53"/>
      <c r="O233" s="53">
        <v>55463</v>
      </c>
      <c r="P233" s="53"/>
      <c r="Q233" s="53">
        <v>5240073</v>
      </c>
      <c r="R233" s="53"/>
      <c r="S233" s="53">
        <v>0</v>
      </c>
      <c r="T233" s="53"/>
      <c r="U233" s="53">
        <v>2341125</v>
      </c>
      <c r="V233" s="53"/>
      <c r="W233" s="53">
        <f t="shared" si="62"/>
        <v>7581198</v>
      </c>
      <c r="X233" s="53"/>
      <c r="Y233" s="35" t="s">
        <v>266</v>
      </c>
      <c r="AA233" s="35" t="s">
        <v>267</v>
      </c>
      <c r="AB233" s="35"/>
      <c r="AC233" s="53">
        <v>766603</v>
      </c>
      <c r="AD233" s="53"/>
      <c r="AE233" s="53">
        <f>996535-233461</f>
        <v>763074</v>
      </c>
      <c r="AF233" s="53"/>
      <c r="AG233" s="53">
        <v>233461</v>
      </c>
      <c r="AH233" s="53"/>
      <c r="AI233" s="45">
        <f t="shared" si="58"/>
        <v>-229932</v>
      </c>
      <c r="AJ233" s="45"/>
      <c r="AK233" s="53">
        <v>25893</v>
      </c>
      <c r="AL233" s="45"/>
      <c r="AM233" s="53">
        <v>0</v>
      </c>
      <c r="AN233" s="53"/>
      <c r="AO233" s="53">
        <v>0</v>
      </c>
      <c r="AP233" s="53"/>
      <c r="AQ233" s="53">
        <v>697239</v>
      </c>
      <c r="AR233" s="53"/>
      <c r="AS233" s="45">
        <f t="shared" si="56"/>
        <v>493200</v>
      </c>
      <c r="AT233" s="45"/>
      <c r="AU233" s="53">
        <v>0</v>
      </c>
      <c r="AV233" s="53"/>
      <c r="AW233" s="53">
        <v>0</v>
      </c>
      <c r="AX233" s="53"/>
      <c r="AY233" s="53">
        <f t="shared" si="59"/>
        <v>2352848</v>
      </c>
      <c r="AZ233" s="53"/>
      <c r="BA233" s="35" t="s">
        <v>266</v>
      </c>
      <c r="BC233" s="35" t="s">
        <v>267</v>
      </c>
      <c r="BD233" s="53"/>
      <c r="BE233" s="53">
        <v>0</v>
      </c>
      <c r="BF233" s="53"/>
      <c r="BG233" s="53">
        <v>0</v>
      </c>
      <c r="BH233" s="53"/>
      <c r="BI233" s="53">
        <v>0</v>
      </c>
      <c r="BJ233" s="53"/>
      <c r="BK233" s="53">
        <f>11723+11637</f>
        <v>23360</v>
      </c>
      <c r="BL233" s="53"/>
      <c r="BM233" s="53">
        <f t="shared" si="61"/>
        <v>23360</v>
      </c>
      <c r="BN233" s="54" t="s">
        <v>347</v>
      </c>
      <c r="BO233" s="55" t="s">
        <v>404</v>
      </c>
      <c r="BR233" s="51"/>
      <c r="BS233" s="53"/>
      <c r="BT233" s="53"/>
      <c r="BU233" s="53"/>
      <c r="BV233" s="53"/>
      <c r="BW233" s="53"/>
      <c r="BX233" s="45"/>
      <c r="BY233" s="45"/>
      <c r="BZ233" s="53"/>
      <c r="CA233" s="53"/>
      <c r="CB233" s="53"/>
      <c r="CC233" s="53"/>
      <c r="CD233" s="53"/>
      <c r="CE233" s="53"/>
      <c r="CF233" s="35"/>
      <c r="CH233" s="35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4"/>
    </row>
    <row r="234" spans="1:97" s="55" customFormat="1" ht="12.75" customHeight="1">
      <c r="A234" s="35" t="s">
        <v>268</v>
      </c>
      <c r="B234" s="51"/>
      <c r="C234" s="35" t="s">
        <v>269</v>
      </c>
      <c r="D234" s="44"/>
      <c r="E234" s="53">
        <f t="shared" si="55"/>
        <v>205377</v>
      </c>
      <c r="F234" s="53"/>
      <c r="G234" s="53">
        <v>4380690</v>
      </c>
      <c r="H234" s="53"/>
      <c r="I234" s="53">
        <v>4586067</v>
      </c>
      <c r="J234" s="53"/>
      <c r="K234" s="53">
        <f t="shared" si="57"/>
        <v>350474</v>
      </c>
      <c r="L234" s="53"/>
      <c r="M234" s="53">
        <v>2830756</v>
      </c>
      <c r="N234" s="53"/>
      <c r="O234" s="53">
        <v>3181230</v>
      </c>
      <c r="P234" s="53"/>
      <c r="Q234" s="53">
        <v>1237533</v>
      </c>
      <c r="R234" s="53"/>
      <c r="S234" s="53">
        <v>0</v>
      </c>
      <c r="T234" s="53"/>
      <c r="U234" s="53">
        <v>167304</v>
      </c>
      <c r="V234" s="53"/>
      <c r="W234" s="53">
        <f t="shared" si="62"/>
        <v>1404837</v>
      </c>
      <c r="X234" s="53"/>
      <c r="Y234" s="35" t="s">
        <v>268</v>
      </c>
      <c r="AA234" s="35" t="s">
        <v>269</v>
      </c>
      <c r="AB234" s="35"/>
      <c r="AC234" s="53">
        <v>771727</v>
      </c>
      <c r="AD234" s="53"/>
      <c r="AE234" s="53">
        <f>655678-129291</f>
        <v>526387</v>
      </c>
      <c r="AF234" s="53"/>
      <c r="AG234" s="53">
        <v>129291</v>
      </c>
      <c r="AH234" s="53"/>
      <c r="AI234" s="45">
        <f t="shared" si="58"/>
        <v>116049</v>
      </c>
      <c r="AJ234" s="45"/>
      <c r="AK234" s="53">
        <v>43747</v>
      </c>
      <c r="AL234" s="45"/>
      <c r="AM234" s="53">
        <v>0</v>
      </c>
      <c r="AN234" s="53"/>
      <c r="AO234" s="53">
        <v>0</v>
      </c>
      <c r="AP234" s="53"/>
      <c r="AQ234" s="53">
        <v>0</v>
      </c>
      <c r="AR234" s="53"/>
      <c r="AS234" s="45">
        <f t="shared" si="56"/>
        <v>159796</v>
      </c>
      <c r="AT234" s="45"/>
      <c r="AU234" s="53">
        <v>0</v>
      </c>
      <c r="AV234" s="53"/>
      <c r="AW234" s="53">
        <v>0</v>
      </c>
      <c r="AX234" s="53"/>
      <c r="AY234" s="53">
        <f t="shared" si="59"/>
        <v>-145097</v>
      </c>
      <c r="AZ234" s="53"/>
      <c r="BA234" s="35" t="s">
        <v>268</v>
      </c>
      <c r="BC234" s="35" t="s">
        <v>269</v>
      </c>
      <c r="BD234" s="53"/>
      <c r="BE234" s="53">
        <v>0</v>
      </c>
      <c r="BF234" s="53"/>
      <c r="BG234" s="53">
        <v>0</v>
      </c>
      <c r="BH234" s="53"/>
      <c r="BI234" s="53">
        <f>2805798+13474+184562+1925</f>
        <v>3005759</v>
      </c>
      <c r="BJ234" s="53"/>
      <c r="BK234" s="53">
        <v>11484</v>
      </c>
      <c r="BL234" s="53"/>
      <c r="BM234" s="53">
        <f t="shared" si="61"/>
        <v>3017243</v>
      </c>
      <c r="BN234" s="54" t="s">
        <v>347</v>
      </c>
      <c r="BR234" s="51"/>
      <c r="BS234" s="53"/>
      <c r="BT234" s="53"/>
      <c r="BU234" s="53"/>
      <c r="BV234" s="53"/>
      <c r="BW234" s="53"/>
      <c r="BX234" s="45"/>
      <c r="BY234" s="45"/>
      <c r="BZ234" s="53"/>
      <c r="CA234" s="53"/>
      <c r="CB234" s="53"/>
      <c r="CC234" s="53"/>
      <c r="CD234" s="53"/>
      <c r="CE234" s="53"/>
      <c r="CF234" s="35"/>
      <c r="CH234" s="35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4"/>
    </row>
    <row r="235" spans="1:97" s="55" customFormat="1" ht="12.75" customHeight="1">
      <c r="A235" s="35" t="s">
        <v>270</v>
      </c>
      <c r="B235" s="51"/>
      <c r="C235" s="35" t="s">
        <v>136</v>
      </c>
      <c r="D235" s="44"/>
      <c r="E235" s="53">
        <f t="shared" si="55"/>
        <v>437871</v>
      </c>
      <c r="F235" s="53"/>
      <c r="G235" s="53">
        <v>7084366</v>
      </c>
      <c r="H235" s="53"/>
      <c r="I235" s="53">
        <v>7522237</v>
      </c>
      <c r="J235" s="53"/>
      <c r="K235" s="53">
        <f t="shared" si="57"/>
        <v>380315</v>
      </c>
      <c r="L235" s="53"/>
      <c r="M235" s="53">
        <v>3006278</v>
      </c>
      <c r="N235" s="53"/>
      <c r="O235" s="53">
        <v>3386593</v>
      </c>
      <c r="P235" s="53"/>
      <c r="Q235" s="53">
        <v>2891053</v>
      </c>
      <c r="R235" s="53"/>
      <c r="S235" s="53">
        <v>0</v>
      </c>
      <c r="T235" s="53"/>
      <c r="U235" s="53">
        <v>244591</v>
      </c>
      <c r="V235" s="53"/>
      <c r="W235" s="53">
        <f t="shared" si="62"/>
        <v>3135644</v>
      </c>
      <c r="X235" s="53"/>
      <c r="Y235" s="35" t="s">
        <v>270</v>
      </c>
      <c r="AA235" s="35" t="s">
        <v>136</v>
      </c>
      <c r="AB235" s="35"/>
      <c r="AC235" s="53">
        <v>1262705</v>
      </c>
      <c r="AD235" s="53"/>
      <c r="AE235" s="53">
        <f>982595-264831</f>
        <v>717764</v>
      </c>
      <c r="AF235" s="53"/>
      <c r="AG235" s="53">
        <v>264831</v>
      </c>
      <c r="AH235" s="53"/>
      <c r="AI235" s="45">
        <f t="shared" si="58"/>
        <v>280110</v>
      </c>
      <c r="AJ235" s="45"/>
      <c r="AK235" s="53">
        <v>-133725</v>
      </c>
      <c r="AL235" s="45"/>
      <c r="AM235" s="53">
        <v>0</v>
      </c>
      <c r="AN235" s="53"/>
      <c r="AO235" s="53">
        <v>0</v>
      </c>
      <c r="AP235" s="53"/>
      <c r="AQ235" s="53">
        <v>0</v>
      </c>
      <c r="AR235" s="53"/>
      <c r="AS235" s="45">
        <f t="shared" si="56"/>
        <v>146385</v>
      </c>
      <c r="AT235" s="45"/>
      <c r="AU235" s="53">
        <v>0</v>
      </c>
      <c r="AV235" s="53"/>
      <c r="AW235" s="53">
        <v>0</v>
      </c>
      <c r="AX235" s="53"/>
      <c r="AY235" s="53">
        <f t="shared" si="59"/>
        <v>57556</v>
      </c>
      <c r="AZ235" s="53"/>
      <c r="BA235" s="35" t="s">
        <v>270</v>
      </c>
      <c r="BC235" s="35" t="s">
        <v>136</v>
      </c>
      <c r="BD235" s="53"/>
      <c r="BE235" s="53"/>
      <c r="BF235" s="53"/>
      <c r="BG235" s="53">
        <f>2167000+53000</f>
        <v>2220000</v>
      </c>
      <c r="BH235" s="53"/>
      <c r="BI235" s="53">
        <f>28804+810474+4548+129487</f>
        <v>973313</v>
      </c>
      <c r="BJ235" s="53"/>
      <c r="BK235" s="53">
        <v>0</v>
      </c>
      <c r="BL235" s="53"/>
      <c r="BM235" s="53">
        <f>SUM(BE235:BK235)</f>
        <v>3193313</v>
      </c>
      <c r="BN235" s="54" t="s">
        <v>347</v>
      </c>
      <c r="BR235" s="51"/>
      <c r="BS235" s="53"/>
      <c r="BT235" s="53"/>
      <c r="BU235" s="53"/>
      <c r="BV235" s="53"/>
      <c r="BW235" s="53"/>
      <c r="BX235" s="45"/>
      <c r="BY235" s="45"/>
      <c r="BZ235" s="53"/>
      <c r="CA235" s="53"/>
      <c r="CB235" s="53"/>
      <c r="CC235" s="53"/>
      <c r="CD235" s="53"/>
      <c r="CE235" s="53"/>
      <c r="CF235" s="35"/>
      <c r="CH235" s="35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4"/>
    </row>
    <row r="236" spans="1:97" s="55" customFormat="1" ht="12.75" customHeight="1">
      <c r="A236" s="35" t="s">
        <v>271</v>
      </c>
      <c r="B236" s="51"/>
      <c r="C236" s="35" t="s">
        <v>66</v>
      </c>
      <c r="D236" s="44"/>
      <c r="E236" s="53">
        <f t="shared" si="55"/>
        <v>-199302</v>
      </c>
      <c r="F236" s="53"/>
      <c r="G236" s="53">
        <f>24000+336048</f>
        <v>360048</v>
      </c>
      <c r="H236" s="53"/>
      <c r="I236" s="53">
        <v>160746</v>
      </c>
      <c r="J236" s="53"/>
      <c r="K236" s="53">
        <f t="shared" si="57"/>
        <v>45519</v>
      </c>
      <c r="L236" s="53"/>
      <c r="M236" s="53">
        <v>85164</v>
      </c>
      <c r="N236" s="53"/>
      <c r="O236" s="53">
        <v>130683</v>
      </c>
      <c r="P236" s="53"/>
      <c r="Q236" s="53">
        <v>360048</v>
      </c>
      <c r="R236" s="53"/>
      <c r="S236" s="53">
        <v>0</v>
      </c>
      <c r="T236" s="53"/>
      <c r="U236" s="53">
        <v>1116715</v>
      </c>
      <c r="V236" s="53"/>
      <c r="W236" s="53">
        <f t="shared" si="62"/>
        <v>1476763</v>
      </c>
      <c r="X236" s="53"/>
      <c r="Y236" s="35" t="s">
        <v>271</v>
      </c>
      <c r="AA236" s="35" t="s">
        <v>66</v>
      </c>
      <c r="AB236" s="35"/>
      <c r="AC236" s="53">
        <v>1376033</v>
      </c>
      <c r="AD236" s="53"/>
      <c r="AE236" s="53">
        <f>1169942-59479</f>
        <v>1110463</v>
      </c>
      <c r="AF236" s="53"/>
      <c r="AG236" s="53">
        <v>59479</v>
      </c>
      <c r="AH236" s="53"/>
      <c r="AI236" s="45">
        <f t="shared" si="58"/>
        <v>206091</v>
      </c>
      <c r="AJ236" s="45"/>
      <c r="AK236" s="53">
        <v>13151</v>
      </c>
      <c r="AL236" s="45"/>
      <c r="AM236" s="53">
        <v>0</v>
      </c>
      <c r="AN236" s="53"/>
      <c r="AO236" s="53">
        <v>0</v>
      </c>
      <c r="AP236" s="53"/>
      <c r="AQ236" s="53">
        <v>0</v>
      </c>
      <c r="AR236" s="53"/>
      <c r="AS236" s="45">
        <f t="shared" si="56"/>
        <v>219242</v>
      </c>
      <c r="AT236" s="45"/>
      <c r="AU236" s="53">
        <v>0</v>
      </c>
      <c r="AV236" s="53"/>
      <c r="AW236" s="53">
        <v>0</v>
      </c>
      <c r="AX236" s="53"/>
      <c r="AY236" s="53">
        <f t="shared" si="59"/>
        <v>-244821</v>
      </c>
      <c r="AZ236" s="53"/>
      <c r="BA236" s="35" t="s">
        <v>271</v>
      </c>
      <c r="BC236" s="35" t="s">
        <v>66</v>
      </c>
      <c r="BD236" s="53"/>
      <c r="BE236" s="53">
        <v>0</v>
      </c>
      <c r="BF236" s="53"/>
      <c r="BG236" s="53">
        <v>0</v>
      </c>
      <c r="BH236" s="53"/>
      <c r="BI236" s="53">
        <v>0</v>
      </c>
      <c r="BJ236" s="53"/>
      <c r="BK236" s="53">
        <f>85164+10213</f>
        <v>95377</v>
      </c>
      <c r="BL236" s="53"/>
      <c r="BM236" s="53">
        <f t="shared" si="61"/>
        <v>95377</v>
      </c>
      <c r="BN236" s="54" t="s">
        <v>347</v>
      </c>
      <c r="BO236" s="55" t="s">
        <v>405</v>
      </c>
      <c r="BR236" s="51"/>
      <c r="BS236" s="53"/>
      <c r="BT236" s="53"/>
      <c r="BU236" s="53"/>
      <c r="BV236" s="53"/>
      <c r="BW236" s="53"/>
      <c r="BX236" s="45"/>
      <c r="BY236" s="45"/>
      <c r="BZ236" s="53"/>
      <c r="CA236" s="53"/>
      <c r="CB236" s="53"/>
      <c r="CC236" s="53"/>
      <c r="CD236" s="53"/>
      <c r="CE236" s="53"/>
      <c r="CF236" s="35"/>
      <c r="CH236" s="35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4"/>
    </row>
    <row r="237" spans="1:97" s="55" customFormat="1" ht="12.75" customHeight="1">
      <c r="A237" s="64" t="s">
        <v>272</v>
      </c>
      <c r="B237" s="90"/>
      <c r="C237" s="64" t="s">
        <v>43</v>
      </c>
      <c r="D237" s="46"/>
      <c r="E237" s="53">
        <f t="shared" si="55"/>
        <v>5563877</v>
      </c>
      <c r="F237" s="53"/>
      <c r="G237" s="53">
        <v>15095531</v>
      </c>
      <c r="H237" s="53"/>
      <c r="I237" s="53">
        <v>20659408</v>
      </c>
      <c r="J237" s="53"/>
      <c r="K237" s="53">
        <f t="shared" si="57"/>
        <v>1679361</v>
      </c>
      <c r="L237" s="53"/>
      <c r="M237" s="53">
        <v>1298620</v>
      </c>
      <c r="N237" s="53"/>
      <c r="O237" s="53">
        <v>2977981</v>
      </c>
      <c r="P237" s="53"/>
      <c r="Q237" s="53">
        <v>13504413</v>
      </c>
      <c r="R237" s="53"/>
      <c r="S237" s="53">
        <v>0</v>
      </c>
      <c r="T237" s="53"/>
      <c r="U237" s="53">
        <v>4177014</v>
      </c>
      <c r="V237" s="53"/>
      <c r="W237" s="53">
        <f t="shared" si="62"/>
        <v>17681427</v>
      </c>
      <c r="X237" s="79"/>
      <c r="Y237" s="64" t="s">
        <v>272</v>
      </c>
      <c r="Z237" s="90"/>
      <c r="AA237" s="64" t="s">
        <v>43</v>
      </c>
      <c r="AB237" s="64"/>
      <c r="AC237" s="53">
        <v>7007899</v>
      </c>
      <c r="AD237" s="53"/>
      <c r="AE237" s="53">
        <f>7447637-420271</f>
        <v>7027366</v>
      </c>
      <c r="AF237" s="53"/>
      <c r="AG237" s="53">
        <v>420271</v>
      </c>
      <c r="AH237" s="53"/>
      <c r="AI237" s="45">
        <f t="shared" si="58"/>
        <v>-439738</v>
      </c>
      <c r="AJ237" s="45"/>
      <c r="AK237" s="53">
        <v>32691</v>
      </c>
      <c r="AL237" s="45"/>
      <c r="AM237" s="53">
        <v>28854</v>
      </c>
      <c r="AN237" s="53"/>
      <c r="AO237" s="53">
        <v>0</v>
      </c>
      <c r="AP237" s="53"/>
      <c r="AQ237" s="53">
        <v>0</v>
      </c>
      <c r="AR237" s="53"/>
      <c r="AS237" s="45">
        <f t="shared" si="56"/>
        <v>-378193</v>
      </c>
      <c r="AT237" s="45"/>
      <c r="AU237" s="53">
        <v>0</v>
      </c>
      <c r="AV237" s="53"/>
      <c r="AW237" s="53">
        <v>0</v>
      </c>
      <c r="AX237" s="53"/>
      <c r="AY237" s="53">
        <f t="shared" si="59"/>
        <v>3884516</v>
      </c>
      <c r="AZ237" s="53"/>
      <c r="BA237" s="64" t="s">
        <v>272</v>
      </c>
      <c r="BB237" s="90"/>
      <c r="BC237" s="64" t="s">
        <v>43</v>
      </c>
      <c r="BD237" s="79"/>
      <c r="BE237" s="53">
        <f>1272476+49410</f>
        <v>1321886</v>
      </c>
      <c r="BF237" s="53"/>
      <c r="BG237" s="53">
        <v>0</v>
      </c>
      <c r="BH237" s="53"/>
      <c r="BI237" s="53">
        <v>0</v>
      </c>
      <c r="BJ237" s="53"/>
      <c r="BK237" s="53">
        <f>26144+32224</f>
        <v>58368</v>
      </c>
      <c r="BL237" s="53"/>
      <c r="BM237" s="53">
        <f t="shared" si="61"/>
        <v>1380254</v>
      </c>
      <c r="BN237" s="54" t="s">
        <v>347</v>
      </c>
      <c r="BR237" s="51"/>
      <c r="BS237" s="53"/>
      <c r="BT237" s="53"/>
      <c r="BU237" s="53"/>
      <c r="BV237" s="53"/>
      <c r="BW237" s="53"/>
      <c r="BX237" s="45"/>
      <c r="BY237" s="45"/>
      <c r="BZ237" s="53"/>
      <c r="CA237" s="53"/>
      <c r="CB237" s="53"/>
      <c r="CC237" s="53"/>
      <c r="CD237" s="53"/>
      <c r="CE237" s="53"/>
      <c r="CF237" s="35"/>
      <c r="CH237" s="35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4"/>
    </row>
    <row r="238" spans="1:97" s="55" customFormat="1" ht="12.75" customHeight="1">
      <c r="A238" s="35" t="s">
        <v>273</v>
      </c>
      <c r="B238" s="51"/>
      <c r="C238" s="35" t="s">
        <v>27</v>
      </c>
      <c r="D238" s="44"/>
      <c r="E238" s="53">
        <f t="shared" si="55"/>
        <v>9225606</v>
      </c>
      <c r="F238" s="53"/>
      <c r="G238" s="53">
        <v>38528968</v>
      </c>
      <c r="H238" s="53"/>
      <c r="I238" s="53">
        <v>47754574</v>
      </c>
      <c r="J238" s="53"/>
      <c r="K238" s="53">
        <f t="shared" si="57"/>
        <v>372540</v>
      </c>
      <c r="L238" s="53"/>
      <c r="M238" s="53">
        <v>0</v>
      </c>
      <c r="N238" s="53"/>
      <c r="O238" s="53">
        <v>372540</v>
      </c>
      <c r="P238" s="53"/>
      <c r="Q238" s="53">
        <v>28828123</v>
      </c>
      <c r="R238" s="53"/>
      <c r="S238" s="53">
        <v>0</v>
      </c>
      <c r="T238" s="53"/>
      <c r="U238" s="53">
        <v>18553911</v>
      </c>
      <c r="V238" s="53"/>
      <c r="W238" s="53">
        <f t="shared" si="62"/>
        <v>47382034</v>
      </c>
      <c r="X238" s="53"/>
      <c r="Y238" s="35" t="s">
        <v>273</v>
      </c>
      <c r="AA238" s="35" t="s">
        <v>27</v>
      </c>
      <c r="AB238" s="35"/>
      <c r="AC238" s="53">
        <v>1705477</v>
      </c>
      <c r="AD238" s="53"/>
      <c r="AE238" s="53">
        <f>3227375-1047684</f>
        <v>2179691</v>
      </c>
      <c r="AF238" s="53"/>
      <c r="AG238" s="53">
        <v>1047684</v>
      </c>
      <c r="AH238" s="53"/>
      <c r="AI238" s="45">
        <f t="shared" si="58"/>
        <v>-1521898</v>
      </c>
      <c r="AJ238" s="45"/>
      <c r="AK238" s="53">
        <v>-119799</v>
      </c>
      <c r="AL238" s="45"/>
      <c r="AM238" s="53">
        <v>0</v>
      </c>
      <c r="AN238" s="53"/>
      <c r="AO238" s="53">
        <v>0</v>
      </c>
      <c r="AP238" s="53"/>
      <c r="AQ238" s="53">
        <v>0</v>
      </c>
      <c r="AR238" s="53"/>
      <c r="AS238" s="45">
        <f t="shared" si="56"/>
        <v>-1641697</v>
      </c>
      <c r="AT238" s="45"/>
      <c r="AU238" s="53">
        <v>0</v>
      </c>
      <c r="AV238" s="53"/>
      <c r="AW238" s="53">
        <v>0</v>
      </c>
      <c r="AX238" s="53"/>
      <c r="AY238" s="53">
        <f t="shared" si="59"/>
        <v>8853066</v>
      </c>
      <c r="AZ238" s="53"/>
      <c r="BA238" s="35" t="s">
        <v>273</v>
      </c>
      <c r="BC238" s="35" t="s">
        <v>27</v>
      </c>
      <c r="BD238" s="53"/>
      <c r="BE238" s="53">
        <v>0</v>
      </c>
      <c r="BF238" s="53"/>
      <c r="BG238" s="53">
        <v>0</v>
      </c>
      <c r="BH238" s="53"/>
      <c r="BI238" s="53">
        <v>0</v>
      </c>
      <c r="BJ238" s="53"/>
      <c r="BK238" s="53">
        <v>0</v>
      </c>
      <c r="BL238" s="53"/>
      <c r="BM238" s="53">
        <f t="shared" si="61"/>
        <v>0</v>
      </c>
      <c r="BN238" s="54" t="s">
        <v>347</v>
      </c>
      <c r="BR238" s="51"/>
      <c r="BS238" s="53"/>
      <c r="BT238" s="53"/>
      <c r="BU238" s="53"/>
      <c r="BV238" s="53"/>
      <c r="BW238" s="53"/>
      <c r="BX238" s="45"/>
      <c r="BY238" s="45"/>
      <c r="BZ238" s="53"/>
      <c r="CA238" s="53"/>
      <c r="CB238" s="53"/>
      <c r="CC238" s="53"/>
      <c r="CD238" s="53"/>
      <c r="CE238" s="53"/>
      <c r="CF238" s="35"/>
      <c r="CH238" s="35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4"/>
    </row>
    <row r="239" spans="1:97" s="55" customFormat="1" ht="12.75" customHeight="1">
      <c r="A239" s="35" t="s">
        <v>275</v>
      </c>
      <c r="B239" s="51"/>
      <c r="C239" s="35" t="s">
        <v>92</v>
      </c>
      <c r="D239" s="44"/>
      <c r="E239" s="53">
        <f t="shared" si="55"/>
        <v>1238286</v>
      </c>
      <c r="F239" s="53"/>
      <c r="G239" s="53">
        <v>4030291</v>
      </c>
      <c r="H239" s="53"/>
      <c r="I239" s="53">
        <v>5268577</v>
      </c>
      <c r="J239" s="53"/>
      <c r="K239" s="53">
        <f t="shared" si="57"/>
        <v>0</v>
      </c>
      <c r="L239" s="53"/>
      <c r="M239" s="53">
        <v>0</v>
      </c>
      <c r="N239" s="53"/>
      <c r="O239" s="53">
        <v>0</v>
      </c>
      <c r="P239" s="53"/>
      <c r="Q239" s="53">
        <v>4371349</v>
      </c>
      <c r="R239" s="53"/>
      <c r="S239" s="53">
        <v>0</v>
      </c>
      <c r="T239" s="53"/>
      <c r="U239" s="53">
        <v>897228</v>
      </c>
      <c r="V239" s="53"/>
      <c r="W239" s="53">
        <f t="shared" si="62"/>
        <v>5268577</v>
      </c>
      <c r="X239" s="53"/>
      <c r="Y239" s="35" t="s">
        <v>275</v>
      </c>
      <c r="AA239" s="35" t="s">
        <v>92</v>
      </c>
      <c r="AB239" s="35"/>
      <c r="AC239" s="53">
        <v>1684148</v>
      </c>
      <c r="AD239" s="53"/>
      <c r="AE239" s="53">
        <v>1280743</v>
      </c>
      <c r="AF239" s="53"/>
      <c r="AG239" s="53">
        <v>170529</v>
      </c>
      <c r="AH239" s="53"/>
      <c r="AI239" s="45">
        <f t="shared" si="58"/>
        <v>232876</v>
      </c>
      <c r="AJ239" s="45"/>
      <c r="AK239" s="53">
        <v>0</v>
      </c>
      <c r="AL239" s="45"/>
      <c r="AM239" s="53">
        <v>0</v>
      </c>
      <c r="AN239" s="53"/>
      <c r="AO239" s="53">
        <v>0</v>
      </c>
      <c r="AP239" s="53"/>
      <c r="AQ239" s="53">
        <v>0</v>
      </c>
      <c r="AR239" s="53"/>
      <c r="AS239" s="45">
        <f t="shared" si="56"/>
        <v>232876</v>
      </c>
      <c r="AT239" s="45"/>
      <c r="AU239" s="53">
        <v>0</v>
      </c>
      <c r="AV239" s="53"/>
      <c r="AW239" s="53">
        <v>0</v>
      </c>
      <c r="AX239" s="53"/>
      <c r="AY239" s="53">
        <f t="shared" si="59"/>
        <v>1238286</v>
      </c>
      <c r="AZ239" s="53"/>
      <c r="BA239" s="35" t="s">
        <v>275</v>
      </c>
      <c r="BC239" s="35" t="s">
        <v>92</v>
      </c>
      <c r="BD239" s="53"/>
      <c r="BE239" s="53">
        <v>0</v>
      </c>
      <c r="BF239" s="53"/>
      <c r="BG239" s="53">
        <v>0</v>
      </c>
      <c r="BH239" s="53"/>
      <c r="BI239" s="53">
        <v>0</v>
      </c>
      <c r="BJ239" s="53"/>
      <c r="BK239" s="53">
        <v>0</v>
      </c>
      <c r="BL239" s="53"/>
      <c r="BM239" s="53">
        <f t="shared" si="61"/>
        <v>0</v>
      </c>
      <c r="BN239" s="54" t="s">
        <v>347</v>
      </c>
      <c r="BO239" s="55" t="s">
        <v>404</v>
      </c>
      <c r="BR239" s="51"/>
      <c r="BS239" s="53"/>
      <c r="BT239" s="53"/>
      <c r="BU239" s="53"/>
      <c r="BV239" s="53"/>
      <c r="BW239" s="53"/>
      <c r="BX239" s="45"/>
      <c r="BY239" s="45"/>
      <c r="BZ239" s="53"/>
      <c r="CA239" s="53"/>
      <c r="CB239" s="53"/>
      <c r="CC239" s="53"/>
      <c r="CD239" s="53"/>
      <c r="CE239" s="53"/>
      <c r="CF239" s="35"/>
      <c r="CH239" s="35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4"/>
    </row>
    <row r="240" spans="1:97" s="55" customFormat="1" ht="12.75" customHeight="1">
      <c r="A240" s="35" t="s">
        <v>276</v>
      </c>
      <c r="B240" s="51"/>
      <c r="C240" s="35" t="s">
        <v>38</v>
      </c>
      <c r="D240" s="44"/>
      <c r="E240" s="53">
        <f t="shared" si="55"/>
        <v>2195574</v>
      </c>
      <c r="F240" s="53"/>
      <c r="G240" s="53">
        <v>5932952</v>
      </c>
      <c r="H240" s="53"/>
      <c r="I240" s="53">
        <v>8128526</v>
      </c>
      <c r="J240" s="53"/>
      <c r="K240" s="53">
        <f t="shared" si="57"/>
        <v>223045</v>
      </c>
      <c r="L240" s="53"/>
      <c r="M240" s="53">
        <v>455322</v>
      </c>
      <c r="N240" s="53"/>
      <c r="O240" s="53">
        <v>678367</v>
      </c>
      <c r="P240" s="53"/>
      <c r="Q240" s="53">
        <v>5435872</v>
      </c>
      <c r="R240" s="53"/>
      <c r="S240" s="53">
        <v>0</v>
      </c>
      <c r="T240" s="53"/>
      <c r="U240" s="53">
        <v>2014287</v>
      </c>
      <c r="V240" s="53"/>
      <c r="W240" s="53">
        <f t="shared" si="62"/>
        <v>7450159</v>
      </c>
      <c r="X240" s="53"/>
      <c r="Y240" s="35" t="s">
        <v>276</v>
      </c>
      <c r="AA240" s="35" t="s">
        <v>38</v>
      </c>
      <c r="AB240" s="35"/>
      <c r="AC240" s="53">
        <v>1421728</v>
      </c>
      <c r="AD240" s="53"/>
      <c r="AE240" s="53">
        <f>1372336-235756</f>
        <v>1136580</v>
      </c>
      <c r="AF240" s="53"/>
      <c r="AG240" s="53">
        <v>235756</v>
      </c>
      <c r="AH240" s="53"/>
      <c r="AI240" s="45">
        <f t="shared" si="58"/>
        <v>49392</v>
      </c>
      <c r="AJ240" s="45"/>
      <c r="AK240" s="53">
        <v>8164</v>
      </c>
      <c r="AL240" s="45"/>
      <c r="AM240" s="53">
        <v>0</v>
      </c>
      <c r="AN240" s="53"/>
      <c r="AO240" s="53">
        <v>0</v>
      </c>
      <c r="AP240" s="53"/>
      <c r="AQ240" s="53">
        <v>0</v>
      </c>
      <c r="AR240" s="53"/>
      <c r="AS240" s="45">
        <f t="shared" si="56"/>
        <v>57556</v>
      </c>
      <c r="AT240" s="45"/>
      <c r="AU240" s="53">
        <v>0</v>
      </c>
      <c r="AV240" s="53"/>
      <c r="AW240" s="53">
        <v>0</v>
      </c>
      <c r="AX240" s="53"/>
      <c r="AY240" s="53">
        <f t="shared" si="59"/>
        <v>1972529</v>
      </c>
      <c r="AZ240" s="53"/>
      <c r="BA240" s="35" t="s">
        <v>276</v>
      </c>
      <c r="BC240" s="35" t="s">
        <v>38</v>
      </c>
      <c r="BD240" s="53"/>
      <c r="BE240" s="53">
        <f>45000+40000</f>
        <v>85000</v>
      </c>
      <c r="BF240" s="53"/>
      <c r="BG240" s="53">
        <v>0</v>
      </c>
      <c r="BH240" s="53"/>
      <c r="BI240" s="53">
        <f>248092+129576+23489+10823</f>
        <v>411980</v>
      </c>
      <c r="BJ240" s="53"/>
      <c r="BK240" s="53">
        <f>35654+42638</f>
        <v>78292</v>
      </c>
      <c r="BL240" s="53"/>
      <c r="BM240" s="53">
        <f t="shared" si="61"/>
        <v>575272</v>
      </c>
      <c r="BN240" s="54" t="s">
        <v>347</v>
      </c>
      <c r="BO240" s="55" t="s">
        <v>404</v>
      </c>
      <c r="BR240" s="51"/>
      <c r="BS240" s="53"/>
      <c r="BT240" s="53"/>
      <c r="BU240" s="53"/>
      <c r="BV240" s="53"/>
      <c r="BW240" s="53"/>
      <c r="BX240" s="45"/>
      <c r="BY240" s="45"/>
      <c r="BZ240" s="53"/>
      <c r="CA240" s="53"/>
      <c r="CB240" s="53"/>
      <c r="CC240" s="53"/>
      <c r="CD240" s="53"/>
      <c r="CE240" s="53"/>
      <c r="CF240" s="35"/>
      <c r="CH240" s="35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4"/>
    </row>
    <row r="241" spans="1:97" s="55" customFormat="1" ht="12.75" customHeight="1">
      <c r="A241" s="35" t="s">
        <v>277</v>
      </c>
      <c r="B241" s="51"/>
      <c r="C241" s="35" t="s">
        <v>92</v>
      </c>
      <c r="D241" s="44"/>
      <c r="E241" s="53">
        <f t="shared" ref="E241:E250" si="70">+I241-G241</f>
        <v>2979638</v>
      </c>
      <c r="F241" s="53"/>
      <c r="G241" s="53">
        <v>32119028</v>
      </c>
      <c r="H241" s="53"/>
      <c r="I241" s="53">
        <v>35098666</v>
      </c>
      <c r="J241" s="53"/>
      <c r="K241" s="53">
        <f t="shared" si="57"/>
        <v>3028283</v>
      </c>
      <c r="L241" s="53"/>
      <c r="M241" s="53">
        <v>6485681</v>
      </c>
      <c r="N241" s="53"/>
      <c r="O241" s="53">
        <v>9513964</v>
      </c>
      <c r="P241" s="53"/>
      <c r="Q241" s="53">
        <v>23361199</v>
      </c>
      <c r="R241" s="53"/>
      <c r="S241" s="53">
        <v>378651</v>
      </c>
      <c r="T241" s="53"/>
      <c r="U241" s="53">
        <v>1844852</v>
      </c>
      <c r="V241" s="53"/>
      <c r="W241" s="53">
        <f t="shared" si="62"/>
        <v>25584702</v>
      </c>
      <c r="X241" s="53"/>
      <c r="Y241" s="35" t="s">
        <v>277</v>
      </c>
      <c r="AA241" s="35" t="s">
        <v>92</v>
      </c>
      <c r="AB241" s="35"/>
      <c r="AC241" s="53">
        <v>4424581</v>
      </c>
      <c r="AD241" s="53"/>
      <c r="AE241" s="53">
        <f>4943299-1490354</f>
        <v>3452945</v>
      </c>
      <c r="AF241" s="53"/>
      <c r="AG241" s="53">
        <v>1490354</v>
      </c>
      <c r="AH241" s="53"/>
      <c r="AI241" s="45">
        <f t="shared" si="58"/>
        <v>-518718</v>
      </c>
      <c r="AJ241" s="45"/>
      <c r="AK241" s="53">
        <v>-210068</v>
      </c>
      <c r="AL241" s="45"/>
      <c r="AM241" s="53">
        <v>61476</v>
      </c>
      <c r="AN241" s="53"/>
      <c r="AO241" s="53">
        <v>0</v>
      </c>
      <c r="AP241" s="53"/>
      <c r="AQ241" s="53">
        <v>453353</v>
      </c>
      <c r="AR241" s="53"/>
      <c r="AS241" s="45">
        <f t="shared" si="56"/>
        <v>-213957</v>
      </c>
      <c r="AT241" s="45"/>
      <c r="AU241" s="53">
        <v>0</v>
      </c>
      <c r="AV241" s="53"/>
      <c r="AW241" s="53">
        <v>0</v>
      </c>
      <c r="AX241" s="53"/>
      <c r="AY241" s="53">
        <f t="shared" si="59"/>
        <v>-48645</v>
      </c>
      <c r="AZ241" s="53"/>
      <c r="BA241" s="35" t="s">
        <v>277</v>
      </c>
      <c r="BC241" s="35" t="s">
        <v>92</v>
      </c>
      <c r="BD241" s="53"/>
      <c r="BE241" s="53">
        <f>5979803+485023</f>
        <v>6464826</v>
      </c>
      <c r="BF241" s="53"/>
      <c r="BG241" s="53">
        <v>0</v>
      </c>
      <c r="BH241" s="53"/>
      <c r="BI241" s="53">
        <v>0</v>
      </c>
      <c r="BJ241" s="53"/>
      <c r="BK241" s="53">
        <f>505878+309250</f>
        <v>815128</v>
      </c>
      <c r="BL241" s="53"/>
      <c r="BM241" s="53">
        <f t="shared" si="61"/>
        <v>7279954</v>
      </c>
      <c r="BN241" s="54" t="s">
        <v>347</v>
      </c>
      <c r="BR241" s="51"/>
      <c r="BS241" s="53"/>
      <c r="BT241" s="53"/>
      <c r="BU241" s="53"/>
      <c r="BV241" s="53"/>
      <c r="BW241" s="53"/>
      <c r="BX241" s="45"/>
      <c r="BY241" s="45"/>
      <c r="BZ241" s="53"/>
      <c r="CA241" s="53"/>
      <c r="CB241" s="53"/>
      <c r="CC241" s="53"/>
      <c r="CD241" s="53"/>
      <c r="CE241" s="53"/>
      <c r="CF241" s="35"/>
      <c r="CH241" s="35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4"/>
    </row>
    <row r="242" spans="1:97" s="55" customFormat="1" ht="12.75" customHeight="1">
      <c r="A242" s="35" t="s">
        <v>278</v>
      </c>
      <c r="B242" s="51"/>
      <c r="C242" s="35" t="s">
        <v>92</v>
      </c>
      <c r="D242" s="44"/>
      <c r="E242" s="53">
        <f t="shared" si="70"/>
        <v>1423971</v>
      </c>
      <c r="F242" s="53"/>
      <c r="G242" s="53">
        <v>15956162</v>
      </c>
      <c r="H242" s="53"/>
      <c r="I242" s="53">
        <v>17380133</v>
      </c>
      <c r="J242" s="53"/>
      <c r="K242" s="53">
        <f t="shared" si="57"/>
        <v>404608</v>
      </c>
      <c r="L242" s="53"/>
      <c r="M242" s="53">
        <v>11842742</v>
      </c>
      <c r="N242" s="53"/>
      <c r="O242" s="53">
        <v>12247350</v>
      </c>
      <c r="P242" s="53"/>
      <c r="Q242" s="53">
        <v>3849420</v>
      </c>
      <c r="R242" s="53"/>
      <c r="S242" s="53">
        <v>0</v>
      </c>
      <c r="T242" s="53"/>
      <c r="U242" s="53">
        <v>1283363</v>
      </c>
      <c r="V242" s="53"/>
      <c r="W242" s="53">
        <f t="shared" si="62"/>
        <v>5132783</v>
      </c>
      <c r="X242" s="53"/>
      <c r="Y242" s="35" t="s">
        <v>278</v>
      </c>
      <c r="AA242" s="35" t="s">
        <v>92</v>
      </c>
      <c r="AB242" s="35"/>
      <c r="AC242" s="53">
        <v>878731</v>
      </c>
      <c r="AD242" s="53"/>
      <c r="AE242" s="53">
        <f>771717-118934</f>
        <v>652783</v>
      </c>
      <c r="AF242" s="53"/>
      <c r="AG242" s="53">
        <v>118934</v>
      </c>
      <c r="AH242" s="53"/>
      <c r="AI242" s="45">
        <f t="shared" si="58"/>
        <v>107014</v>
      </c>
      <c r="AJ242" s="45"/>
      <c r="AK242" s="53">
        <v>1811998</v>
      </c>
      <c r="AL242" s="45"/>
      <c r="AM242" s="53">
        <v>20900</v>
      </c>
      <c r="AN242" s="53"/>
      <c r="AO242" s="53">
        <v>3000</v>
      </c>
      <c r="AP242" s="53"/>
      <c r="AQ242" s="53">
        <v>0</v>
      </c>
      <c r="AR242" s="53"/>
      <c r="AS242" s="45">
        <f t="shared" si="56"/>
        <v>1936912</v>
      </c>
      <c r="AT242" s="45"/>
      <c r="AU242" s="53">
        <v>0</v>
      </c>
      <c r="AV242" s="53"/>
      <c r="AW242" s="53">
        <v>0</v>
      </c>
      <c r="AX242" s="53"/>
      <c r="AY242" s="53">
        <f t="shared" si="59"/>
        <v>1019363</v>
      </c>
      <c r="AZ242" s="53"/>
      <c r="BA242" s="35" t="s">
        <v>278</v>
      </c>
      <c r="BC242" s="35" t="s">
        <v>92</v>
      </c>
      <c r="BD242" s="53"/>
      <c r="BE242" s="53">
        <v>0</v>
      </c>
      <c r="BF242" s="53"/>
      <c r="BG242" s="53">
        <v>0</v>
      </c>
      <c r="BH242" s="53"/>
      <c r="BI242" s="53">
        <f>11143486+592925+175702+56175</f>
        <v>11968288</v>
      </c>
      <c r="BJ242" s="53"/>
      <c r="BK242" s="53">
        <f>106331+32123</f>
        <v>138454</v>
      </c>
      <c r="BL242" s="53"/>
      <c r="BM242" s="53">
        <f t="shared" si="61"/>
        <v>12106742</v>
      </c>
      <c r="BN242" s="54" t="s">
        <v>347</v>
      </c>
      <c r="BR242" s="51"/>
      <c r="BS242" s="53"/>
      <c r="BT242" s="53"/>
      <c r="BU242" s="53"/>
      <c r="BV242" s="53"/>
      <c r="BW242" s="53"/>
      <c r="BX242" s="45"/>
      <c r="BY242" s="45"/>
      <c r="BZ242" s="53"/>
      <c r="CA242" s="53"/>
      <c r="CB242" s="53"/>
      <c r="CC242" s="53"/>
      <c r="CD242" s="53"/>
      <c r="CE242" s="53"/>
      <c r="CF242" s="35"/>
      <c r="CH242" s="35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4"/>
    </row>
    <row r="243" spans="1:97" s="55" customFormat="1" ht="12.75" customHeight="1">
      <c r="A243" s="35" t="s">
        <v>279</v>
      </c>
      <c r="B243" s="51"/>
      <c r="C243" s="35" t="s">
        <v>92</v>
      </c>
      <c r="D243" s="44"/>
      <c r="E243" s="53">
        <f t="shared" si="70"/>
        <v>939033</v>
      </c>
      <c r="F243" s="53"/>
      <c r="G243" s="53">
        <v>5744300</v>
      </c>
      <c r="H243" s="53"/>
      <c r="I243" s="53">
        <v>6683333</v>
      </c>
      <c r="J243" s="53"/>
      <c r="K243" s="53">
        <f t="shared" si="57"/>
        <v>701502</v>
      </c>
      <c r="L243" s="53"/>
      <c r="M243" s="53">
        <v>633372</v>
      </c>
      <c r="N243" s="53"/>
      <c r="O243" s="53">
        <v>1334874</v>
      </c>
      <c r="P243" s="53"/>
      <c r="Q243" s="53">
        <v>5094300</v>
      </c>
      <c r="R243" s="53"/>
      <c r="S243" s="53">
        <v>0</v>
      </c>
      <c r="T243" s="53"/>
      <c r="U243" s="53">
        <v>254159</v>
      </c>
      <c r="V243" s="53"/>
      <c r="W243" s="53">
        <f t="shared" si="62"/>
        <v>5348459</v>
      </c>
      <c r="X243" s="53"/>
      <c r="Y243" s="35" t="s">
        <v>279</v>
      </c>
      <c r="AA243" s="35" t="s">
        <v>92</v>
      </c>
      <c r="AB243" s="35"/>
      <c r="AC243" s="53">
        <v>1880464</v>
      </c>
      <c r="AD243" s="53"/>
      <c r="AE243" s="53">
        <f>1846043-153199</f>
        <v>1692844</v>
      </c>
      <c r="AF243" s="53"/>
      <c r="AG243" s="53">
        <v>153199</v>
      </c>
      <c r="AH243" s="53"/>
      <c r="AI243" s="45">
        <f t="shared" si="58"/>
        <v>34421</v>
      </c>
      <c r="AJ243" s="45"/>
      <c r="AK243" s="53">
        <v>197192</v>
      </c>
      <c r="AL243" s="45"/>
      <c r="AM243" s="53">
        <v>0</v>
      </c>
      <c r="AN243" s="53"/>
      <c r="AO243" s="53">
        <v>0</v>
      </c>
      <c r="AP243" s="53"/>
      <c r="AQ243" s="53">
        <v>0</v>
      </c>
      <c r="AR243" s="53"/>
      <c r="AS243" s="45">
        <f t="shared" si="56"/>
        <v>231613</v>
      </c>
      <c r="AT243" s="45"/>
      <c r="AU243" s="53">
        <v>0</v>
      </c>
      <c r="AV243" s="53"/>
      <c r="AW243" s="53">
        <v>0</v>
      </c>
      <c r="AX243" s="53"/>
      <c r="AY243" s="53">
        <f t="shared" si="59"/>
        <v>237531</v>
      </c>
      <c r="AZ243" s="53"/>
      <c r="BA243" s="35" t="s">
        <v>279</v>
      </c>
      <c r="BC243" s="35" t="s">
        <v>92</v>
      </c>
      <c r="BD243" s="53"/>
      <c r="BE243" s="53">
        <v>0</v>
      </c>
      <c r="BF243" s="53"/>
      <c r="BG243" s="53">
        <v>0</v>
      </c>
      <c r="BH243" s="53"/>
      <c r="BI243" s="53">
        <v>0</v>
      </c>
      <c r="BJ243" s="53"/>
      <c r="BK243" s="53">
        <f>633372+20000+34263</f>
        <v>687635</v>
      </c>
      <c r="BL243" s="53"/>
      <c r="BM243" s="53">
        <f t="shared" si="61"/>
        <v>687635</v>
      </c>
      <c r="BN243" s="54" t="s">
        <v>347</v>
      </c>
      <c r="BO243" s="55" t="s">
        <v>404</v>
      </c>
      <c r="BR243" s="51"/>
      <c r="BS243" s="53"/>
      <c r="BT243" s="53"/>
      <c r="BU243" s="53"/>
      <c r="BV243" s="53"/>
      <c r="BW243" s="53"/>
      <c r="BX243" s="45"/>
      <c r="BY243" s="45"/>
      <c r="BZ243" s="53"/>
      <c r="CA243" s="53"/>
      <c r="CB243" s="53"/>
      <c r="CC243" s="53"/>
      <c r="CD243" s="53"/>
      <c r="CE243" s="53"/>
      <c r="CF243" s="35"/>
      <c r="CH243" s="35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4"/>
    </row>
    <row r="244" spans="1:97" s="55" customFormat="1" ht="12.75" customHeight="1">
      <c r="A244" s="35" t="s">
        <v>280</v>
      </c>
      <c r="B244" s="51"/>
      <c r="C244" s="35" t="s">
        <v>370</v>
      </c>
      <c r="D244" s="44"/>
      <c r="E244" s="53">
        <f t="shared" si="70"/>
        <v>3892732</v>
      </c>
      <c r="F244" s="53"/>
      <c r="G244" s="53">
        <v>11811893</v>
      </c>
      <c r="H244" s="53"/>
      <c r="I244" s="53">
        <v>15704625</v>
      </c>
      <c r="J244" s="53"/>
      <c r="K244" s="53">
        <f t="shared" si="57"/>
        <v>475690</v>
      </c>
      <c r="L244" s="53"/>
      <c r="M244" s="53">
        <v>1885291</v>
      </c>
      <c r="N244" s="53"/>
      <c r="O244" s="53">
        <v>2360981</v>
      </c>
      <c r="P244" s="53"/>
      <c r="Q244" s="53">
        <v>9856893</v>
      </c>
      <c r="R244" s="53"/>
      <c r="S244" s="53">
        <v>779500</v>
      </c>
      <c r="T244" s="53"/>
      <c r="U244" s="53">
        <v>2707251</v>
      </c>
      <c r="V244" s="53"/>
      <c r="W244" s="53">
        <f t="shared" si="62"/>
        <v>13343644</v>
      </c>
      <c r="X244" s="53"/>
      <c r="Y244" s="35" t="s">
        <v>280</v>
      </c>
      <c r="AA244" s="35" t="s">
        <v>370</v>
      </c>
      <c r="AB244" s="35"/>
      <c r="AC244" s="53">
        <v>2524904</v>
      </c>
      <c r="AD244" s="53"/>
      <c r="AE244" s="53">
        <f>3554467-857183</f>
        <v>2697284</v>
      </c>
      <c r="AF244" s="53"/>
      <c r="AG244" s="53">
        <v>857183</v>
      </c>
      <c r="AH244" s="53"/>
      <c r="AI244" s="45">
        <f t="shared" si="58"/>
        <v>-1029563</v>
      </c>
      <c r="AJ244" s="45"/>
      <c r="AK244" s="53">
        <v>-46079</v>
      </c>
      <c r="AL244" s="45"/>
      <c r="AM244" s="53">
        <v>0</v>
      </c>
      <c r="AN244" s="53"/>
      <c r="AO244" s="53">
        <v>0</v>
      </c>
      <c r="AP244" s="53"/>
      <c r="AQ244" s="53">
        <v>0</v>
      </c>
      <c r="AR244" s="53"/>
      <c r="AS244" s="45">
        <f t="shared" si="56"/>
        <v>-1075642</v>
      </c>
      <c r="AT244" s="45"/>
      <c r="AU244" s="53">
        <v>0</v>
      </c>
      <c r="AV244" s="53"/>
      <c r="AW244" s="53">
        <v>0</v>
      </c>
      <c r="AX244" s="53"/>
      <c r="AY244" s="53">
        <f t="shared" si="59"/>
        <v>3417042</v>
      </c>
      <c r="AZ244" s="53"/>
      <c r="BA244" s="35" t="s">
        <v>280</v>
      </c>
      <c r="BC244" s="35" t="s">
        <v>370</v>
      </c>
      <c r="BD244" s="53"/>
      <c r="BE244" s="53">
        <v>0</v>
      </c>
      <c r="BF244" s="53"/>
      <c r="BG244" s="53">
        <f>1780000+175000</f>
        <v>1955000</v>
      </c>
      <c r="BH244" s="53"/>
      <c r="BI244" s="53">
        <v>0</v>
      </c>
      <c r="BJ244" s="53"/>
      <c r="BK244" s="53">
        <f>105291+58135</f>
        <v>163426</v>
      </c>
      <c r="BL244" s="53"/>
      <c r="BM244" s="53">
        <f t="shared" si="61"/>
        <v>2118426</v>
      </c>
      <c r="BN244" s="54" t="s">
        <v>347</v>
      </c>
      <c r="BR244" s="51"/>
      <c r="BS244" s="53"/>
      <c r="BT244" s="53"/>
      <c r="BU244" s="53"/>
      <c r="BV244" s="53"/>
      <c r="BW244" s="45"/>
      <c r="BX244" s="45"/>
      <c r="BY244" s="53"/>
      <c r="BZ244" s="53"/>
      <c r="CA244" s="53"/>
      <c r="CB244" s="53"/>
      <c r="CC244" s="53"/>
      <c r="CD244" s="53"/>
      <c r="CE244" s="53"/>
      <c r="CF244" s="35"/>
      <c r="CH244" s="35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4"/>
    </row>
    <row r="245" spans="1:97" s="140" customFormat="1" ht="12.75" hidden="1" customHeight="1">
      <c r="A245" s="126" t="s">
        <v>282</v>
      </c>
      <c r="B245" s="124"/>
      <c r="C245" s="126" t="s">
        <v>199</v>
      </c>
      <c r="D245" s="121"/>
      <c r="E245" s="53">
        <f t="shared" si="70"/>
        <v>0</v>
      </c>
      <c r="F245" s="53"/>
      <c r="G245" s="53">
        <v>0</v>
      </c>
      <c r="H245" s="53"/>
      <c r="I245" s="53">
        <v>0</v>
      </c>
      <c r="J245" s="53"/>
      <c r="K245" s="53">
        <f t="shared" si="57"/>
        <v>0</v>
      </c>
      <c r="L245" s="53"/>
      <c r="M245" s="53">
        <v>0</v>
      </c>
      <c r="N245" s="53"/>
      <c r="O245" s="53">
        <v>0</v>
      </c>
      <c r="P245" s="53"/>
      <c r="Q245" s="53">
        <v>0</v>
      </c>
      <c r="R245" s="53"/>
      <c r="S245" s="53">
        <v>0</v>
      </c>
      <c r="T245" s="53"/>
      <c r="U245" s="53">
        <v>0</v>
      </c>
      <c r="V245" s="53"/>
      <c r="W245" s="53">
        <f t="shared" si="62"/>
        <v>0</v>
      </c>
      <c r="X245" s="137"/>
      <c r="Y245" s="126" t="s">
        <v>282</v>
      </c>
      <c r="AA245" s="126" t="s">
        <v>199</v>
      </c>
      <c r="AB245" s="126"/>
      <c r="AC245" s="53">
        <v>0</v>
      </c>
      <c r="AD245" s="53"/>
      <c r="AE245" s="53">
        <v>0</v>
      </c>
      <c r="AF245" s="53"/>
      <c r="AG245" s="53">
        <v>0</v>
      </c>
      <c r="AH245" s="53"/>
      <c r="AI245" s="45">
        <f t="shared" si="58"/>
        <v>0</v>
      </c>
      <c r="AJ245" s="45"/>
      <c r="AK245" s="53">
        <v>0</v>
      </c>
      <c r="AL245" s="45"/>
      <c r="AM245" s="53">
        <v>0</v>
      </c>
      <c r="AN245" s="53"/>
      <c r="AO245" s="53">
        <v>0</v>
      </c>
      <c r="AP245" s="53"/>
      <c r="AQ245" s="53">
        <v>0</v>
      </c>
      <c r="AR245" s="53"/>
      <c r="AS245" s="45">
        <f t="shared" si="56"/>
        <v>0</v>
      </c>
      <c r="AT245" s="45"/>
      <c r="AU245" s="53">
        <v>0</v>
      </c>
      <c r="AV245" s="53"/>
      <c r="AW245" s="53">
        <v>0</v>
      </c>
      <c r="AX245" s="53"/>
      <c r="AY245" s="53">
        <f t="shared" si="59"/>
        <v>0</v>
      </c>
      <c r="AZ245" s="53"/>
      <c r="BA245" s="126" t="s">
        <v>282</v>
      </c>
      <c r="BC245" s="126" t="s">
        <v>199</v>
      </c>
      <c r="BD245" s="137"/>
      <c r="BE245" s="137"/>
      <c r="BF245" s="137"/>
      <c r="BG245" s="53">
        <v>0</v>
      </c>
      <c r="BH245" s="53"/>
      <c r="BI245" s="53">
        <v>0</v>
      </c>
      <c r="BJ245" s="53"/>
      <c r="BK245" s="53">
        <v>0</v>
      </c>
      <c r="BL245" s="137"/>
      <c r="BM245" s="137">
        <f t="shared" si="61"/>
        <v>0</v>
      </c>
      <c r="BN245" s="139" t="s">
        <v>347</v>
      </c>
      <c r="BR245" s="124"/>
      <c r="BS245" s="137"/>
      <c r="BT245" s="137"/>
      <c r="BU245" s="137"/>
      <c r="BV245" s="137"/>
      <c r="BW245" s="127"/>
      <c r="BX245" s="127"/>
      <c r="BY245" s="137"/>
      <c r="BZ245" s="137"/>
      <c r="CA245" s="137"/>
      <c r="CB245" s="137"/>
      <c r="CC245" s="137"/>
      <c r="CD245" s="137"/>
      <c r="CE245" s="137"/>
      <c r="CF245" s="126"/>
      <c r="CH245" s="126"/>
      <c r="CI245" s="137"/>
      <c r="CJ245" s="137"/>
      <c r="CK245" s="137"/>
      <c r="CL245" s="137"/>
      <c r="CM245" s="137"/>
      <c r="CN245" s="137"/>
      <c r="CO245" s="137"/>
      <c r="CP245" s="137"/>
      <c r="CQ245" s="137"/>
      <c r="CR245" s="137"/>
      <c r="CS245" s="139"/>
    </row>
    <row r="246" spans="1:97" s="140" customFormat="1" ht="12.75" hidden="1" customHeight="1">
      <c r="A246" s="126" t="s">
        <v>283</v>
      </c>
      <c r="B246" s="124"/>
      <c r="C246" s="126" t="s">
        <v>43</v>
      </c>
      <c r="D246" s="121"/>
      <c r="E246" s="53">
        <f t="shared" si="70"/>
        <v>0</v>
      </c>
      <c r="F246" s="53"/>
      <c r="G246" s="53">
        <v>0</v>
      </c>
      <c r="H246" s="53"/>
      <c r="I246" s="53">
        <v>0</v>
      </c>
      <c r="J246" s="53"/>
      <c r="K246" s="53">
        <f t="shared" si="57"/>
        <v>0</v>
      </c>
      <c r="L246" s="53"/>
      <c r="M246" s="53">
        <v>0</v>
      </c>
      <c r="N246" s="53"/>
      <c r="O246" s="53">
        <v>0</v>
      </c>
      <c r="P246" s="53"/>
      <c r="Q246" s="53">
        <v>0</v>
      </c>
      <c r="R246" s="53"/>
      <c r="S246" s="53">
        <v>0</v>
      </c>
      <c r="T246" s="53"/>
      <c r="U246" s="53">
        <v>0</v>
      </c>
      <c r="V246" s="53"/>
      <c r="W246" s="53">
        <f t="shared" si="62"/>
        <v>0</v>
      </c>
      <c r="X246" s="137"/>
      <c r="Y246" s="126" t="s">
        <v>283</v>
      </c>
      <c r="AA246" s="126" t="s">
        <v>43</v>
      </c>
      <c r="AB246" s="126"/>
      <c r="AC246" s="53">
        <v>0</v>
      </c>
      <c r="AD246" s="53"/>
      <c r="AE246" s="53">
        <v>0</v>
      </c>
      <c r="AF246" s="53"/>
      <c r="AG246" s="53">
        <v>0</v>
      </c>
      <c r="AH246" s="53"/>
      <c r="AI246" s="45">
        <f t="shared" si="58"/>
        <v>0</v>
      </c>
      <c r="AJ246" s="45"/>
      <c r="AK246" s="53">
        <v>0</v>
      </c>
      <c r="AL246" s="45"/>
      <c r="AM246" s="53">
        <v>0</v>
      </c>
      <c r="AN246" s="53"/>
      <c r="AO246" s="53">
        <v>0</v>
      </c>
      <c r="AP246" s="53"/>
      <c r="AQ246" s="53">
        <v>0</v>
      </c>
      <c r="AR246" s="53"/>
      <c r="AS246" s="45">
        <f t="shared" si="56"/>
        <v>0</v>
      </c>
      <c r="AT246" s="45"/>
      <c r="AU246" s="53">
        <v>0</v>
      </c>
      <c r="AV246" s="53"/>
      <c r="AW246" s="53">
        <v>0</v>
      </c>
      <c r="AX246" s="53"/>
      <c r="AY246" s="53">
        <f t="shared" si="59"/>
        <v>0</v>
      </c>
      <c r="AZ246" s="53"/>
      <c r="BA246" s="126" t="s">
        <v>283</v>
      </c>
      <c r="BC246" s="126" t="s">
        <v>43</v>
      </c>
      <c r="BD246" s="137"/>
      <c r="BE246" s="137"/>
      <c r="BF246" s="137"/>
      <c r="BG246" s="53">
        <v>0</v>
      </c>
      <c r="BH246" s="53"/>
      <c r="BI246" s="53">
        <v>0</v>
      </c>
      <c r="BJ246" s="53"/>
      <c r="BK246" s="53">
        <v>0</v>
      </c>
      <c r="BL246" s="137"/>
      <c r="BM246" s="137">
        <f t="shared" si="61"/>
        <v>0</v>
      </c>
      <c r="BN246" s="139" t="s">
        <v>347</v>
      </c>
      <c r="BR246" s="124"/>
      <c r="BS246" s="137"/>
      <c r="BT246" s="137"/>
      <c r="BU246" s="137"/>
      <c r="BV246" s="137"/>
      <c r="BW246" s="137"/>
      <c r="BX246" s="127"/>
      <c r="BY246" s="127"/>
      <c r="BZ246" s="137"/>
      <c r="CA246" s="137"/>
      <c r="CB246" s="137"/>
      <c r="CC246" s="137"/>
      <c r="CD246" s="137"/>
      <c r="CE246" s="137"/>
      <c r="CF246" s="126"/>
      <c r="CH246" s="126"/>
      <c r="CI246" s="137"/>
      <c r="CJ246" s="137"/>
      <c r="CK246" s="137"/>
      <c r="CL246" s="137"/>
      <c r="CM246" s="137"/>
      <c r="CN246" s="137"/>
      <c r="CO246" s="137"/>
      <c r="CP246" s="137"/>
      <c r="CQ246" s="137"/>
      <c r="CR246" s="137"/>
      <c r="CS246" s="139"/>
    </row>
    <row r="247" spans="1:97" s="140" customFormat="1" ht="12.75" hidden="1" customHeight="1">
      <c r="A247" s="126" t="s">
        <v>284</v>
      </c>
      <c r="B247" s="124"/>
      <c r="C247" s="126" t="s">
        <v>45</v>
      </c>
      <c r="D247" s="121"/>
      <c r="E247" s="53">
        <f t="shared" si="70"/>
        <v>0</v>
      </c>
      <c r="F247" s="53"/>
      <c r="G247" s="53">
        <v>0</v>
      </c>
      <c r="H247" s="53"/>
      <c r="I247" s="53">
        <v>0</v>
      </c>
      <c r="J247" s="53"/>
      <c r="K247" s="53">
        <f t="shared" si="57"/>
        <v>0</v>
      </c>
      <c r="L247" s="53"/>
      <c r="M247" s="53">
        <v>0</v>
      </c>
      <c r="N247" s="53"/>
      <c r="O247" s="53">
        <v>0</v>
      </c>
      <c r="P247" s="53"/>
      <c r="Q247" s="53">
        <v>0</v>
      </c>
      <c r="R247" s="53"/>
      <c r="S247" s="53">
        <v>0</v>
      </c>
      <c r="T247" s="53"/>
      <c r="U247" s="53">
        <v>0</v>
      </c>
      <c r="V247" s="53"/>
      <c r="W247" s="53">
        <f t="shared" si="62"/>
        <v>0</v>
      </c>
      <c r="X247" s="137"/>
      <c r="Y247" s="126" t="s">
        <v>284</v>
      </c>
      <c r="AA247" s="126" t="s">
        <v>45</v>
      </c>
      <c r="AB247" s="126"/>
      <c r="AC247" s="53">
        <v>0</v>
      </c>
      <c r="AD247" s="53"/>
      <c r="AE247" s="53">
        <v>0</v>
      </c>
      <c r="AF247" s="53"/>
      <c r="AG247" s="53">
        <v>0</v>
      </c>
      <c r="AH247" s="53"/>
      <c r="AI247" s="45">
        <f t="shared" si="58"/>
        <v>0</v>
      </c>
      <c r="AJ247" s="45"/>
      <c r="AK247" s="53">
        <v>0</v>
      </c>
      <c r="AL247" s="45"/>
      <c r="AM247" s="53">
        <v>0</v>
      </c>
      <c r="AN247" s="53"/>
      <c r="AO247" s="53">
        <v>0</v>
      </c>
      <c r="AP247" s="53"/>
      <c r="AQ247" s="53">
        <v>0</v>
      </c>
      <c r="AR247" s="53"/>
      <c r="AS247" s="45">
        <f t="shared" si="56"/>
        <v>0</v>
      </c>
      <c r="AT247" s="45"/>
      <c r="AU247" s="53">
        <v>0</v>
      </c>
      <c r="AV247" s="53"/>
      <c r="AW247" s="53">
        <v>0</v>
      </c>
      <c r="AX247" s="53"/>
      <c r="AY247" s="53">
        <f t="shared" si="59"/>
        <v>0</v>
      </c>
      <c r="AZ247" s="53"/>
      <c r="BA247" s="126" t="s">
        <v>284</v>
      </c>
      <c r="BC247" s="126" t="s">
        <v>45</v>
      </c>
      <c r="BD247" s="137"/>
      <c r="BE247" s="137"/>
      <c r="BF247" s="137"/>
      <c r="BG247" s="53">
        <v>0</v>
      </c>
      <c r="BH247" s="53"/>
      <c r="BI247" s="53">
        <v>0</v>
      </c>
      <c r="BJ247" s="53"/>
      <c r="BK247" s="53">
        <v>0</v>
      </c>
      <c r="BL247" s="137"/>
      <c r="BM247" s="137">
        <f t="shared" si="61"/>
        <v>0</v>
      </c>
      <c r="BN247" s="139" t="s">
        <v>347</v>
      </c>
      <c r="BR247" s="124"/>
      <c r="BS247" s="137"/>
      <c r="BT247" s="137"/>
      <c r="BU247" s="137"/>
      <c r="BV247" s="137"/>
      <c r="BW247" s="137"/>
      <c r="BX247" s="127"/>
      <c r="BY247" s="127"/>
      <c r="BZ247" s="137"/>
      <c r="CA247" s="137"/>
      <c r="CB247" s="137"/>
      <c r="CC247" s="137"/>
      <c r="CD247" s="137"/>
      <c r="CE247" s="137"/>
      <c r="CF247" s="126"/>
      <c r="CH247" s="126"/>
      <c r="CI247" s="137"/>
      <c r="CJ247" s="137"/>
      <c r="CK247" s="137"/>
      <c r="CL247" s="137"/>
      <c r="CM247" s="137"/>
      <c r="CN247" s="137"/>
      <c r="CO247" s="137"/>
      <c r="CP247" s="137"/>
      <c r="CQ247" s="137"/>
      <c r="CR247" s="137"/>
      <c r="CS247" s="139"/>
    </row>
    <row r="248" spans="1:97" s="55" customFormat="1" ht="12.75" customHeight="1">
      <c r="A248" s="35" t="s">
        <v>285</v>
      </c>
      <c r="B248" s="51"/>
      <c r="C248" s="35" t="s">
        <v>30</v>
      </c>
      <c r="D248" s="44"/>
      <c r="E248" s="53">
        <f t="shared" si="70"/>
        <v>2942761</v>
      </c>
      <c r="F248" s="53"/>
      <c r="G248" s="53">
        <v>13096811</v>
      </c>
      <c r="H248" s="53"/>
      <c r="I248" s="53">
        <v>16039572</v>
      </c>
      <c r="J248" s="53"/>
      <c r="K248" s="53">
        <f t="shared" si="57"/>
        <v>805373</v>
      </c>
      <c r="L248" s="53"/>
      <c r="M248" s="53">
        <v>5265585</v>
      </c>
      <c r="N248" s="53"/>
      <c r="O248" s="53">
        <v>6070958</v>
      </c>
      <c r="P248" s="53"/>
      <c r="Q248" s="53">
        <v>7398402</v>
      </c>
      <c r="R248" s="53"/>
      <c r="S248" s="53">
        <v>0</v>
      </c>
      <c r="T248" s="53"/>
      <c r="U248" s="53">
        <v>2570212</v>
      </c>
      <c r="V248" s="53"/>
      <c r="W248" s="53">
        <f t="shared" si="62"/>
        <v>9968614</v>
      </c>
      <c r="X248" s="53"/>
      <c r="Y248" s="35" t="s">
        <v>285</v>
      </c>
      <c r="AA248" s="35" t="s">
        <v>30</v>
      </c>
      <c r="AB248" s="35"/>
      <c r="AC248" s="53">
        <v>3949343</v>
      </c>
      <c r="AD248" s="53"/>
      <c r="AE248" s="53">
        <f>4000280-994996</f>
        <v>3005284</v>
      </c>
      <c r="AF248" s="53"/>
      <c r="AG248" s="53">
        <v>994996</v>
      </c>
      <c r="AH248" s="53"/>
      <c r="AI248" s="45">
        <f t="shared" si="58"/>
        <v>-50937</v>
      </c>
      <c r="AJ248" s="45"/>
      <c r="AK248" s="53">
        <f>141543-185562</f>
        <v>-44019</v>
      </c>
      <c r="AL248" s="45"/>
      <c r="AM248" s="53">
        <v>0</v>
      </c>
      <c r="AN248" s="53"/>
      <c r="AO248" s="53">
        <v>0</v>
      </c>
      <c r="AP248" s="53"/>
      <c r="AQ248" s="53">
        <v>0</v>
      </c>
      <c r="AR248" s="53"/>
      <c r="AS248" s="45">
        <f t="shared" si="56"/>
        <v>-94956</v>
      </c>
      <c r="AT248" s="45"/>
      <c r="AU248" s="53">
        <v>0</v>
      </c>
      <c r="AV248" s="53"/>
      <c r="AW248" s="53">
        <v>0</v>
      </c>
      <c r="AX248" s="53"/>
      <c r="AY248" s="53">
        <f t="shared" si="59"/>
        <v>2137388</v>
      </c>
      <c r="AZ248" s="53"/>
      <c r="BA248" s="35" t="s">
        <v>285</v>
      </c>
      <c r="BC248" s="35" t="s">
        <v>30</v>
      </c>
      <c r="BD248" s="53"/>
      <c r="BE248" s="53">
        <v>0</v>
      </c>
      <c r="BF248" s="53"/>
      <c r="BG248" s="53">
        <v>0</v>
      </c>
      <c r="BH248" s="53"/>
      <c r="BI248" s="53">
        <v>4343590</v>
      </c>
      <c r="BJ248" s="53"/>
      <c r="BK248" s="53">
        <f>164882+757113+31406+46752</f>
        <v>1000153</v>
      </c>
      <c r="BL248" s="53"/>
      <c r="BM248" s="53">
        <f t="shared" si="61"/>
        <v>5343743</v>
      </c>
      <c r="BN248" s="54" t="s">
        <v>347</v>
      </c>
      <c r="BR248" s="51"/>
      <c r="BS248" s="53"/>
      <c r="BT248" s="53"/>
      <c r="BU248" s="53"/>
      <c r="BV248" s="53"/>
      <c r="BW248" s="53"/>
      <c r="BX248" s="45"/>
      <c r="BY248" s="45"/>
      <c r="BZ248" s="53"/>
      <c r="CA248" s="53"/>
      <c r="CB248" s="53"/>
      <c r="CC248" s="53"/>
      <c r="CD248" s="53"/>
      <c r="CE248" s="53"/>
      <c r="CF248" s="35"/>
      <c r="CH248" s="35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4"/>
    </row>
    <row r="249" spans="1:97" s="55" customFormat="1" ht="12.75" customHeight="1">
      <c r="A249" s="35" t="s">
        <v>286</v>
      </c>
      <c r="C249" s="35" t="s">
        <v>61</v>
      </c>
      <c r="D249" s="44"/>
      <c r="E249" s="53">
        <f t="shared" si="70"/>
        <v>4683530</v>
      </c>
      <c r="F249" s="53"/>
      <c r="G249" s="53">
        <v>21969959</v>
      </c>
      <c r="H249" s="53"/>
      <c r="I249" s="53">
        <v>26653489</v>
      </c>
      <c r="J249" s="53"/>
      <c r="K249" s="53">
        <f t="shared" si="57"/>
        <v>1932177</v>
      </c>
      <c r="L249" s="53"/>
      <c r="M249" s="53">
        <v>3896180</v>
      </c>
      <c r="N249" s="53"/>
      <c r="O249" s="53">
        <v>5828357</v>
      </c>
      <c r="P249" s="53"/>
      <c r="Q249" s="53">
        <v>18635435</v>
      </c>
      <c r="R249" s="53"/>
      <c r="S249" s="53">
        <v>0</v>
      </c>
      <c r="T249" s="53"/>
      <c r="U249" s="53">
        <v>2189697</v>
      </c>
      <c r="V249" s="53"/>
      <c r="W249" s="53">
        <f t="shared" si="62"/>
        <v>20825132</v>
      </c>
      <c r="X249" s="53"/>
      <c r="Y249" s="35" t="s">
        <v>286</v>
      </c>
      <c r="AA249" s="35" t="s">
        <v>61</v>
      </c>
      <c r="AB249" s="35"/>
      <c r="AC249" s="53">
        <v>25440422</v>
      </c>
      <c r="AD249" s="53"/>
      <c r="AE249" s="53">
        <f>24671167-669059</f>
        <v>24002108</v>
      </c>
      <c r="AF249" s="53"/>
      <c r="AG249" s="53">
        <v>669059</v>
      </c>
      <c r="AH249" s="53"/>
      <c r="AI249" s="45">
        <f t="shared" si="58"/>
        <v>769255</v>
      </c>
      <c r="AJ249" s="45"/>
      <c r="AK249" s="53">
        <v>-108816</v>
      </c>
      <c r="AL249" s="45"/>
      <c r="AM249" s="53">
        <v>0</v>
      </c>
      <c r="AN249" s="53"/>
      <c r="AO249" s="53">
        <v>0</v>
      </c>
      <c r="AP249" s="53"/>
      <c r="AQ249" s="53">
        <v>0</v>
      </c>
      <c r="AR249" s="53"/>
      <c r="AS249" s="45">
        <f t="shared" si="56"/>
        <v>660439</v>
      </c>
      <c r="AT249" s="45"/>
      <c r="AU249" s="53">
        <v>0</v>
      </c>
      <c r="AV249" s="53"/>
      <c r="AW249" s="53">
        <v>0</v>
      </c>
      <c r="AX249" s="53"/>
      <c r="AY249" s="53">
        <f t="shared" si="59"/>
        <v>2751353</v>
      </c>
      <c r="AZ249" s="53"/>
      <c r="BA249" s="35" t="s">
        <v>286</v>
      </c>
      <c r="BC249" s="35" t="s">
        <v>61</v>
      </c>
      <c r="BD249" s="53"/>
      <c r="BE249" s="53">
        <f>126219+145000</f>
        <v>271219</v>
      </c>
      <c r="BF249" s="53"/>
      <c r="BG249" s="53">
        <v>0</v>
      </c>
      <c r="BH249" s="53"/>
      <c r="BI249" s="53">
        <f>1975714+832397+111858+83909+50558</f>
        <v>3054436</v>
      </c>
      <c r="BJ249" s="53"/>
      <c r="BK249" s="53">
        <f>118031+849992</f>
        <v>968023</v>
      </c>
      <c r="BL249" s="53"/>
      <c r="BM249" s="53">
        <f t="shared" si="61"/>
        <v>4293678</v>
      </c>
      <c r="BN249" s="54" t="s">
        <v>347</v>
      </c>
      <c r="BR249" s="51"/>
      <c r="BS249" s="53"/>
      <c r="BT249" s="53"/>
      <c r="BU249" s="53"/>
      <c r="BV249" s="53"/>
      <c r="BW249" s="53"/>
      <c r="BX249" s="45"/>
      <c r="BY249" s="45"/>
      <c r="BZ249" s="53"/>
      <c r="CA249" s="53"/>
      <c r="CB249" s="53"/>
      <c r="CC249" s="53"/>
      <c r="CD249" s="53"/>
      <c r="CE249" s="53"/>
      <c r="CF249" s="35"/>
      <c r="CH249" s="35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4"/>
    </row>
    <row r="250" spans="1:97" s="55" customFormat="1" ht="12.75" customHeight="1">
      <c r="A250" s="35" t="s">
        <v>287</v>
      </c>
      <c r="C250" s="35" t="s">
        <v>288</v>
      </c>
      <c r="D250" s="44"/>
      <c r="E250" s="53">
        <f t="shared" si="70"/>
        <v>3563426</v>
      </c>
      <c r="F250" s="53"/>
      <c r="G250" s="53">
        <v>45333746</v>
      </c>
      <c r="H250" s="53"/>
      <c r="I250" s="53">
        <v>48897172</v>
      </c>
      <c r="J250" s="53"/>
      <c r="K250" s="53">
        <f t="shared" si="57"/>
        <v>2178677</v>
      </c>
      <c r="L250" s="53"/>
      <c r="M250" s="53">
        <v>18247657</v>
      </c>
      <c r="N250" s="53"/>
      <c r="O250" s="53">
        <v>20426334</v>
      </c>
      <c r="P250" s="53"/>
      <c r="Q250" s="53">
        <v>25528571</v>
      </c>
      <c r="R250" s="53"/>
      <c r="S250" s="53">
        <v>0</v>
      </c>
      <c r="T250" s="53"/>
      <c r="U250" s="53">
        <v>2942267</v>
      </c>
      <c r="V250" s="53"/>
      <c r="W250" s="53">
        <f t="shared" si="62"/>
        <v>28470838</v>
      </c>
      <c r="X250" s="53"/>
      <c r="Y250" s="35" t="s">
        <v>287</v>
      </c>
      <c r="AA250" s="35" t="s">
        <v>288</v>
      </c>
      <c r="AB250" s="35"/>
      <c r="AC250" s="53">
        <v>6509665</v>
      </c>
      <c r="AD250" s="53"/>
      <c r="AE250" s="53">
        <f>4216403-782181</f>
        <v>3434222</v>
      </c>
      <c r="AF250" s="53"/>
      <c r="AG250" s="53">
        <v>782181</v>
      </c>
      <c r="AH250" s="53"/>
      <c r="AI250" s="45">
        <f t="shared" si="58"/>
        <v>2293262</v>
      </c>
      <c r="AJ250" s="45"/>
      <c r="AK250" s="53">
        <v>-862159</v>
      </c>
      <c r="AL250" s="45"/>
      <c r="AM250" s="53">
        <v>0</v>
      </c>
      <c r="AN250" s="53"/>
      <c r="AO250" s="53">
        <v>0</v>
      </c>
      <c r="AP250" s="53"/>
      <c r="AQ250" s="53">
        <v>2048924</v>
      </c>
      <c r="AR250" s="53"/>
      <c r="AS250" s="45">
        <f t="shared" si="56"/>
        <v>3480027</v>
      </c>
      <c r="AT250" s="45"/>
      <c r="AU250" s="53">
        <v>0</v>
      </c>
      <c r="AV250" s="53"/>
      <c r="AW250" s="53">
        <v>0</v>
      </c>
      <c r="AX250" s="53"/>
      <c r="AY250" s="53">
        <f t="shared" si="59"/>
        <v>1384749</v>
      </c>
      <c r="AZ250" s="53"/>
      <c r="BA250" s="35" t="s">
        <v>287</v>
      </c>
      <c r="BC250" s="35" t="s">
        <v>288</v>
      </c>
      <c r="BD250" s="53"/>
      <c r="BE250" s="53">
        <v>0</v>
      </c>
      <c r="BF250" s="53"/>
      <c r="BG250" s="53">
        <v>0</v>
      </c>
      <c r="BH250" s="53"/>
      <c r="BI250" s="53">
        <f>18244428+1560747</f>
        <v>19805175</v>
      </c>
      <c r="BJ250" s="53"/>
      <c r="BK250" s="53">
        <f>3229+175152</f>
        <v>178381</v>
      </c>
      <c r="BL250" s="53"/>
      <c r="BM250" s="53">
        <f t="shared" si="61"/>
        <v>19983556</v>
      </c>
      <c r="BN250" s="54" t="s">
        <v>347</v>
      </c>
      <c r="BR250" s="51"/>
      <c r="BS250" s="53"/>
      <c r="BT250" s="53"/>
      <c r="BU250" s="53"/>
      <c r="BV250" s="53"/>
      <c r="BW250" s="53"/>
      <c r="BX250" s="45"/>
      <c r="BY250" s="45"/>
      <c r="BZ250" s="53"/>
      <c r="CA250" s="53"/>
      <c r="CB250" s="53"/>
      <c r="CC250" s="53"/>
      <c r="CD250" s="53"/>
      <c r="CE250" s="53"/>
      <c r="CF250" s="35"/>
      <c r="CH250" s="35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4"/>
    </row>
    <row r="251" spans="1:97" s="55" customFormat="1" ht="12.75" customHeight="1">
      <c r="A251" s="35"/>
      <c r="C251" s="35"/>
      <c r="D251" s="44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35"/>
      <c r="AA251" s="35"/>
      <c r="AB251" s="35"/>
      <c r="AC251" s="53"/>
      <c r="AD251" s="53"/>
      <c r="AE251" s="53"/>
      <c r="AF251" s="53"/>
      <c r="AG251" s="53"/>
      <c r="AH251" s="53"/>
      <c r="AI251" s="45"/>
      <c r="AJ251" s="45"/>
      <c r="AK251" s="45"/>
      <c r="AL251" s="45"/>
      <c r="AM251" s="53"/>
      <c r="AN251" s="53"/>
      <c r="AO251" s="53"/>
      <c r="AP251" s="53"/>
      <c r="AQ251" s="53"/>
      <c r="AR251" s="53"/>
      <c r="AS251" s="45"/>
      <c r="AT251" s="45"/>
      <c r="AU251" s="53"/>
      <c r="AV251" s="53"/>
      <c r="AW251" s="53"/>
      <c r="AX251" s="53"/>
      <c r="AY251" s="53"/>
      <c r="AZ251" s="53"/>
      <c r="BA251" s="35"/>
      <c r="BC251" s="35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4"/>
      <c r="BR251" s="51"/>
      <c r="BS251" s="53"/>
      <c r="BT251" s="53"/>
      <c r="BU251" s="53"/>
      <c r="BV251" s="53"/>
      <c r="BW251" s="53"/>
      <c r="BX251" s="45"/>
      <c r="BY251" s="45"/>
      <c r="BZ251" s="53"/>
      <c r="CA251" s="53"/>
      <c r="CB251" s="53"/>
      <c r="CC251" s="53"/>
      <c r="CD251" s="53"/>
      <c r="CE251" s="53"/>
      <c r="CF251" s="35"/>
      <c r="CH251" s="35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4"/>
    </row>
    <row r="252" spans="1:97" s="55" customFormat="1" ht="12.75" customHeight="1">
      <c r="B252" s="51"/>
      <c r="D252" s="44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AC252" s="53"/>
      <c r="AD252" s="53"/>
      <c r="AE252" s="53"/>
      <c r="AF252" s="53"/>
      <c r="AG252" s="53"/>
      <c r="AH252" s="53"/>
      <c r="AI252" s="45"/>
      <c r="AJ252" s="45"/>
      <c r="AK252" s="45"/>
      <c r="AL252" s="45"/>
      <c r="AM252" s="53"/>
      <c r="AN252" s="53"/>
      <c r="AO252" s="53"/>
      <c r="AP252" s="53"/>
      <c r="AQ252" s="53"/>
      <c r="AR252" s="53"/>
      <c r="AS252" s="45"/>
      <c r="AT252" s="45"/>
      <c r="AU252" s="53"/>
      <c r="AV252" s="53"/>
      <c r="AW252" s="53"/>
      <c r="AX252" s="53"/>
      <c r="AY252" s="53"/>
      <c r="BE252" s="53"/>
      <c r="BF252" s="53"/>
      <c r="BG252" s="53"/>
      <c r="BH252" s="53"/>
      <c r="BI252" s="53"/>
      <c r="BJ252" s="53"/>
      <c r="BK252" s="53"/>
      <c r="BL252" s="53"/>
      <c r="BM252" s="53"/>
      <c r="BP252" s="45"/>
      <c r="BQ252" s="45"/>
      <c r="BR252" s="45"/>
      <c r="BS252" s="45"/>
      <c r="BT252" s="45"/>
      <c r="BU252" s="45"/>
      <c r="BV252" s="45"/>
      <c r="BW252" s="45"/>
      <c r="CG252" s="47"/>
    </row>
    <row r="253" spans="1:97" s="55" customFormat="1" ht="12.75" customHeight="1">
      <c r="B253" s="51"/>
      <c r="D253" s="44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AC253" s="53"/>
      <c r="AD253" s="53"/>
      <c r="AE253" s="53"/>
      <c r="AF253" s="53"/>
      <c r="AG253" s="53"/>
      <c r="AH253" s="53"/>
      <c r="AI253" s="45"/>
      <c r="AJ253" s="45"/>
      <c r="AK253" s="45"/>
      <c r="AL253" s="45"/>
      <c r="AM253" s="53"/>
      <c r="AN253" s="53"/>
      <c r="AO253" s="53"/>
      <c r="AP253" s="53"/>
      <c r="AQ253" s="53"/>
      <c r="AR253" s="53"/>
      <c r="AS253" s="45"/>
      <c r="AT253" s="45"/>
      <c r="AU253" s="53"/>
      <c r="AV253" s="53"/>
      <c r="AW253" s="53"/>
      <c r="AX253" s="53"/>
      <c r="AY253" s="53"/>
      <c r="BE253" s="53"/>
      <c r="BF253" s="53"/>
      <c r="BG253" s="53"/>
      <c r="BH253" s="53"/>
      <c r="BI253" s="53"/>
      <c r="BJ253" s="53"/>
      <c r="BK253" s="53"/>
      <c r="BL253" s="53"/>
      <c r="BM253" s="53"/>
      <c r="BP253" s="45"/>
      <c r="BQ253" s="45"/>
      <c r="BR253" s="45"/>
      <c r="BS253" s="45"/>
      <c r="BT253" s="45"/>
      <c r="BU253" s="45"/>
      <c r="BV253" s="45"/>
      <c r="BW253" s="45"/>
      <c r="CG253" s="47"/>
    </row>
    <row r="254" spans="1:97" s="55" customFormat="1" ht="12.75" customHeight="1">
      <c r="A254" s="44"/>
      <c r="B254" s="51"/>
      <c r="C254" s="44"/>
      <c r="D254" s="44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44"/>
      <c r="AA254" s="44"/>
      <c r="AB254" s="44"/>
      <c r="AC254" s="53"/>
      <c r="AD254" s="53"/>
      <c r="AE254" s="53"/>
      <c r="AF254" s="53"/>
      <c r="AG254" s="53"/>
      <c r="AH254" s="53"/>
      <c r="AI254" s="45"/>
      <c r="AJ254" s="45"/>
      <c r="AK254" s="45"/>
      <c r="AL254" s="45"/>
      <c r="AM254" s="53"/>
      <c r="AN254" s="53"/>
      <c r="AO254" s="53"/>
      <c r="AP254" s="53"/>
      <c r="AQ254" s="53"/>
      <c r="AR254" s="53"/>
      <c r="AS254" s="45"/>
      <c r="AT254" s="45"/>
      <c r="AU254" s="53"/>
      <c r="AV254" s="53"/>
      <c r="AW254" s="53"/>
      <c r="AX254" s="53"/>
      <c r="AY254" s="53"/>
      <c r="AZ254" s="53"/>
      <c r="BA254" s="44"/>
      <c r="BC254" s="44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4"/>
      <c r="BR254" s="51"/>
      <c r="BS254" s="53"/>
      <c r="BT254" s="53"/>
      <c r="BU254" s="53"/>
      <c r="BV254" s="53"/>
      <c r="BW254" s="53"/>
      <c r="BX254" s="45"/>
      <c r="BY254" s="45"/>
      <c r="BZ254" s="53"/>
      <c r="CA254" s="53"/>
      <c r="CB254" s="53"/>
      <c r="CC254" s="53"/>
      <c r="CD254" s="53"/>
      <c r="CE254" s="53"/>
      <c r="CF254" s="44"/>
      <c r="CH254" s="44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4"/>
    </row>
    <row r="255" spans="1:97" s="55" customFormat="1" ht="12.75" customHeight="1">
      <c r="B255" s="51"/>
      <c r="D255" s="44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53"/>
      <c r="AN255" s="53"/>
      <c r="AO255" s="53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B255" s="47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R255" s="51"/>
      <c r="BS255" s="35"/>
      <c r="BT255" s="35"/>
      <c r="BU255" s="35"/>
      <c r="BV255" s="35"/>
      <c r="BW255" s="35"/>
      <c r="BX255" s="45"/>
      <c r="BY255" s="45"/>
      <c r="BZ255" s="35"/>
      <c r="CA255" s="35"/>
      <c r="CB255" s="35"/>
      <c r="CC255" s="35"/>
      <c r="CD255" s="35"/>
      <c r="CE255" s="35"/>
      <c r="CG255" s="47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</row>
    <row r="256" spans="1:97" s="55" customFormat="1" ht="12.75" customHeight="1">
      <c r="B256" s="51"/>
      <c r="D256" s="44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53"/>
      <c r="AN256" s="53"/>
      <c r="AO256" s="53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E256" s="47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G256" s="47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</row>
    <row r="257" spans="2:97" s="55" customFormat="1" ht="12.75" customHeight="1">
      <c r="B257" s="51"/>
      <c r="D257" s="44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53"/>
      <c r="AN257" s="53"/>
      <c r="AO257" s="53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E257" s="47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G257" s="47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</row>
    <row r="258" spans="2:97" s="55" customFormat="1" ht="12.75" customHeight="1">
      <c r="B258" s="51"/>
      <c r="D258" s="44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53"/>
      <c r="AN258" s="53"/>
      <c r="AO258" s="53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E258" s="47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G258" s="47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</row>
    <row r="259" spans="2:97" s="55" customFormat="1" ht="12.75" customHeight="1">
      <c r="B259" s="51"/>
      <c r="D259" s="44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53"/>
      <c r="AN259" s="53"/>
      <c r="AO259" s="53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E259" s="47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G259" s="47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</row>
    <row r="260" spans="2:97" s="55" customFormat="1" ht="12.75" customHeight="1">
      <c r="B260" s="51"/>
      <c r="D260" s="44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53"/>
      <c r="AN260" s="53"/>
      <c r="AO260" s="53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E260" s="47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G260" s="47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</row>
    <row r="261" spans="2:97" s="55" customFormat="1" ht="12.75" customHeight="1">
      <c r="B261" s="51"/>
      <c r="D261" s="44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53"/>
      <c r="AN261" s="53"/>
      <c r="AO261" s="53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E261" s="47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G261" s="47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</row>
    <row r="262" spans="2:97" s="55" customFormat="1" ht="12.75" customHeight="1">
      <c r="B262" s="51"/>
      <c r="D262" s="44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53"/>
      <c r="AN262" s="53"/>
      <c r="AO262" s="53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E262" s="47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G262" s="47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</row>
    <row r="263" spans="2:97" s="55" customFormat="1" ht="12.75" customHeight="1">
      <c r="B263" s="51"/>
      <c r="D263" s="44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53"/>
      <c r="AN263" s="53"/>
      <c r="AO263" s="53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E263" s="47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G263" s="47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</row>
    <row r="264" spans="2:97" s="55" customFormat="1" ht="12.75" customHeight="1">
      <c r="B264" s="51"/>
      <c r="D264" s="44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53"/>
      <c r="AN264" s="53"/>
      <c r="AO264" s="53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E264" s="47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G264" s="47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</row>
    <row r="265" spans="2:97" s="55" customFormat="1" ht="12.75" customHeight="1">
      <c r="B265" s="51"/>
      <c r="D265" s="44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53"/>
      <c r="AN265" s="53"/>
      <c r="AO265" s="53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E265" s="47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G265" s="47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</row>
    <row r="266" spans="2:97" s="55" customFormat="1" ht="12.75" customHeight="1">
      <c r="B266" s="51"/>
      <c r="D266" s="44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53"/>
      <c r="AN266" s="53"/>
      <c r="AO266" s="53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E266" s="47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G266" s="47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</row>
    <row r="267" spans="2:97" s="55" customFormat="1" ht="12.75" customHeight="1">
      <c r="B267" s="51"/>
      <c r="D267" s="44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53"/>
      <c r="AN267" s="53"/>
      <c r="AO267" s="53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E267" s="47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G267" s="47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</row>
    <row r="268" spans="2:97" s="55" customFormat="1" ht="12.75" customHeight="1">
      <c r="B268" s="51"/>
      <c r="D268" s="44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53"/>
      <c r="AN268" s="53"/>
      <c r="AO268" s="53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E268" s="47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G268" s="47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</row>
    <row r="269" spans="2:97" s="55" customFormat="1" ht="12.75" customHeight="1">
      <c r="B269" s="51"/>
      <c r="D269" s="44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53"/>
      <c r="AN269" s="53"/>
      <c r="AO269" s="53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E269" s="47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G269" s="47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</row>
    <row r="270" spans="2:97" s="55" customFormat="1" ht="12.75" customHeight="1">
      <c r="B270" s="51"/>
      <c r="D270" s="44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53"/>
      <c r="AN270" s="53"/>
      <c r="AO270" s="53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E270" s="47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G270" s="47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</row>
    <row r="271" spans="2:97" s="55" customFormat="1" ht="12.75" customHeight="1">
      <c r="B271" s="51"/>
      <c r="D271" s="44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53"/>
      <c r="AN271" s="53"/>
      <c r="AO271" s="53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E271" s="47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G271" s="47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</row>
    <row r="272" spans="2:97" s="55" customFormat="1" ht="12.75" customHeight="1">
      <c r="B272" s="51"/>
      <c r="D272" s="44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53"/>
      <c r="AN272" s="53"/>
      <c r="AO272" s="53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E272" s="47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G272" s="47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</row>
    <row r="273" spans="2:97" s="55" customFormat="1" ht="12.75" customHeight="1">
      <c r="B273" s="51"/>
      <c r="D273" s="44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53"/>
      <c r="AN273" s="53"/>
      <c r="AO273" s="53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E273" s="47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G273" s="47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</row>
    <row r="274" spans="2:97" s="55" customFormat="1" ht="12.75" customHeight="1">
      <c r="B274" s="51"/>
      <c r="D274" s="44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53"/>
      <c r="AN274" s="53"/>
      <c r="AO274" s="53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E274" s="47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G274" s="47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</row>
    <row r="275" spans="2:97" s="55" customFormat="1" ht="12.75" customHeight="1">
      <c r="B275" s="51"/>
      <c r="D275" s="44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53"/>
      <c r="AN275" s="53"/>
      <c r="AO275" s="53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E275" s="47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G275" s="47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</row>
    <row r="276" spans="2:97" s="55" customFormat="1" ht="12.75" customHeight="1">
      <c r="B276" s="51"/>
      <c r="D276" s="44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53"/>
      <c r="AN276" s="53"/>
      <c r="AO276" s="53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E276" s="47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G276" s="47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</row>
    <row r="277" spans="2:97" s="55" customFormat="1" ht="12.75" customHeight="1">
      <c r="B277" s="51"/>
      <c r="D277" s="44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53"/>
      <c r="AN277" s="53"/>
      <c r="AO277" s="53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E277" s="47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G277" s="47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</row>
    <row r="278" spans="2:97" s="55" customFormat="1" ht="12.75" customHeight="1">
      <c r="B278" s="51"/>
      <c r="D278" s="44"/>
      <c r="AM278" s="53"/>
      <c r="AN278" s="53"/>
      <c r="AO278" s="53"/>
      <c r="BE278" s="47"/>
      <c r="BP278" s="45"/>
      <c r="BQ278" s="45"/>
      <c r="BR278" s="45"/>
      <c r="BS278" s="45"/>
      <c r="BT278" s="45"/>
      <c r="BU278" s="45"/>
      <c r="BV278" s="45"/>
      <c r="BW278" s="45"/>
      <c r="CG278" s="47"/>
    </row>
    <row r="279" spans="2:97" s="55" customFormat="1" ht="12.75" customHeight="1">
      <c r="B279" s="51"/>
      <c r="D279" s="44"/>
      <c r="AM279" s="53"/>
      <c r="AN279" s="53"/>
      <c r="AO279" s="53"/>
      <c r="BE279" s="47"/>
      <c r="BP279" s="45"/>
      <c r="BQ279" s="45"/>
      <c r="BR279" s="45"/>
      <c r="BS279" s="45"/>
      <c r="BT279" s="45"/>
      <c r="BU279" s="45"/>
      <c r="BV279" s="45"/>
      <c r="BW279" s="45"/>
      <c r="CG279" s="47"/>
    </row>
    <row r="280" spans="2:97" s="55" customFormat="1" ht="12.75" customHeight="1">
      <c r="B280" s="51"/>
      <c r="D280" s="44"/>
      <c r="AM280" s="53"/>
      <c r="AN280" s="53"/>
      <c r="AO280" s="53"/>
      <c r="BE280" s="47"/>
      <c r="BP280" s="45"/>
      <c r="BQ280" s="45"/>
      <c r="BR280" s="45"/>
      <c r="BS280" s="45"/>
      <c r="BT280" s="45"/>
      <c r="BU280" s="45"/>
      <c r="BV280" s="45"/>
      <c r="BW280" s="45"/>
      <c r="CG280" s="47"/>
    </row>
    <row r="281" spans="2:97" s="55" customFormat="1" ht="12.75" customHeight="1">
      <c r="B281" s="51"/>
      <c r="D281" s="44"/>
      <c r="AM281" s="53"/>
      <c r="AN281" s="53"/>
      <c r="AO281" s="53"/>
      <c r="BE281" s="47"/>
      <c r="BP281" s="45"/>
      <c r="BQ281" s="45"/>
      <c r="BR281" s="45"/>
      <c r="BS281" s="45"/>
      <c r="BT281" s="45"/>
      <c r="BU281" s="45"/>
      <c r="BV281" s="45"/>
      <c r="BW281" s="45"/>
      <c r="CG281" s="47"/>
    </row>
    <row r="282" spans="2:97" s="55" customFormat="1" ht="12.75" customHeight="1">
      <c r="B282" s="51"/>
      <c r="D282" s="44"/>
      <c r="AM282" s="53"/>
      <c r="AN282" s="53"/>
      <c r="AO282" s="53"/>
      <c r="BE282" s="47"/>
      <c r="BP282" s="45"/>
      <c r="BQ282" s="45"/>
      <c r="BR282" s="45"/>
      <c r="BS282" s="45"/>
      <c r="BT282" s="45"/>
      <c r="BU282" s="45"/>
      <c r="BV282" s="45"/>
      <c r="BW282" s="45"/>
      <c r="CG282" s="47"/>
    </row>
    <row r="283" spans="2:97" s="55" customFormat="1" ht="12.75" customHeight="1">
      <c r="B283" s="51"/>
      <c r="D283" s="44"/>
      <c r="AM283" s="53"/>
      <c r="AN283" s="53"/>
      <c r="AO283" s="53"/>
      <c r="BE283" s="47"/>
      <c r="BP283" s="45"/>
      <c r="BQ283" s="45"/>
      <c r="BR283" s="45"/>
      <c r="BS283" s="45"/>
      <c r="BT283" s="45"/>
      <c r="BU283" s="45"/>
      <c r="BV283" s="45"/>
      <c r="BW283" s="45"/>
      <c r="CG283" s="47"/>
    </row>
    <row r="284" spans="2:97" s="55" customFormat="1" ht="12.75" customHeight="1">
      <c r="B284" s="51"/>
      <c r="D284" s="44"/>
      <c r="AM284" s="53"/>
      <c r="AN284" s="53"/>
      <c r="AO284" s="53"/>
      <c r="BE284" s="47"/>
      <c r="BP284" s="45"/>
      <c r="BQ284" s="45"/>
      <c r="BR284" s="45"/>
      <c r="BS284" s="45"/>
      <c r="BT284" s="45"/>
      <c r="BU284" s="45"/>
      <c r="BV284" s="45"/>
      <c r="BW284" s="45"/>
      <c r="CG284" s="47"/>
    </row>
    <row r="285" spans="2:97" s="55" customFormat="1" ht="12.75" customHeight="1">
      <c r="B285" s="51"/>
      <c r="D285" s="44"/>
      <c r="AM285" s="53"/>
      <c r="AN285" s="53"/>
      <c r="AO285" s="53"/>
      <c r="BE285" s="47"/>
      <c r="BP285" s="45"/>
      <c r="BQ285" s="45"/>
      <c r="BR285" s="45"/>
      <c r="BS285" s="45"/>
      <c r="BT285" s="45"/>
      <c r="BU285" s="45"/>
      <c r="BV285" s="45"/>
      <c r="BW285" s="45"/>
      <c r="CG285" s="47"/>
    </row>
    <row r="286" spans="2:97" s="55" customFormat="1" ht="12.75" customHeight="1">
      <c r="B286" s="51"/>
      <c r="D286" s="44"/>
      <c r="AM286" s="53"/>
      <c r="AN286" s="53"/>
      <c r="AO286" s="53"/>
      <c r="BE286" s="47"/>
      <c r="BP286" s="45"/>
      <c r="BQ286" s="45"/>
      <c r="BR286" s="45"/>
      <c r="BS286" s="45"/>
      <c r="BT286" s="45"/>
      <c r="BU286" s="45"/>
      <c r="BV286" s="45"/>
      <c r="BW286" s="45"/>
      <c r="CG286" s="47"/>
    </row>
    <row r="287" spans="2:97" s="55" customFormat="1" ht="12.75" customHeight="1">
      <c r="B287" s="51"/>
      <c r="D287" s="44"/>
      <c r="AM287" s="53"/>
      <c r="AN287" s="53"/>
      <c r="AO287" s="53"/>
      <c r="BE287" s="47"/>
      <c r="BP287" s="45"/>
      <c r="BQ287" s="45"/>
      <c r="BR287" s="45"/>
      <c r="BS287" s="45"/>
      <c r="BT287" s="45"/>
      <c r="BU287" s="45"/>
      <c r="BV287" s="45"/>
      <c r="BW287" s="45"/>
      <c r="CG287" s="47"/>
    </row>
    <row r="288" spans="2:97" s="55" customFormat="1" ht="12.75" customHeight="1">
      <c r="B288" s="51"/>
      <c r="D288" s="44"/>
      <c r="AM288" s="53"/>
      <c r="AN288" s="53"/>
      <c r="AO288" s="53"/>
      <c r="BE288" s="47"/>
      <c r="BP288" s="45"/>
      <c r="BQ288" s="45"/>
      <c r="BR288" s="45"/>
      <c r="BS288" s="45"/>
      <c r="BT288" s="45"/>
      <c r="BU288" s="45"/>
      <c r="BV288" s="45"/>
      <c r="BW288" s="45"/>
      <c r="CG288" s="47"/>
    </row>
    <row r="289" spans="2:85" s="55" customFormat="1" ht="12.75" customHeight="1">
      <c r="B289" s="51"/>
      <c r="D289" s="44"/>
      <c r="AM289" s="53"/>
      <c r="AN289" s="53"/>
      <c r="AO289" s="53"/>
      <c r="BE289" s="47"/>
      <c r="BP289" s="45"/>
      <c r="BQ289" s="45"/>
      <c r="BR289" s="45"/>
      <c r="BS289" s="45"/>
      <c r="BT289" s="45"/>
      <c r="BU289" s="45"/>
      <c r="BV289" s="45"/>
      <c r="BW289" s="45"/>
      <c r="CG289" s="47"/>
    </row>
    <row r="290" spans="2:85" s="55" customFormat="1" ht="12.75" customHeight="1">
      <c r="B290" s="51"/>
      <c r="D290" s="44"/>
      <c r="AM290" s="53"/>
      <c r="AN290" s="53"/>
      <c r="AO290" s="53"/>
      <c r="BE290" s="47"/>
      <c r="BP290" s="45"/>
      <c r="BQ290" s="45"/>
      <c r="BR290" s="45"/>
      <c r="BS290" s="45"/>
      <c r="BT290" s="45"/>
      <c r="BU290" s="45"/>
      <c r="BV290" s="45"/>
      <c r="BW290" s="45"/>
      <c r="CG290" s="47"/>
    </row>
    <row r="291" spans="2:85" s="55" customFormat="1" ht="12.75" customHeight="1">
      <c r="B291" s="51"/>
      <c r="D291" s="44"/>
      <c r="AM291" s="53"/>
      <c r="AN291" s="53"/>
      <c r="AO291" s="53"/>
      <c r="BE291" s="47"/>
      <c r="BP291" s="45"/>
      <c r="BQ291" s="45"/>
      <c r="BR291" s="45"/>
      <c r="BS291" s="45"/>
      <c r="BT291" s="45"/>
      <c r="BU291" s="45"/>
      <c r="BV291" s="45"/>
      <c r="BW291" s="45"/>
      <c r="CG291" s="47"/>
    </row>
    <row r="292" spans="2:85" s="55" customFormat="1" ht="12.75" customHeight="1">
      <c r="B292" s="51"/>
      <c r="D292" s="44"/>
      <c r="AM292" s="53"/>
      <c r="AN292" s="53"/>
      <c r="AO292" s="53"/>
      <c r="BE292" s="47"/>
      <c r="BP292" s="45"/>
      <c r="BQ292" s="45"/>
      <c r="BR292" s="45"/>
      <c r="BS292" s="45"/>
      <c r="BT292" s="45"/>
      <c r="BU292" s="45"/>
      <c r="BV292" s="45"/>
      <c r="BW292" s="45"/>
      <c r="CG292" s="47"/>
    </row>
    <row r="293" spans="2:85" s="55" customFormat="1" ht="12.75" customHeight="1">
      <c r="B293" s="51"/>
      <c r="D293" s="44"/>
      <c r="AM293" s="53"/>
      <c r="AN293" s="53"/>
      <c r="AO293" s="53"/>
      <c r="BE293" s="47"/>
      <c r="BP293" s="45"/>
      <c r="BQ293" s="45"/>
      <c r="BR293" s="45"/>
      <c r="BS293" s="45"/>
      <c r="BT293" s="45"/>
      <c r="BU293" s="45"/>
      <c r="BV293" s="45"/>
      <c r="BW293" s="45"/>
      <c r="CG293" s="47"/>
    </row>
    <row r="294" spans="2:85" s="55" customFormat="1" ht="12.75" customHeight="1">
      <c r="B294" s="51"/>
      <c r="D294" s="44"/>
      <c r="AM294" s="53"/>
      <c r="AN294" s="53"/>
      <c r="AO294" s="53"/>
      <c r="BE294" s="47"/>
      <c r="BP294" s="45"/>
      <c r="BQ294" s="45"/>
      <c r="BR294" s="45"/>
      <c r="BS294" s="45"/>
      <c r="BT294" s="45"/>
      <c r="BU294" s="45"/>
      <c r="BV294" s="45"/>
      <c r="BW294" s="45"/>
      <c r="CG294" s="47"/>
    </row>
    <row r="295" spans="2:85" s="55" customFormat="1" ht="12.75" customHeight="1">
      <c r="B295" s="51"/>
      <c r="D295" s="44"/>
      <c r="AM295" s="53"/>
      <c r="AN295" s="53"/>
      <c r="AO295" s="53"/>
      <c r="BE295" s="47"/>
      <c r="BP295" s="45"/>
      <c r="BQ295" s="45"/>
      <c r="BR295" s="45"/>
      <c r="BS295" s="45"/>
      <c r="BT295" s="45"/>
      <c r="BU295" s="45"/>
      <c r="BV295" s="45"/>
      <c r="BW295" s="45"/>
      <c r="CG295" s="47"/>
    </row>
    <row r="296" spans="2:85" s="55" customFormat="1" ht="12.75" customHeight="1">
      <c r="B296" s="51"/>
      <c r="D296" s="44"/>
      <c r="AM296" s="53"/>
      <c r="AN296" s="53"/>
      <c r="AO296" s="53"/>
      <c r="BE296" s="47"/>
      <c r="BP296" s="45"/>
      <c r="BQ296" s="45"/>
      <c r="BR296" s="45"/>
      <c r="BS296" s="45"/>
      <c r="BT296" s="45"/>
      <c r="BU296" s="45"/>
      <c r="BV296" s="45"/>
      <c r="BW296" s="45"/>
      <c r="CG296" s="47"/>
    </row>
    <row r="297" spans="2:85" s="55" customFormat="1" ht="12.75" customHeight="1">
      <c r="B297" s="51"/>
      <c r="D297" s="44"/>
      <c r="AM297" s="53"/>
      <c r="AN297" s="53"/>
      <c r="AO297" s="53"/>
      <c r="BE297" s="47"/>
      <c r="BP297" s="45"/>
      <c r="BQ297" s="45"/>
      <c r="BR297" s="45"/>
      <c r="BS297" s="45"/>
      <c r="BT297" s="45"/>
      <c r="BU297" s="45"/>
      <c r="BV297" s="45"/>
      <c r="BW297" s="45"/>
      <c r="CG297" s="47"/>
    </row>
    <row r="298" spans="2:85" s="55" customFormat="1" ht="12.75" customHeight="1">
      <c r="B298" s="51"/>
      <c r="D298" s="44"/>
      <c r="AM298" s="53"/>
      <c r="AN298" s="53"/>
      <c r="AO298" s="53"/>
      <c r="BE298" s="47"/>
      <c r="BP298" s="45"/>
      <c r="BQ298" s="45"/>
      <c r="BR298" s="45"/>
      <c r="BS298" s="45"/>
      <c r="BT298" s="45"/>
      <c r="BU298" s="45"/>
      <c r="BV298" s="45"/>
      <c r="BW298" s="45"/>
      <c r="CG298" s="47"/>
    </row>
    <row r="299" spans="2:85" s="55" customFormat="1" ht="12.75" customHeight="1">
      <c r="B299" s="51"/>
      <c r="D299" s="44"/>
      <c r="AM299" s="53"/>
      <c r="AN299" s="53"/>
      <c r="AO299" s="53"/>
      <c r="BE299" s="47"/>
      <c r="BP299" s="45"/>
      <c r="BQ299" s="45"/>
      <c r="BR299" s="45"/>
      <c r="BS299" s="45"/>
      <c r="BT299" s="45"/>
      <c r="BU299" s="45"/>
      <c r="BV299" s="45"/>
      <c r="BW299" s="45"/>
      <c r="CG299" s="47"/>
    </row>
    <row r="300" spans="2:85" s="55" customFormat="1" ht="12.75" customHeight="1">
      <c r="B300" s="51"/>
      <c r="D300" s="44"/>
      <c r="BE300" s="47"/>
      <c r="BP300" s="45"/>
      <c r="BQ300" s="45"/>
      <c r="BR300" s="45"/>
      <c r="BS300" s="45"/>
      <c r="BT300" s="45"/>
      <c r="BU300" s="45"/>
      <c r="BV300" s="45"/>
      <c r="BW300" s="45"/>
      <c r="CG300" s="47"/>
    </row>
    <row r="301" spans="2:85" s="55" customFormat="1" ht="12.75" customHeight="1">
      <c r="B301" s="51"/>
      <c r="D301" s="44"/>
      <c r="BE301" s="47"/>
      <c r="BP301" s="45"/>
      <c r="BQ301" s="45"/>
      <c r="BR301" s="45"/>
      <c r="BS301" s="45"/>
      <c r="BT301" s="45"/>
      <c r="BU301" s="45"/>
      <c r="BV301" s="45"/>
      <c r="BW301" s="45"/>
      <c r="CG301" s="47"/>
    </row>
    <row r="302" spans="2:85" s="55" customFormat="1" ht="12.75" customHeight="1">
      <c r="B302" s="51"/>
      <c r="D302" s="44"/>
      <c r="BE302" s="47"/>
      <c r="BP302" s="45"/>
      <c r="BQ302" s="45"/>
      <c r="BR302" s="45"/>
      <c r="BS302" s="45"/>
      <c r="BT302" s="45"/>
      <c r="BU302" s="45"/>
      <c r="BV302" s="45"/>
      <c r="BW302" s="45"/>
      <c r="CG302" s="47"/>
    </row>
    <row r="303" spans="2:85" s="55" customFormat="1" ht="12.75" customHeight="1">
      <c r="B303" s="51"/>
      <c r="D303" s="44"/>
      <c r="BE303" s="47"/>
      <c r="BP303" s="45"/>
      <c r="BQ303" s="45"/>
      <c r="BR303" s="45"/>
      <c r="BS303" s="45"/>
      <c r="BT303" s="45"/>
      <c r="BU303" s="45"/>
      <c r="BV303" s="45"/>
      <c r="BW303" s="45"/>
      <c r="CG303" s="47"/>
    </row>
    <row r="304" spans="2:85" s="55" customFormat="1" ht="12.75" customHeight="1">
      <c r="B304" s="51"/>
      <c r="D304" s="44"/>
      <c r="BE304" s="47"/>
      <c r="BP304" s="45"/>
      <c r="BQ304" s="45"/>
      <c r="BR304" s="45"/>
      <c r="BS304" s="45"/>
      <c r="BT304" s="45"/>
      <c r="BU304" s="45"/>
      <c r="BV304" s="45"/>
      <c r="BW304" s="45"/>
      <c r="CG304" s="47"/>
    </row>
    <row r="305" spans="2:85" s="55" customFormat="1" ht="12.75" customHeight="1">
      <c r="B305" s="51"/>
      <c r="D305" s="44"/>
      <c r="BE305" s="47"/>
      <c r="BP305" s="45"/>
      <c r="BQ305" s="45"/>
      <c r="BR305" s="45"/>
      <c r="BS305" s="45"/>
      <c r="BT305" s="45"/>
      <c r="BU305" s="45"/>
      <c r="BV305" s="45"/>
      <c r="BW305" s="45"/>
      <c r="CG305" s="47"/>
    </row>
    <row r="306" spans="2:85" s="55" customFormat="1" ht="12.75" customHeight="1">
      <c r="B306" s="51"/>
      <c r="D306" s="44"/>
      <c r="BE306" s="47"/>
      <c r="BP306" s="45"/>
      <c r="BQ306" s="45"/>
      <c r="BR306" s="45"/>
      <c r="BS306" s="45"/>
      <c r="BT306" s="45"/>
      <c r="BU306" s="45"/>
      <c r="BV306" s="45"/>
      <c r="BW306" s="45"/>
      <c r="CG306" s="47"/>
    </row>
    <row r="307" spans="2:85" s="55" customFormat="1" ht="12.75" customHeight="1">
      <c r="B307" s="51"/>
      <c r="D307" s="44"/>
      <c r="BE307" s="47"/>
      <c r="BP307" s="45"/>
      <c r="BQ307" s="45"/>
      <c r="BR307" s="45"/>
      <c r="BS307" s="45"/>
      <c r="BT307" s="45"/>
      <c r="BU307" s="45"/>
      <c r="BV307" s="45"/>
      <c r="BW307" s="45"/>
      <c r="CG307" s="47"/>
    </row>
    <row r="308" spans="2:85" s="55" customFormat="1" ht="12.75" customHeight="1">
      <c r="B308" s="51"/>
      <c r="D308" s="44"/>
      <c r="BE308" s="47"/>
      <c r="BP308" s="45"/>
      <c r="BQ308" s="45"/>
      <c r="BR308" s="45"/>
      <c r="BS308" s="45"/>
      <c r="BT308" s="45"/>
      <c r="BU308" s="45"/>
      <c r="BV308" s="45"/>
      <c r="BW308" s="45"/>
      <c r="CG308" s="47"/>
    </row>
    <row r="309" spans="2:85" s="55" customFormat="1" ht="12.75" customHeight="1">
      <c r="B309" s="51"/>
      <c r="D309" s="44"/>
      <c r="BE309" s="47"/>
      <c r="BP309" s="45"/>
      <c r="BQ309" s="45"/>
      <c r="BR309" s="45"/>
      <c r="BS309" s="45"/>
      <c r="BT309" s="45"/>
      <c r="BU309" s="45"/>
      <c r="BV309" s="45"/>
      <c r="BW309" s="45"/>
      <c r="CG309" s="47"/>
    </row>
    <row r="310" spans="2:85" s="55" customFormat="1" ht="12.75" customHeight="1">
      <c r="B310" s="51"/>
      <c r="D310" s="44"/>
      <c r="BE310" s="47"/>
      <c r="BP310" s="45"/>
      <c r="BQ310" s="45"/>
      <c r="BR310" s="45"/>
      <c r="BS310" s="45"/>
      <c r="BT310" s="45"/>
      <c r="BU310" s="45"/>
      <c r="BV310" s="45"/>
      <c r="BW310" s="45"/>
      <c r="CG310" s="47"/>
    </row>
    <row r="311" spans="2:85" s="55" customFormat="1" ht="12.75" customHeight="1">
      <c r="B311" s="51"/>
      <c r="D311" s="44"/>
      <c r="BE311" s="47"/>
      <c r="BP311" s="45"/>
      <c r="BQ311" s="45"/>
      <c r="BR311" s="45"/>
      <c r="BS311" s="45"/>
      <c r="BT311" s="45"/>
      <c r="BU311" s="45"/>
      <c r="BV311" s="45"/>
      <c r="BW311" s="45"/>
      <c r="CG311" s="47"/>
    </row>
    <row r="312" spans="2:85" s="55" customFormat="1" ht="12.75" customHeight="1">
      <c r="B312" s="51"/>
      <c r="D312" s="44"/>
      <c r="BE312" s="47"/>
      <c r="BP312" s="45"/>
      <c r="BQ312" s="45"/>
      <c r="BR312" s="45"/>
      <c r="BS312" s="45"/>
      <c r="BT312" s="45"/>
      <c r="BU312" s="45"/>
      <c r="BV312" s="45"/>
      <c r="BW312" s="45"/>
      <c r="CG312" s="47"/>
    </row>
    <row r="313" spans="2:85" s="55" customFormat="1" ht="12.75" customHeight="1">
      <c r="B313" s="51"/>
      <c r="D313" s="44"/>
      <c r="BE313" s="47"/>
      <c r="BP313" s="45"/>
      <c r="BQ313" s="45"/>
      <c r="BR313" s="45"/>
      <c r="BS313" s="45"/>
      <c r="BT313" s="45"/>
      <c r="BU313" s="45"/>
      <c r="BV313" s="45"/>
      <c r="BW313" s="45"/>
      <c r="CG313" s="47"/>
    </row>
    <row r="314" spans="2:85" s="55" customFormat="1" ht="12.75" customHeight="1">
      <c r="B314" s="51"/>
      <c r="D314" s="44"/>
      <c r="BE314" s="47"/>
      <c r="BP314" s="45"/>
      <c r="BQ314" s="45"/>
      <c r="BR314" s="45"/>
      <c r="BS314" s="45"/>
      <c r="BT314" s="45"/>
      <c r="BU314" s="45"/>
      <c r="BV314" s="45"/>
      <c r="BW314" s="45"/>
      <c r="CG314" s="47"/>
    </row>
    <row r="315" spans="2:85" s="55" customFormat="1" ht="12.75" customHeight="1">
      <c r="B315" s="51"/>
      <c r="D315" s="44"/>
      <c r="BE315" s="47"/>
      <c r="BP315" s="45"/>
      <c r="BQ315" s="45"/>
      <c r="BR315" s="45"/>
      <c r="BS315" s="45"/>
      <c r="BT315" s="45"/>
      <c r="BU315" s="45"/>
      <c r="BV315" s="45"/>
      <c r="BW315" s="45"/>
      <c r="CG315" s="47"/>
    </row>
    <row r="316" spans="2:85" s="55" customFormat="1" ht="12.75" customHeight="1">
      <c r="B316" s="51"/>
      <c r="D316" s="44"/>
      <c r="BE316" s="47"/>
      <c r="BP316" s="45"/>
      <c r="BQ316" s="45"/>
      <c r="BR316" s="45"/>
      <c r="BS316" s="45"/>
      <c r="BT316" s="45"/>
      <c r="BU316" s="45"/>
      <c r="BV316" s="45"/>
      <c r="BW316" s="45"/>
      <c r="CG316" s="47"/>
    </row>
  </sheetData>
  <mergeCells count="1">
    <mergeCell ref="Q5:U5"/>
  </mergeCells>
  <phoneticPr fontId="4" type="noConversion"/>
  <pageMargins left="0.75" right="0.75" top="0.5" bottom="0.5" header="0" footer="0.25"/>
  <pageSetup scale="83" firstPageNumber="104" pageOrder="overThenDown" orientation="portrait" useFirstPageNumber="1" r:id="rId1"/>
  <headerFooter alignWithMargins="0">
    <oddFooter>&amp;C&amp;"Times New Roman,Regular"&amp;11&amp;P</oddFooter>
  </headerFooter>
  <rowBreaks count="6" manualBreakCount="6">
    <brk id="87" max="22" man="1"/>
    <brk id="87" min="24" max="50" man="1"/>
    <brk id="87" min="52" max="64" man="1"/>
    <brk id="175" max="22" man="1"/>
    <brk id="175" min="24" max="50" man="1"/>
    <brk id="175" min="52" max="64" man="1"/>
  </rowBreaks>
  <colBreaks count="2" manualBreakCount="2">
    <brk id="12" min="9" max="250" man="1"/>
    <brk id="38" min="9" max="25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BV314"/>
  <sheetViews>
    <sheetView zoomScaleNormal="100" zoomScaleSheetLayoutView="70" workbookViewId="0">
      <pane xSplit="3" ySplit="9" topLeftCell="D10" activePane="bottomRight" state="frozen"/>
      <selection sqref="A1:IV65536"/>
      <selection pane="topRight" sqref="A1:IV65536"/>
      <selection pane="bottomLeft" sqref="A1:IV65536"/>
      <selection pane="bottomRight" activeCell="D10" sqref="D10"/>
    </sheetView>
  </sheetViews>
  <sheetFormatPr defaultColWidth="8.42578125" defaultRowHeight="12.75" customHeight="1"/>
  <cols>
    <col min="1" max="1" width="15.28515625" style="55" customWidth="1"/>
    <col min="2" max="2" width="1.7109375" style="51" customWidth="1"/>
    <col min="3" max="3" width="10.5703125" style="55" customWidth="1"/>
    <col min="4" max="4" width="1.7109375" style="55" customWidth="1"/>
    <col min="5" max="5" width="11.7109375" style="55" customWidth="1"/>
    <col min="6" max="6" width="1.7109375" style="55" customWidth="1"/>
    <col min="7" max="7" width="11.7109375" style="55" customWidth="1"/>
    <col min="8" max="8" width="1.7109375" style="55" customWidth="1"/>
    <col min="9" max="9" width="11.7109375" style="55" customWidth="1"/>
    <col min="10" max="10" width="1.7109375" style="55" customWidth="1"/>
    <col min="11" max="11" width="11.7109375" style="55" customWidth="1"/>
    <col min="12" max="12" width="1.7109375" style="55" customWidth="1"/>
    <col min="13" max="13" width="11.7109375" style="55" customWidth="1"/>
    <col min="14" max="14" width="1.7109375" style="55" customWidth="1"/>
    <col min="15" max="15" width="11.7109375" style="55" customWidth="1"/>
    <col min="16" max="16" width="1.7109375" style="55" customWidth="1"/>
    <col min="17" max="17" width="11.7109375" style="55" customWidth="1"/>
    <col min="18" max="18" width="1.85546875" style="55" customWidth="1"/>
    <col min="19" max="19" width="11.7109375" style="55" customWidth="1"/>
    <col min="20" max="20" width="1.7109375" style="55" customWidth="1"/>
    <col min="21" max="21" width="11.7109375" style="55" customWidth="1"/>
    <col min="22" max="22" width="1.7109375" style="55" customWidth="1"/>
    <col min="23" max="23" width="11.7109375" style="55" customWidth="1"/>
    <col min="24" max="24" width="14.5703125" style="55" customWidth="1"/>
    <col min="25" max="25" width="15.28515625" style="55" customWidth="1"/>
    <col min="26" max="26" width="1.7109375" style="47" customWidth="1"/>
    <col min="27" max="27" width="10.5703125" style="55" customWidth="1"/>
    <col min="28" max="28" width="1.7109375" style="55" customWidth="1"/>
    <col min="29" max="29" width="11.7109375" style="55" customWidth="1"/>
    <col min="30" max="30" width="1.7109375" style="55" customWidth="1"/>
    <col min="31" max="31" width="11.7109375" style="55" customWidth="1"/>
    <col min="32" max="32" width="1.7109375" style="55" customWidth="1"/>
    <col min="33" max="33" width="11.7109375" style="55" customWidth="1"/>
    <col min="34" max="34" width="1.7109375" style="55" customWidth="1"/>
    <col min="35" max="35" width="11.7109375" style="55" customWidth="1"/>
    <col min="36" max="36" width="1.7109375" style="55" customWidth="1"/>
    <col min="37" max="37" width="11.7109375" style="45" customWidth="1"/>
    <col min="38" max="38" width="1.7109375" style="45" customWidth="1"/>
    <col min="39" max="39" width="11.7109375" style="45" customWidth="1"/>
    <col min="40" max="40" width="1.7109375" style="45" customWidth="1"/>
    <col min="41" max="41" width="11.7109375" style="45" customWidth="1"/>
    <col min="42" max="42" width="1.7109375" style="45" customWidth="1"/>
    <col min="43" max="43" width="11.7109375" style="45" customWidth="1"/>
    <col min="44" max="44" width="1.7109375" style="45" customWidth="1"/>
    <col min="45" max="45" width="11.7109375" style="55" customWidth="1"/>
    <col min="46" max="46" width="1.7109375" style="55" customWidth="1"/>
    <col min="47" max="47" width="11.7109375" style="55" hidden="1" customWidth="1"/>
    <col min="48" max="48" width="1.7109375" style="55" hidden="1" customWidth="1"/>
    <col min="49" max="49" width="11.7109375" style="55" hidden="1" customWidth="1"/>
    <col min="50" max="50" width="1.7109375" style="55" hidden="1" customWidth="1"/>
    <col min="51" max="52" width="11.7109375" style="55" customWidth="1"/>
    <col min="53" max="53" width="15.28515625" style="55" customWidth="1"/>
    <col min="54" max="54" width="1.7109375" style="47" customWidth="1"/>
    <col min="55" max="55" width="10.5703125" style="55" customWidth="1"/>
    <col min="56" max="56" width="1.7109375" style="55" customWidth="1"/>
    <col min="57" max="57" width="11.7109375" style="55" customWidth="1"/>
    <col min="58" max="58" width="1.7109375" style="55" customWidth="1"/>
    <col min="59" max="59" width="11.7109375" style="55" customWidth="1"/>
    <col min="60" max="60" width="1.7109375" style="55" customWidth="1"/>
    <col min="61" max="61" width="11.7109375" style="55" customWidth="1"/>
    <col min="62" max="62" width="1.7109375" style="55" customWidth="1"/>
    <col min="63" max="63" width="11.7109375" style="55" customWidth="1"/>
    <col min="64" max="64" width="1.7109375" style="55" customWidth="1"/>
    <col min="65" max="65" width="11.7109375" style="55" customWidth="1"/>
    <col min="66" max="66" width="1.7109375" style="55" hidden="1" customWidth="1"/>
    <col min="67" max="67" width="11.7109375" style="55" hidden="1" customWidth="1"/>
    <col min="68" max="68" width="1.7109375" style="55" hidden="1" customWidth="1"/>
    <col min="69" max="69" width="11.7109375" style="55" hidden="1" customWidth="1"/>
    <col min="70" max="70" width="1.7109375" style="55" customWidth="1"/>
    <col min="71" max="71" width="11.7109375" style="55" customWidth="1"/>
    <col min="72" max="72" width="1.7109375" style="55" customWidth="1"/>
    <col min="73" max="73" width="11.7109375" style="55" customWidth="1"/>
    <col min="74" max="74" width="1.7109375" style="55" customWidth="1"/>
    <col min="75" max="75" width="11.7109375" style="55" customWidth="1"/>
    <col min="76" max="76" width="1.7109375" style="55" customWidth="1"/>
    <col min="77" max="77" width="11.7109375" style="55" customWidth="1"/>
    <col min="78" max="78" width="1.7109375" style="55" customWidth="1"/>
    <col min="79" max="79" width="11.7109375" style="55" customWidth="1"/>
    <col min="80" max="80" width="1.7109375" style="55" customWidth="1"/>
    <col min="81" max="81" width="11.7109375" style="55" customWidth="1"/>
    <col min="82" max="82" width="1.7109375" style="55" customWidth="1"/>
    <col min="83" max="83" width="11.7109375" style="55" customWidth="1"/>
    <col min="84" max="84" width="1.7109375" style="55" customWidth="1"/>
    <col min="85" max="85" width="11.7109375" style="55" customWidth="1"/>
    <col min="86" max="86" width="1.7109375" style="55" customWidth="1"/>
    <col min="87" max="16384" width="8.42578125" style="55"/>
  </cols>
  <sheetData>
    <row r="1" spans="1:66" s="85" customFormat="1" ht="12.75" customHeight="1">
      <c r="A1" s="74" t="s">
        <v>393</v>
      </c>
      <c r="C1" s="86"/>
      <c r="D1" s="86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4" t="s">
        <v>393</v>
      </c>
      <c r="AA1" s="86"/>
      <c r="AB1" s="86"/>
      <c r="AC1" s="74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74" t="s">
        <v>393</v>
      </c>
      <c r="BC1" s="86"/>
      <c r="BD1" s="86"/>
      <c r="BE1" s="35"/>
      <c r="BF1" s="35"/>
      <c r="BG1" s="35"/>
      <c r="BH1" s="35"/>
      <c r="BI1" s="35"/>
      <c r="BJ1" s="35"/>
      <c r="BK1" s="35"/>
      <c r="BL1" s="35"/>
      <c r="BM1" s="75"/>
      <c r="BN1" s="75"/>
    </row>
    <row r="2" spans="1:66" s="85" customFormat="1" ht="12.75" customHeight="1">
      <c r="A2" s="92" t="s">
        <v>472</v>
      </c>
      <c r="C2" s="86"/>
      <c r="D2" s="86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92" t="s">
        <v>473</v>
      </c>
      <c r="AA2" s="86"/>
      <c r="AB2" s="86"/>
      <c r="AC2" s="92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76" t="s">
        <v>348</v>
      </c>
      <c r="BC2" s="86"/>
      <c r="BD2" s="86"/>
      <c r="BE2" s="35"/>
      <c r="BF2" s="35"/>
      <c r="BG2" s="35"/>
      <c r="BH2" s="35"/>
      <c r="BI2" s="35"/>
      <c r="BJ2" s="35"/>
      <c r="BK2" s="35"/>
      <c r="BL2" s="35"/>
      <c r="BM2" s="75"/>
      <c r="BN2" s="75"/>
    </row>
    <row r="3" spans="1:66" ht="12.75" customHeight="1">
      <c r="A3" s="74" t="s">
        <v>500</v>
      </c>
      <c r="C3" s="87"/>
      <c r="D3" s="87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74" t="s">
        <v>500</v>
      </c>
      <c r="Z3" s="55"/>
      <c r="AA3" s="87"/>
      <c r="AB3" s="87"/>
      <c r="AC3" s="74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74" t="s">
        <v>500</v>
      </c>
      <c r="BB3" s="55"/>
      <c r="BC3" s="87"/>
      <c r="BD3" s="87"/>
      <c r="BE3" s="35"/>
      <c r="BF3" s="35"/>
      <c r="BG3" s="35"/>
      <c r="BH3" s="35"/>
      <c r="BI3" s="35"/>
      <c r="BJ3" s="35"/>
      <c r="BK3" s="35"/>
      <c r="BL3" s="35"/>
      <c r="BM3" s="35"/>
      <c r="BN3" s="35"/>
    </row>
    <row r="4" spans="1:66" ht="12.75" customHeight="1">
      <c r="A4" s="88" t="s">
        <v>289</v>
      </c>
      <c r="C4" s="87"/>
      <c r="D4" s="87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88" t="s">
        <v>289</v>
      </c>
      <c r="Z4" s="55"/>
      <c r="AA4" s="87"/>
      <c r="AB4" s="87"/>
      <c r="AC4" s="8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88" t="s">
        <v>289</v>
      </c>
      <c r="BB4" s="55"/>
      <c r="BC4" s="87"/>
      <c r="BD4" s="87"/>
      <c r="BE4" s="35"/>
      <c r="BF4" s="35"/>
      <c r="BG4" s="35"/>
      <c r="BH4" s="35"/>
      <c r="BI4" s="35"/>
      <c r="BJ4" s="35"/>
      <c r="BK4" s="35"/>
      <c r="BL4" s="35"/>
      <c r="BM4" s="35"/>
      <c r="BN4" s="35"/>
    </row>
    <row r="5" spans="1:66" ht="12.75" customHeight="1">
      <c r="A5" s="88"/>
      <c r="C5" s="87"/>
      <c r="D5" s="87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V5" s="35"/>
      <c r="W5" s="35"/>
      <c r="X5" s="35"/>
      <c r="Y5" s="88"/>
      <c r="Z5" s="55"/>
      <c r="AA5" s="87"/>
      <c r="AB5" s="87"/>
      <c r="AC5" s="74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88"/>
      <c r="BB5" s="55"/>
      <c r="BC5" s="87"/>
      <c r="BD5" s="87"/>
      <c r="BL5" s="35"/>
      <c r="BM5" s="35"/>
      <c r="BN5" s="35"/>
    </row>
    <row r="6" spans="1:66" ht="12.75" customHeight="1">
      <c r="A6" s="89"/>
      <c r="C6" s="89"/>
      <c r="D6" s="89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157" t="s">
        <v>2</v>
      </c>
      <c r="R6" s="157"/>
      <c r="S6" s="157"/>
      <c r="T6" s="157"/>
      <c r="U6" s="157"/>
      <c r="V6" s="93"/>
      <c r="W6" s="93"/>
      <c r="X6" s="77"/>
      <c r="Y6" s="89"/>
      <c r="Z6" s="55"/>
      <c r="AA6" s="89"/>
      <c r="AB6" s="89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8" t="s">
        <v>411</v>
      </c>
      <c r="AV6" s="35"/>
      <c r="AW6" s="8" t="s">
        <v>412</v>
      </c>
      <c r="AX6" s="35"/>
      <c r="AY6" s="35"/>
      <c r="AZ6" s="35"/>
      <c r="BA6" s="89"/>
      <c r="BB6" s="55"/>
      <c r="BC6" s="89"/>
      <c r="BD6" s="89"/>
      <c r="BE6" s="34" t="s">
        <v>348</v>
      </c>
      <c r="BF6" s="34"/>
      <c r="BG6" s="34"/>
      <c r="BH6" s="34"/>
      <c r="BI6" s="34"/>
      <c r="BJ6" s="34"/>
      <c r="BK6" s="34"/>
      <c r="BL6" s="77"/>
      <c r="BM6" s="35"/>
      <c r="BN6" s="35"/>
    </row>
    <row r="7" spans="1:66" s="89" customFormat="1" ht="12.75" customHeight="1"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 t="s">
        <v>7</v>
      </c>
      <c r="AC7" s="8"/>
      <c r="AD7" s="8"/>
      <c r="AE7" s="8"/>
      <c r="AF7" s="8"/>
      <c r="AG7" s="8"/>
      <c r="AH7" s="8"/>
      <c r="AI7" s="8"/>
      <c r="AJ7" s="8"/>
      <c r="AK7" s="8" t="s">
        <v>354</v>
      </c>
      <c r="AL7" s="8"/>
      <c r="AM7" s="8"/>
      <c r="AN7" s="8"/>
      <c r="AO7" s="8"/>
      <c r="AP7" s="8"/>
      <c r="AQ7" s="8"/>
      <c r="AR7" s="8"/>
      <c r="AS7" s="8"/>
      <c r="AT7" s="8"/>
      <c r="AU7" s="8" t="s">
        <v>349</v>
      </c>
      <c r="AV7" s="8"/>
      <c r="AW7" s="8" t="s">
        <v>349</v>
      </c>
      <c r="AX7" s="8"/>
      <c r="AY7" s="8"/>
      <c r="AZ7" s="8"/>
      <c r="BE7" s="8" t="s">
        <v>296</v>
      </c>
      <c r="BF7" s="8"/>
      <c r="BG7" s="8" t="s">
        <v>350</v>
      </c>
      <c r="BH7" s="8"/>
      <c r="BI7" s="8"/>
      <c r="BJ7" s="8"/>
      <c r="BK7" s="8" t="s">
        <v>294</v>
      </c>
      <c r="BL7" s="8"/>
      <c r="BM7" s="8" t="s">
        <v>6</v>
      </c>
      <c r="BN7" s="54"/>
    </row>
    <row r="8" spans="1:66" s="89" customFormat="1" ht="12.75" customHeight="1">
      <c r="E8" s="8" t="s">
        <v>3</v>
      </c>
      <c r="F8" s="8"/>
      <c r="G8" s="8" t="s">
        <v>351</v>
      </c>
      <c r="H8" s="8"/>
      <c r="I8" s="8" t="s">
        <v>6</v>
      </c>
      <c r="J8" s="8"/>
      <c r="K8" s="8" t="s">
        <v>3</v>
      </c>
      <c r="L8" s="8"/>
      <c r="M8" s="8" t="s">
        <v>352</v>
      </c>
      <c r="N8" s="8"/>
      <c r="O8" s="8" t="s">
        <v>6</v>
      </c>
      <c r="P8" s="8"/>
      <c r="Q8" s="89" t="s">
        <v>4</v>
      </c>
      <c r="R8" s="8"/>
      <c r="S8" s="8"/>
      <c r="T8" s="8"/>
      <c r="U8" s="8"/>
      <c r="V8" s="8"/>
      <c r="W8" s="8" t="s">
        <v>6</v>
      </c>
      <c r="X8" s="8"/>
      <c r="AC8" s="8" t="s">
        <v>345</v>
      </c>
      <c r="AD8" s="8"/>
      <c r="AE8" s="8" t="s">
        <v>353</v>
      </c>
      <c r="AF8" s="8"/>
      <c r="AG8" s="8"/>
      <c r="AH8" s="8"/>
      <c r="AI8" s="8" t="s">
        <v>345</v>
      </c>
      <c r="AJ8" s="8"/>
      <c r="AK8" s="89" t="s">
        <v>373</v>
      </c>
      <c r="AL8" s="8"/>
      <c r="AM8" s="8"/>
      <c r="AN8" s="8"/>
      <c r="AO8" s="8"/>
      <c r="AP8" s="8"/>
      <c r="AQ8" s="8" t="s">
        <v>4</v>
      </c>
      <c r="AR8" s="8"/>
      <c r="AS8" s="8" t="s">
        <v>368</v>
      </c>
      <c r="AT8" s="8"/>
      <c r="AU8" s="8" t="s">
        <v>413</v>
      </c>
      <c r="AV8" s="8"/>
      <c r="AW8" s="8" t="s">
        <v>419</v>
      </c>
      <c r="AX8" s="8"/>
      <c r="AY8" s="8" t="s">
        <v>355</v>
      </c>
      <c r="AZ8" s="8"/>
      <c r="BE8" s="8" t="s">
        <v>356</v>
      </c>
      <c r="BF8" s="8"/>
      <c r="BG8" s="8" t="s">
        <v>302</v>
      </c>
      <c r="BH8" s="8"/>
      <c r="BI8" s="8"/>
      <c r="BJ8" s="8"/>
      <c r="BK8" s="8" t="s">
        <v>352</v>
      </c>
      <c r="BL8" s="8"/>
      <c r="BM8" s="8" t="s">
        <v>352</v>
      </c>
      <c r="BN8" s="54"/>
    </row>
    <row r="9" spans="1:66" s="89" customFormat="1" ht="12.75" customHeight="1">
      <c r="A9" s="7" t="s">
        <v>8</v>
      </c>
      <c r="C9" s="7" t="s">
        <v>9</v>
      </c>
      <c r="D9" s="8"/>
      <c r="E9" s="7" t="s">
        <v>0</v>
      </c>
      <c r="F9" s="8"/>
      <c r="G9" s="7" t="s">
        <v>0</v>
      </c>
      <c r="H9" s="8"/>
      <c r="I9" s="7" t="s">
        <v>0</v>
      </c>
      <c r="J9" s="8"/>
      <c r="K9" s="7" t="s">
        <v>1</v>
      </c>
      <c r="L9" s="8"/>
      <c r="M9" s="7" t="s">
        <v>1</v>
      </c>
      <c r="N9" s="7"/>
      <c r="O9" s="7" t="s">
        <v>1</v>
      </c>
      <c r="P9" s="8"/>
      <c r="Q9" s="7" t="s">
        <v>0</v>
      </c>
      <c r="R9" s="8"/>
      <c r="S9" s="7" t="s">
        <v>10</v>
      </c>
      <c r="T9" s="8"/>
      <c r="U9" s="7" t="s">
        <v>11</v>
      </c>
      <c r="V9" s="8"/>
      <c r="W9" s="7" t="s">
        <v>2</v>
      </c>
      <c r="X9" s="8"/>
      <c r="Y9" s="7" t="s">
        <v>8</v>
      </c>
      <c r="AA9" s="7" t="s">
        <v>9</v>
      </c>
      <c r="AB9" s="8"/>
      <c r="AC9" s="78" t="s">
        <v>302</v>
      </c>
      <c r="AD9" s="8"/>
      <c r="AE9" s="78" t="s">
        <v>357</v>
      </c>
      <c r="AF9" s="8"/>
      <c r="AG9" s="78" t="s">
        <v>357</v>
      </c>
      <c r="AH9" s="8"/>
      <c r="AI9" s="78" t="s">
        <v>358</v>
      </c>
      <c r="AJ9" s="8"/>
      <c r="AK9" s="78" t="s">
        <v>374</v>
      </c>
      <c r="AL9" s="8"/>
      <c r="AM9" s="78" t="s">
        <v>359</v>
      </c>
      <c r="AN9" s="8"/>
      <c r="AO9" s="78" t="s">
        <v>360</v>
      </c>
      <c r="AP9" s="8"/>
      <c r="AQ9" s="7" t="s">
        <v>361</v>
      </c>
      <c r="AR9" s="8"/>
      <c r="AS9" s="78" t="s">
        <v>2</v>
      </c>
      <c r="AT9" s="8"/>
      <c r="AU9" s="7" t="s">
        <v>415</v>
      </c>
      <c r="AV9" s="8"/>
      <c r="AW9" s="7" t="s">
        <v>415</v>
      </c>
      <c r="AX9" s="8"/>
      <c r="AY9" s="78" t="s">
        <v>4</v>
      </c>
      <c r="AZ9" s="8"/>
      <c r="BA9" s="7" t="s">
        <v>8</v>
      </c>
      <c r="BC9" s="7" t="s">
        <v>9</v>
      </c>
      <c r="BD9" s="8"/>
      <c r="BE9" s="78" t="s">
        <v>362</v>
      </c>
      <c r="BF9" s="8"/>
      <c r="BG9" s="78" t="s">
        <v>362</v>
      </c>
      <c r="BH9" s="8"/>
      <c r="BI9" s="78" t="s">
        <v>363</v>
      </c>
      <c r="BJ9" s="8"/>
      <c r="BK9" s="78" t="s">
        <v>364</v>
      </c>
      <c r="BL9" s="8"/>
      <c r="BM9" s="7" t="s">
        <v>364</v>
      </c>
      <c r="BN9" s="54"/>
    </row>
    <row r="10" spans="1:66" s="89" customFormat="1" ht="12.75" customHeight="1">
      <c r="A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54"/>
    </row>
    <row r="11" spans="1:66" ht="12.75" hidden="1" customHeight="1">
      <c r="A11" s="35" t="s">
        <v>12</v>
      </c>
      <c r="C11" s="35" t="s">
        <v>13</v>
      </c>
      <c r="D11" s="35"/>
      <c r="E11" s="35">
        <f t="shared" ref="E11:E74" si="0">I11-G11</f>
        <v>0</v>
      </c>
      <c r="F11" s="35"/>
      <c r="G11" s="35"/>
      <c r="H11" s="35"/>
      <c r="I11" s="35"/>
      <c r="J11" s="35"/>
      <c r="K11" s="35">
        <f t="shared" ref="K11:K74" si="1">O11-M11</f>
        <v>0</v>
      </c>
      <c r="L11" s="35"/>
      <c r="M11" s="35">
        <f t="shared" ref="M11:M38" si="2">SUM(BM11)</f>
        <v>0</v>
      </c>
      <c r="N11" s="35"/>
      <c r="O11" s="35"/>
      <c r="P11" s="35"/>
      <c r="Q11" s="35"/>
      <c r="R11" s="35"/>
      <c r="S11" s="35"/>
      <c r="T11" s="35"/>
      <c r="U11" s="35"/>
      <c r="V11" s="35"/>
      <c r="W11" s="35">
        <f t="shared" ref="W11:W33" si="3">SUM(Q11:U11)</f>
        <v>0</v>
      </c>
      <c r="X11" s="35"/>
      <c r="Y11" s="35" t="s">
        <v>12</v>
      </c>
      <c r="Z11" s="55"/>
      <c r="AA11" s="35" t="s">
        <v>13</v>
      </c>
      <c r="AB11" s="35"/>
      <c r="AC11" s="35"/>
      <c r="AD11" s="35"/>
      <c r="AE11" s="35"/>
      <c r="AF11" s="35"/>
      <c r="AG11" s="35"/>
      <c r="AH11" s="35"/>
      <c r="AI11" s="45">
        <f>+AC11-AE11-AG11</f>
        <v>0</v>
      </c>
      <c r="AJ11" s="45"/>
      <c r="AK11" s="35"/>
      <c r="AL11" s="35"/>
      <c r="AM11" s="35"/>
      <c r="AN11" s="35"/>
      <c r="AO11" s="35"/>
      <c r="AP11" s="35"/>
      <c r="AQ11" s="35"/>
      <c r="AR11" s="35"/>
      <c r="AS11" s="45">
        <f>+AI11+AK11+AM11-AO11+AQ11</f>
        <v>0</v>
      </c>
      <c r="AT11" s="45"/>
      <c r="AU11" s="35">
        <v>0</v>
      </c>
      <c r="AV11" s="35"/>
      <c r="AW11" s="35">
        <v>0</v>
      </c>
      <c r="AX11" s="35"/>
      <c r="AY11" s="35">
        <f t="shared" ref="AY11:AY42" si="4">+E11-K11</f>
        <v>0</v>
      </c>
      <c r="AZ11" s="35"/>
      <c r="BA11" s="35" t="s">
        <v>12</v>
      </c>
      <c r="BB11" s="55"/>
      <c r="BC11" s="35" t="s">
        <v>13</v>
      </c>
      <c r="BD11" s="35"/>
      <c r="BE11" s="35"/>
      <c r="BF11" s="35"/>
      <c r="BG11" s="35"/>
      <c r="BH11" s="35"/>
      <c r="BI11" s="35"/>
      <c r="BJ11" s="35"/>
      <c r="BK11" s="35"/>
      <c r="BL11" s="35"/>
      <c r="BM11" s="35">
        <f t="shared" ref="BM11:BM27" si="5">SUM(BE11:BK11)</f>
        <v>0</v>
      </c>
      <c r="BN11" s="54" t="s">
        <v>347</v>
      </c>
    </row>
    <row r="12" spans="1:66" ht="12.75" hidden="1" customHeight="1">
      <c r="A12" s="35" t="s">
        <v>14</v>
      </c>
      <c r="C12" s="35" t="s">
        <v>15</v>
      </c>
      <c r="D12" s="35"/>
      <c r="E12" s="35">
        <f t="shared" si="0"/>
        <v>0</v>
      </c>
      <c r="F12" s="35"/>
      <c r="G12" s="35">
        <v>0</v>
      </c>
      <c r="H12" s="35"/>
      <c r="I12" s="35">
        <v>0</v>
      </c>
      <c r="J12" s="35"/>
      <c r="K12" s="35">
        <f t="shared" si="1"/>
        <v>0</v>
      </c>
      <c r="L12" s="35"/>
      <c r="M12" s="35">
        <f t="shared" si="2"/>
        <v>0</v>
      </c>
      <c r="N12" s="35"/>
      <c r="O12" s="35">
        <v>0</v>
      </c>
      <c r="P12" s="35"/>
      <c r="Q12" s="35">
        <v>0</v>
      </c>
      <c r="R12" s="35"/>
      <c r="S12" s="35">
        <v>0</v>
      </c>
      <c r="T12" s="35"/>
      <c r="U12" s="35">
        <v>0</v>
      </c>
      <c r="V12" s="35"/>
      <c r="W12" s="35">
        <f t="shared" si="3"/>
        <v>0</v>
      </c>
      <c r="X12" s="35"/>
      <c r="Y12" s="35" t="s">
        <v>14</v>
      </c>
      <c r="Z12" s="55"/>
      <c r="AA12" s="35" t="s">
        <v>15</v>
      </c>
      <c r="AB12" s="35"/>
      <c r="AC12" s="35">
        <v>0</v>
      </c>
      <c r="AD12" s="35"/>
      <c r="AE12" s="35">
        <v>0</v>
      </c>
      <c r="AF12" s="35"/>
      <c r="AG12" s="35">
        <v>0</v>
      </c>
      <c r="AH12" s="35"/>
      <c r="AI12" s="45">
        <v>0</v>
      </c>
      <c r="AJ12" s="45"/>
      <c r="AK12" s="35">
        <v>0</v>
      </c>
      <c r="AL12" s="35"/>
      <c r="AM12" s="35">
        <v>0</v>
      </c>
      <c r="AN12" s="35"/>
      <c r="AO12" s="35">
        <v>0</v>
      </c>
      <c r="AP12" s="35"/>
      <c r="AQ12" s="35">
        <v>0</v>
      </c>
      <c r="AR12" s="35"/>
      <c r="AS12" s="45">
        <v>0</v>
      </c>
      <c r="AT12" s="45"/>
      <c r="AU12" s="35">
        <v>0</v>
      </c>
      <c r="AV12" s="35"/>
      <c r="AW12" s="35">
        <v>0</v>
      </c>
      <c r="AX12" s="35"/>
      <c r="AY12" s="35">
        <f t="shared" si="4"/>
        <v>0</v>
      </c>
      <c r="AZ12" s="35"/>
      <c r="BA12" s="35" t="s">
        <v>14</v>
      </c>
      <c r="BB12" s="55"/>
      <c r="BC12" s="35" t="s">
        <v>15</v>
      </c>
      <c r="BD12" s="35"/>
      <c r="BE12" s="35">
        <v>0</v>
      </c>
      <c r="BF12" s="35"/>
      <c r="BG12" s="35">
        <v>0</v>
      </c>
      <c r="BH12" s="35"/>
      <c r="BI12" s="35">
        <v>0</v>
      </c>
      <c r="BJ12" s="35"/>
      <c r="BK12" s="35">
        <v>0</v>
      </c>
      <c r="BL12" s="35"/>
      <c r="BM12" s="35">
        <f t="shared" si="5"/>
        <v>0</v>
      </c>
      <c r="BN12" s="54" t="s">
        <v>347</v>
      </c>
    </row>
    <row r="13" spans="1:66" s="90" customFormat="1" ht="12.75" customHeight="1">
      <c r="A13" s="35" t="s">
        <v>16</v>
      </c>
      <c r="B13" s="51"/>
      <c r="C13" s="35" t="s">
        <v>17</v>
      </c>
      <c r="D13" s="35"/>
      <c r="E13" s="64">
        <f t="shared" si="0"/>
        <v>6167800</v>
      </c>
      <c r="F13" s="64"/>
      <c r="G13" s="64">
        <v>4649940</v>
      </c>
      <c r="H13" s="64"/>
      <c r="I13" s="64">
        <v>10817740</v>
      </c>
      <c r="J13" s="64"/>
      <c r="K13" s="64">
        <f t="shared" si="1"/>
        <v>525912</v>
      </c>
      <c r="L13" s="64"/>
      <c r="M13" s="64">
        <v>1740426</v>
      </c>
      <c r="N13" s="64"/>
      <c r="O13" s="64">
        <v>2266338</v>
      </c>
      <c r="P13" s="64"/>
      <c r="Q13" s="64">
        <v>2310986</v>
      </c>
      <c r="R13" s="64"/>
      <c r="S13" s="64">
        <v>0</v>
      </c>
      <c r="T13" s="64"/>
      <c r="U13" s="64">
        <v>6240416</v>
      </c>
      <c r="V13" s="64"/>
      <c r="W13" s="64">
        <f t="shared" si="3"/>
        <v>8551402</v>
      </c>
      <c r="X13" s="35"/>
      <c r="Y13" s="35" t="s">
        <v>16</v>
      </c>
      <c r="Z13" s="55"/>
      <c r="AA13" s="35" t="s">
        <v>17</v>
      </c>
      <c r="AB13" s="35"/>
      <c r="AC13" s="64">
        <v>9804010</v>
      </c>
      <c r="AD13" s="64"/>
      <c r="AE13" s="64">
        <f>9102077-7705925</f>
        <v>1396152</v>
      </c>
      <c r="AF13" s="64"/>
      <c r="AG13" s="64">
        <v>7705925</v>
      </c>
      <c r="AH13" s="64"/>
      <c r="AI13" s="94">
        <f>+AC13-AE13-AG13</f>
        <v>701933</v>
      </c>
      <c r="AJ13" s="94"/>
      <c r="AK13" s="64">
        <v>-167355</v>
      </c>
      <c r="AL13" s="64"/>
      <c r="AM13" s="64">
        <v>0</v>
      </c>
      <c r="AN13" s="64"/>
      <c r="AO13" s="64">
        <v>0</v>
      </c>
      <c r="AP13" s="64"/>
      <c r="AQ13" s="64">
        <v>0</v>
      </c>
      <c r="AR13" s="64"/>
      <c r="AS13" s="94">
        <f>+AI13+AK13+AM13-AO13+AQ13</f>
        <v>534578</v>
      </c>
      <c r="AT13" s="94"/>
      <c r="AU13" s="64">
        <v>0</v>
      </c>
      <c r="AV13" s="64"/>
      <c r="AW13" s="64">
        <v>0</v>
      </c>
      <c r="AX13" s="64"/>
      <c r="AY13" s="64">
        <f t="shared" si="4"/>
        <v>5641888</v>
      </c>
      <c r="AZ13" s="35"/>
      <c r="BA13" s="35" t="s">
        <v>16</v>
      </c>
      <c r="BB13" s="55"/>
      <c r="BC13" s="35" t="s">
        <v>17</v>
      </c>
      <c r="BD13" s="35"/>
      <c r="BE13" s="64">
        <f>163572+889726</f>
        <v>1053298</v>
      </c>
      <c r="BF13" s="64"/>
      <c r="BG13" s="64">
        <v>0</v>
      </c>
      <c r="BH13" s="64"/>
      <c r="BI13" s="64">
        <f>150000+832000</f>
        <v>982000</v>
      </c>
      <c r="BJ13" s="64"/>
      <c r="BK13" s="64">
        <v>18700</v>
      </c>
      <c r="BL13" s="64"/>
      <c r="BM13" s="64">
        <f t="shared" si="5"/>
        <v>2053998</v>
      </c>
      <c r="BN13" s="91" t="s">
        <v>347</v>
      </c>
    </row>
    <row r="14" spans="1:66" ht="12.75" hidden="1" customHeight="1">
      <c r="A14" s="35" t="s">
        <v>18</v>
      </c>
      <c r="C14" s="35" t="s">
        <v>18</v>
      </c>
      <c r="D14" s="35"/>
      <c r="E14" s="35">
        <f t="shared" si="0"/>
        <v>0</v>
      </c>
      <c r="F14" s="35"/>
      <c r="G14" s="35"/>
      <c r="H14" s="35"/>
      <c r="I14" s="35"/>
      <c r="J14" s="35"/>
      <c r="K14" s="35">
        <f t="shared" si="1"/>
        <v>0</v>
      </c>
      <c r="L14" s="35"/>
      <c r="M14" s="35">
        <f t="shared" si="2"/>
        <v>0</v>
      </c>
      <c r="N14" s="35"/>
      <c r="O14" s="35"/>
      <c r="P14" s="35"/>
      <c r="Q14" s="35"/>
      <c r="R14" s="35"/>
      <c r="S14" s="35">
        <v>0</v>
      </c>
      <c r="T14" s="35"/>
      <c r="U14" s="35"/>
      <c r="V14" s="35"/>
      <c r="W14" s="35">
        <f t="shared" si="3"/>
        <v>0</v>
      </c>
      <c r="X14" s="35"/>
      <c r="Y14" s="35" t="s">
        <v>18</v>
      </c>
      <c r="Z14" s="55"/>
      <c r="AA14" s="35" t="s">
        <v>18</v>
      </c>
      <c r="AB14" s="35"/>
      <c r="AC14" s="35">
        <v>0</v>
      </c>
      <c r="AD14" s="35"/>
      <c r="AE14" s="35">
        <v>0</v>
      </c>
      <c r="AF14" s="35"/>
      <c r="AG14" s="35">
        <v>0</v>
      </c>
      <c r="AH14" s="35"/>
      <c r="AI14" s="45">
        <f>+AC14-AE14-AG14</f>
        <v>0</v>
      </c>
      <c r="AJ14" s="45"/>
      <c r="AK14" s="35"/>
      <c r="AL14" s="35"/>
      <c r="AM14" s="35">
        <v>0</v>
      </c>
      <c r="AN14" s="35"/>
      <c r="AO14" s="35">
        <v>0</v>
      </c>
      <c r="AP14" s="35"/>
      <c r="AQ14" s="35">
        <v>0</v>
      </c>
      <c r="AR14" s="35"/>
      <c r="AS14" s="45">
        <f>+AI14+AK14+AM14-AO14+AQ14</f>
        <v>0</v>
      </c>
      <c r="AT14" s="45"/>
      <c r="AU14" s="35">
        <v>0</v>
      </c>
      <c r="AV14" s="35"/>
      <c r="AW14" s="35">
        <v>0</v>
      </c>
      <c r="AX14" s="35"/>
      <c r="AY14" s="35">
        <f t="shared" si="4"/>
        <v>0</v>
      </c>
      <c r="AZ14" s="35"/>
      <c r="BA14" s="35" t="s">
        <v>18</v>
      </c>
      <c r="BB14" s="55"/>
      <c r="BC14" s="35" t="s">
        <v>18</v>
      </c>
      <c r="BD14" s="35"/>
      <c r="BE14" s="35"/>
      <c r="BF14" s="35"/>
      <c r="BG14" s="35"/>
      <c r="BH14" s="35"/>
      <c r="BI14" s="35"/>
      <c r="BJ14" s="35"/>
      <c r="BK14" s="35"/>
      <c r="BL14" s="35"/>
      <c r="BM14" s="35">
        <f t="shared" si="5"/>
        <v>0</v>
      </c>
      <c r="BN14" s="54" t="s">
        <v>347</v>
      </c>
    </row>
    <row r="15" spans="1:66" ht="12.75" hidden="1" customHeight="1">
      <c r="A15" s="35" t="s">
        <v>19</v>
      </c>
      <c r="C15" s="35" t="s">
        <v>19</v>
      </c>
      <c r="D15" s="35"/>
      <c r="E15" s="35">
        <f t="shared" si="0"/>
        <v>0</v>
      </c>
      <c r="F15" s="35"/>
      <c r="G15" s="35"/>
      <c r="H15" s="35"/>
      <c r="I15" s="35"/>
      <c r="J15" s="35"/>
      <c r="K15" s="35">
        <f t="shared" si="1"/>
        <v>0</v>
      </c>
      <c r="L15" s="35"/>
      <c r="M15" s="35">
        <f t="shared" si="2"/>
        <v>0</v>
      </c>
      <c r="N15" s="35"/>
      <c r="O15" s="35"/>
      <c r="P15" s="35"/>
      <c r="Q15" s="35"/>
      <c r="R15" s="35"/>
      <c r="S15" s="35">
        <v>0</v>
      </c>
      <c r="T15" s="35"/>
      <c r="U15" s="35"/>
      <c r="V15" s="35"/>
      <c r="W15" s="35">
        <f t="shared" si="3"/>
        <v>0</v>
      </c>
      <c r="X15" s="35"/>
      <c r="Y15" s="35" t="s">
        <v>19</v>
      </c>
      <c r="Z15" s="55"/>
      <c r="AA15" s="35" t="s">
        <v>19</v>
      </c>
      <c r="AB15" s="35"/>
      <c r="AC15" s="35">
        <v>0</v>
      </c>
      <c r="AD15" s="35"/>
      <c r="AE15" s="35">
        <v>0</v>
      </c>
      <c r="AF15" s="35"/>
      <c r="AG15" s="35">
        <v>0</v>
      </c>
      <c r="AH15" s="35"/>
      <c r="AI15" s="45">
        <v>0</v>
      </c>
      <c r="AJ15" s="45"/>
      <c r="AK15" s="35"/>
      <c r="AL15" s="35"/>
      <c r="AM15" s="35">
        <v>0</v>
      </c>
      <c r="AN15" s="35"/>
      <c r="AO15" s="35">
        <v>0</v>
      </c>
      <c r="AP15" s="35"/>
      <c r="AQ15" s="35">
        <v>0</v>
      </c>
      <c r="AR15" s="35"/>
      <c r="AS15" s="45">
        <f>+AI15+AK15+AM15-AO15+AQ15</f>
        <v>0</v>
      </c>
      <c r="AT15" s="45"/>
      <c r="AU15" s="35">
        <v>0</v>
      </c>
      <c r="AV15" s="35"/>
      <c r="AW15" s="35">
        <v>0</v>
      </c>
      <c r="AX15" s="35"/>
      <c r="AY15" s="35">
        <f t="shared" si="4"/>
        <v>0</v>
      </c>
      <c r="AZ15" s="35"/>
      <c r="BA15" s="35" t="s">
        <v>19</v>
      </c>
      <c r="BB15" s="55"/>
      <c r="BC15" s="35" t="s">
        <v>19</v>
      </c>
      <c r="BD15" s="35"/>
      <c r="BE15" s="35"/>
      <c r="BF15" s="35"/>
      <c r="BG15" s="35"/>
      <c r="BH15" s="35"/>
      <c r="BI15" s="35"/>
      <c r="BJ15" s="35"/>
      <c r="BK15" s="35"/>
      <c r="BL15" s="35"/>
      <c r="BM15" s="35">
        <f t="shared" si="5"/>
        <v>0</v>
      </c>
      <c r="BN15" s="54" t="s">
        <v>347</v>
      </c>
    </row>
    <row r="16" spans="1:66" ht="12.75" hidden="1" customHeight="1">
      <c r="A16" s="35" t="s">
        <v>20</v>
      </c>
      <c r="C16" s="35" t="s">
        <v>20</v>
      </c>
      <c r="D16" s="35"/>
      <c r="E16" s="35">
        <f t="shared" si="0"/>
        <v>0</v>
      </c>
      <c r="F16" s="35"/>
      <c r="G16" s="35"/>
      <c r="H16" s="35"/>
      <c r="I16" s="35"/>
      <c r="J16" s="35"/>
      <c r="K16" s="35">
        <f t="shared" si="1"/>
        <v>0</v>
      </c>
      <c r="L16" s="35"/>
      <c r="M16" s="35">
        <f t="shared" si="2"/>
        <v>0</v>
      </c>
      <c r="N16" s="35"/>
      <c r="O16" s="35"/>
      <c r="P16" s="35"/>
      <c r="Q16" s="35"/>
      <c r="R16" s="35"/>
      <c r="S16" s="35">
        <v>0</v>
      </c>
      <c r="T16" s="35"/>
      <c r="U16" s="35"/>
      <c r="V16" s="35"/>
      <c r="W16" s="35">
        <f t="shared" si="3"/>
        <v>0</v>
      </c>
      <c r="X16" s="35"/>
      <c r="Y16" s="35" t="s">
        <v>20</v>
      </c>
      <c r="Z16" s="55"/>
      <c r="AA16" s="35" t="s">
        <v>20</v>
      </c>
      <c r="AB16" s="35"/>
      <c r="AC16" s="35">
        <v>0</v>
      </c>
      <c r="AD16" s="35"/>
      <c r="AE16" s="35">
        <v>0</v>
      </c>
      <c r="AF16" s="35"/>
      <c r="AG16" s="35">
        <v>0</v>
      </c>
      <c r="AH16" s="35"/>
      <c r="AI16" s="45">
        <v>0</v>
      </c>
      <c r="AJ16" s="45"/>
      <c r="AK16" s="35"/>
      <c r="AL16" s="35"/>
      <c r="AM16" s="35">
        <v>0</v>
      </c>
      <c r="AN16" s="35"/>
      <c r="AO16" s="35">
        <v>0</v>
      </c>
      <c r="AP16" s="35"/>
      <c r="AQ16" s="35">
        <v>0</v>
      </c>
      <c r="AR16" s="35"/>
      <c r="AS16" s="45">
        <f>+AI16+AK16+AM16-AO16+AQ16</f>
        <v>0</v>
      </c>
      <c r="AT16" s="45"/>
      <c r="AU16" s="35">
        <v>0</v>
      </c>
      <c r="AV16" s="35"/>
      <c r="AW16" s="35">
        <v>0</v>
      </c>
      <c r="AX16" s="35"/>
      <c r="AY16" s="35">
        <f t="shared" si="4"/>
        <v>0</v>
      </c>
      <c r="AZ16" s="35"/>
      <c r="BA16" s="35" t="s">
        <v>20</v>
      </c>
      <c r="BB16" s="55"/>
      <c r="BC16" s="35" t="s">
        <v>20</v>
      </c>
      <c r="BD16" s="35"/>
      <c r="BE16" s="35"/>
      <c r="BF16" s="35"/>
      <c r="BG16" s="35"/>
      <c r="BH16" s="35"/>
      <c r="BI16" s="35"/>
      <c r="BJ16" s="35"/>
      <c r="BK16" s="35"/>
      <c r="BL16" s="35"/>
      <c r="BM16" s="35">
        <f t="shared" si="5"/>
        <v>0</v>
      </c>
      <c r="BN16" s="54" t="s">
        <v>347</v>
      </c>
    </row>
    <row r="17" spans="1:67" ht="12.75" hidden="1" customHeight="1">
      <c r="A17" s="35" t="s">
        <v>21</v>
      </c>
      <c r="C17" s="35" t="s">
        <v>22</v>
      </c>
      <c r="D17" s="35"/>
      <c r="E17" s="35">
        <f t="shared" si="0"/>
        <v>0</v>
      </c>
      <c r="F17" s="35"/>
      <c r="G17" s="35"/>
      <c r="H17" s="35"/>
      <c r="I17" s="35"/>
      <c r="J17" s="35"/>
      <c r="K17" s="35">
        <f t="shared" si="1"/>
        <v>0</v>
      </c>
      <c r="L17" s="35"/>
      <c r="M17" s="35">
        <f t="shared" si="2"/>
        <v>0</v>
      </c>
      <c r="N17" s="35"/>
      <c r="O17" s="35"/>
      <c r="P17" s="35"/>
      <c r="Q17" s="35"/>
      <c r="R17" s="35"/>
      <c r="S17" s="35">
        <v>0</v>
      </c>
      <c r="T17" s="35"/>
      <c r="U17" s="35"/>
      <c r="V17" s="35"/>
      <c r="W17" s="35">
        <f t="shared" si="3"/>
        <v>0</v>
      </c>
      <c r="X17" s="35"/>
      <c r="Y17" s="35" t="s">
        <v>21</v>
      </c>
      <c r="Z17" s="55"/>
      <c r="AA17" s="35" t="s">
        <v>22</v>
      </c>
      <c r="AB17" s="35"/>
      <c r="AC17" s="35">
        <v>0</v>
      </c>
      <c r="AD17" s="35"/>
      <c r="AE17" s="35">
        <v>0</v>
      </c>
      <c r="AF17" s="35"/>
      <c r="AG17" s="35">
        <v>0</v>
      </c>
      <c r="AH17" s="35"/>
      <c r="AI17" s="45">
        <f t="shared" ref="AI17:AI31" si="6">+AC17-AE17-AG17</f>
        <v>0</v>
      </c>
      <c r="AJ17" s="45"/>
      <c r="AK17" s="35"/>
      <c r="AL17" s="35"/>
      <c r="AM17" s="35">
        <v>0</v>
      </c>
      <c r="AN17" s="35"/>
      <c r="AO17" s="35">
        <v>0</v>
      </c>
      <c r="AP17" s="35"/>
      <c r="AQ17" s="35">
        <v>0</v>
      </c>
      <c r="AR17" s="35"/>
      <c r="AS17" s="45">
        <f>+AI17+AK17+AM17-AO17+AQ17</f>
        <v>0</v>
      </c>
      <c r="AT17" s="45"/>
      <c r="AU17" s="35">
        <v>0</v>
      </c>
      <c r="AV17" s="35"/>
      <c r="AW17" s="35">
        <v>0</v>
      </c>
      <c r="AX17" s="35"/>
      <c r="AY17" s="35">
        <f t="shared" si="4"/>
        <v>0</v>
      </c>
      <c r="AZ17" s="35"/>
      <c r="BA17" s="35" t="s">
        <v>21</v>
      </c>
      <c r="BB17" s="55"/>
      <c r="BC17" s="35" t="s">
        <v>22</v>
      </c>
      <c r="BD17" s="35"/>
      <c r="BE17" s="35"/>
      <c r="BF17" s="35"/>
      <c r="BG17" s="35"/>
      <c r="BH17" s="35"/>
      <c r="BI17" s="35"/>
      <c r="BJ17" s="35"/>
      <c r="BK17" s="35"/>
      <c r="BL17" s="35"/>
      <c r="BM17" s="35">
        <f t="shared" si="5"/>
        <v>0</v>
      </c>
      <c r="BN17" s="54" t="s">
        <v>347</v>
      </c>
    </row>
    <row r="18" spans="1:67" ht="12.75" hidden="1" customHeight="1">
      <c r="A18" s="35" t="s">
        <v>23</v>
      </c>
      <c r="C18" s="35" t="s">
        <v>17</v>
      </c>
      <c r="D18" s="35"/>
      <c r="E18" s="35">
        <f t="shared" si="0"/>
        <v>0</v>
      </c>
      <c r="F18" s="35"/>
      <c r="G18" s="35"/>
      <c r="H18" s="35"/>
      <c r="I18" s="35"/>
      <c r="J18" s="35"/>
      <c r="K18" s="35">
        <f t="shared" si="1"/>
        <v>0</v>
      </c>
      <c r="L18" s="35"/>
      <c r="M18" s="35">
        <f t="shared" si="2"/>
        <v>0</v>
      </c>
      <c r="N18" s="35"/>
      <c r="O18" s="35"/>
      <c r="P18" s="35"/>
      <c r="Q18" s="35"/>
      <c r="R18" s="35"/>
      <c r="S18" s="35">
        <v>0</v>
      </c>
      <c r="T18" s="35"/>
      <c r="U18" s="35"/>
      <c r="V18" s="35"/>
      <c r="W18" s="35">
        <f t="shared" si="3"/>
        <v>0</v>
      </c>
      <c r="X18" s="35"/>
      <c r="Y18" s="35" t="s">
        <v>23</v>
      </c>
      <c r="Z18" s="55"/>
      <c r="AA18" s="35" t="s">
        <v>17</v>
      </c>
      <c r="AB18" s="35"/>
      <c r="AC18" s="35">
        <v>0</v>
      </c>
      <c r="AD18" s="35"/>
      <c r="AE18" s="35">
        <v>0</v>
      </c>
      <c r="AF18" s="35"/>
      <c r="AG18" s="35">
        <v>0</v>
      </c>
      <c r="AH18" s="35"/>
      <c r="AI18" s="45">
        <f t="shared" si="6"/>
        <v>0</v>
      </c>
      <c r="AJ18" s="45"/>
      <c r="AK18" s="35"/>
      <c r="AL18" s="35"/>
      <c r="AM18" s="35">
        <v>0</v>
      </c>
      <c r="AN18" s="35"/>
      <c r="AO18" s="35">
        <v>0</v>
      </c>
      <c r="AP18" s="35"/>
      <c r="AQ18" s="35">
        <v>0</v>
      </c>
      <c r="AR18" s="35"/>
      <c r="AS18" s="45">
        <v>0</v>
      </c>
      <c r="AT18" s="45"/>
      <c r="AU18" s="35">
        <v>0</v>
      </c>
      <c r="AV18" s="35"/>
      <c r="AW18" s="35">
        <v>0</v>
      </c>
      <c r="AX18" s="35"/>
      <c r="AY18" s="35">
        <f t="shared" si="4"/>
        <v>0</v>
      </c>
      <c r="AZ18" s="35"/>
      <c r="BA18" s="35" t="s">
        <v>23</v>
      </c>
      <c r="BB18" s="55"/>
      <c r="BC18" s="35" t="s">
        <v>17</v>
      </c>
      <c r="BD18" s="35"/>
      <c r="BE18" s="35"/>
      <c r="BF18" s="35"/>
      <c r="BG18" s="35"/>
      <c r="BH18" s="35"/>
      <c r="BI18" s="35"/>
      <c r="BJ18" s="35"/>
      <c r="BK18" s="35"/>
      <c r="BL18" s="35"/>
      <c r="BM18" s="35">
        <f t="shared" si="5"/>
        <v>0</v>
      </c>
      <c r="BN18" s="54" t="s">
        <v>347</v>
      </c>
    </row>
    <row r="19" spans="1:67" ht="12.75" hidden="1" customHeight="1">
      <c r="A19" s="35" t="s">
        <v>24</v>
      </c>
      <c r="C19" s="35" t="s">
        <v>17</v>
      </c>
      <c r="D19" s="35"/>
      <c r="E19" s="35">
        <f t="shared" si="0"/>
        <v>0</v>
      </c>
      <c r="F19" s="35"/>
      <c r="G19" s="35"/>
      <c r="H19" s="35"/>
      <c r="I19" s="35"/>
      <c r="J19" s="35"/>
      <c r="K19" s="35">
        <f t="shared" si="1"/>
        <v>0</v>
      </c>
      <c r="L19" s="35"/>
      <c r="M19" s="35">
        <f t="shared" si="2"/>
        <v>0</v>
      </c>
      <c r="N19" s="35"/>
      <c r="O19" s="35"/>
      <c r="P19" s="35"/>
      <c r="Q19" s="35"/>
      <c r="R19" s="35"/>
      <c r="S19" s="35"/>
      <c r="T19" s="35"/>
      <c r="U19" s="35"/>
      <c r="V19" s="35"/>
      <c r="W19" s="35">
        <f t="shared" si="3"/>
        <v>0</v>
      </c>
      <c r="X19" s="35"/>
      <c r="Y19" s="35" t="s">
        <v>24</v>
      </c>
      <c r="Z19" s="55"/>
      <c r="AA19" s="35" t="s">
        <v>17</v>
      </c>
      <c r="AB19" s="35"/>
      <c r="AC19" s="35"/>
      <c r="AD19" s="35"/>
      <c r="AE19" s="35"/>
      <c r="AF19" s="35"/>
      <c r="AG19" s="35"/>
      <c r="AH19" s="35"/>
      <c r="AI19" s="45">
        <f t="shared" si="6"/>
        <v>0</v>
      </c>
      <c r="AJ19" s="45"/>
      <c r="AK19" s="35"/>
      <c r="AL19" s="35"/>
      <c r="AM19" s="35"/>
      <c r="AN19" s="35"/>
      <c r="AO19" s="35"/>
      <c r="AP19" s="35"/>
      <c r="AQ19" s="35"/>
      <c r="AR19" s="35"/>
      <c r="AS19" s="45">
        <f t="shared" ref="AS19:AS27" si="7">+AI19+AK19+AM19-AO19+AQ19</f>
        <v>0</v>
      </c>
      <c r="AT19" s="45"/>
      <c r="AU19" s="35">
        <v>0</v>
      </c>
      <c r="AV19" s="35"/>
      <c r="AW19" s="35">
        <v>0</v>
      </c>
      <c r="AX19" s="35"/>
      <c r="AY19" s="35">
        <f t="shared" si="4"/>
        <v>0</v>
      </c>
      <c r="AZ19" s="35"/>
      <c r="BA19" s="35" t="s">
        <v>24</v>
      </c>
      <c r="BB19" s="55"/>
      <c r="BC19" s="35" t="s">
        <v>17</v>
      </c>
      <c r="BD19" s="35"/>
      <c r="BE19" s="35"/>
      <c r="BF19" s="35"/>
      <c r="BG19" s="35"/>
      <c r="BH19" s="35"/>
      <c r="BI19" s="35"/>
      <c r="BJ19" s="35"/>
      <c r="BK19" s="35"/>
      <c r="BL19" s="35"/>
      <c r="BM19" s="35">
        <f t="shared" si="5"/>
        <v>0</v>
      </c>
      <c r="BN19" s="54" t="s">
        <v>347</v>
      </c>
    </row>
    <row r="20" spans="1:67" ht="12.75" hidden="1" customHeight="1">
      <c r="A20" s="35" t="s">
        <v>25</v>
      </c>
      <c r="C20" s="35" t="s">
        <v>13</v>
      </c>
      <c r="D20" s="35"/>
      <c r="E20" s="35">
        <f t="shared" si="0"/>
        <v>0</v>
      </c>
      <c r="F20" s="35"/>
      <c r="G20" s="35"/>
      <c r="H20" s="35"/>
      <c r="I20" s="35"/>
      <c r="J20" s="35"/>
      <c r="K20" s="35">
        <f t="shared" si="1"/>
        <v>0</v>
      </c>
      <c r="L20" s="35"/>
      <c r="M20" s="35">
        <f t="shared" si="2"/>
        <v>0</v>
      </c>
      <c r="N20" s="35"/>
      <c r="O20" s="35"/>
      <c r="P20" s="35"/>
      <c r="Q20" s="35"/>
      <c r="R20" s="35"/>
      <c r="S20" s="35">
        <v>0</v>
      </c>
      <c r="T20" s="35"/>
      <c r="U20" s="35"/>
      <c r="V20" s="35"/>
      <c r="W20" s="35">
        <f t="shared" si="3"/>
        <v>0</v>
      </c>
      <c r="X20" s="35"/>
      <c r="Y20" s="35" t="s">
        <v>25</v>
      </c>
      <c r="Z20" s="55"/>
      <c r="AA20" s="35" t="s">
        <v>13</v>
      </c>
      <c r="AB20" s="35"/>
      <c r="AC20" s="35">
        <v>0</v>
      </c>
      <c r="AD20" s="35"/>
      <c r="AE20" s="35">
        <v>0</v>
      </c>
      <c r="AF20" s="35"/>
      <c r="AG20" s="35">
        <v>0</v>
      </c>
      <c r="AH20" s="35"/>
      <c r="AI20" s="45">
        <f t="shared" si="6"/>
        <v>0</v>
      </c>
      <c r="AJ20" s="45"/>
      <c r="AK20" s="35"/>
      <c r="AL20" s="35"/>
      <c r="AM20" s="35">
        <v>0</v>
      </c>
      <c r="AN20" s="35"/>
      <c r="AO20" s="35">
        <v>0</v>
      </c>
      <c r="AP20" s="35"/>
      <c r="AQ20" s="35">
        <v>0</v>
      </c>
      <c r="AR20" s="35"/>
      <c r="AS20" s="45">
        <f t="shared" si="7"/>
        <v>0</v>
      </c>
      <c r="AT20" s="45"/>
      <c r="AU20" s="35">
        <v>0</v>
      </c>
      <c r="AV20" s="35"/>
      <c r="AW20" s="35">
        <v>0</v>
      </c>
      <c r="AX20" s="35"/>
      <c r="AY20" s="35">
        <f t="shared" si="4"/>
        <v>0</v>
      </c>
      <c r="AZ20" s="35"/>
      <c r="BA20" s="35" t="s">
        <v>25</v>
      </c>
      <c r="BB20" s="55"/>
      <c r="BC20" s="35" t="s">
        <v>13</v>
      </c>
      <c r="BD20" s="35"/>
      <c r="BE20" s="35"/>
      <c r="BF20" s="35"/>
      <c r="BG20" s="35"/>
      <c r="BH20" s="35"/>
      <c r="BI20" s="35"/>
      <c r="BJ20" s="35"/>
      <c r="BK20" s="35"/>
      <c r="BL20" s="35"/>
      <c r="BM20" s="35">
        <f t="shared" si="5"/>
        <v>0</v>
      </c>
      <c r="BN20" s="54" t="s">
        <v>347</v>
      </c>
    </row>
    <row r="21" spans="1:67" ht="12.75" hidden="1" customHeight="1">
      <c r="A21" s="35" t="s">
        <v>26</v>
      </c>
      <c r="C21" s="35" t="s">
        <v>27</v>
      </c>
      <c r="D21" s="35"/>
      <c r="E21" s="35">
        <f t="shared" si="0"/>
        <v>0</v>
      </c>
      <c r="F21" s="35"/>
      <c r="G21" s="35"/>
      <c r="H21" s="35"/>
      <c r="I21" s="35"/>
      <c r="J21" s="35"/>
      <c r="K21" s="35">
        <f t="shared" si="1"/>
        <v>0</v>
      </c>
      <c r="L21" s="35"/>
      <c r="M21" s="35">
        <f t="shared" si="2"/>
        <v>0</v>
      </c>
      <c r="N21" s="35"/>
      <c r="O21" s="35"/>
      <c r="P21" s="35"/>
      <c r="Q21" s="35"/>
      <c r="R21" s="35"/>
      <c r="S21" s="35">
        <v>0</v>
      </c>
      <c r="T21" s="35"/>
      <c r="U21" s="35"/>
      <c r="V21" s="35"/>
      <c r="W21" s="35">
        <f t="shared" si="3"/>
        <v>0</v>
      </c>
      <c r="X21" s="35"/>
      <c r="Y21" s="35" t="s">
        <v>26</v>
      </c>
      <c r="Z21" s="55"/>
      <c r="AA21" s="35" t="s">
        <v>27</v>
      </c>
      <c r="AB21" s="35"/>
      <c r="AC21" s="35">
        <v>0</v>
      </c>
      <c r="AD21" s="35"/>
      <c r="AE21" s="35">
        <v>0</v>
      </c>
      <c r="AF21" s="35"/>
      <c r="AG21" s="35">
        <v>0</v>
      </c>
      <c r="AH21" s="35"/>
      <c r="AI21" s="45">
        <f t="shared" si="6"/>
        <v>0</v>
      </c>
      <c r="AJ21" s="45"/>
      <c r="AK21" s="35"/>
      <c r="AL21" s="35"/>
      <c r="AM21" s="35">
        <v>0</v>
      </c>
      <c r="AN21" s="35"/>
      <c r="AO21" s="35">
        <v>0</v>
      </c>
      <c r="AP21" s="35"/>
      <c r="AQ21" s="35">
        <v>0</v>
      </c>
      <c r="AR21" s="35"/>
      <c r="AS21" s="45">
        <f t="shared" si="7"/>
        <v>0</v>
      </c>
      <c r="AT21" s="45"/>
      <c r="AU21" s="35">
        <v>0</v>
      </c>
      <c r="AV21" s="35"/>
      <c r="AW21" s="35">
        <v>0</v>
      </c>
      <c r="AX21" s="35"/>
      <c r="AY21" s="35">
        <f t="shared" si="4"/>
        <v>0</v>
      </c>
      <c r="AZ21" s="35"/>
      <c r="BA21" s="35" t="s">
        <v>26</v>
      </c>
      <c r="BB21" s="55"/>
      <c r="BC21" s="35" t="s">
        <v>27</v>
      </c>
      <c r="BD21" s="35"/>
      <c r="BE21" s="35"/>
      <c r="BF21" s="35"/>
      <c r="BG21" s="35"/>
      <c r="BH21" s="35"/>
      <c r="BI21" s="35"/>
      <c r="BJ21" s="35"/>
      <c r="BK21" s="35"/>
      <c r="BL21" s="35"/>
      <c r="BM21" s="35">
        <f t="shared" si="5"/>
        <v>0</v>
      </c>
      <c r="BN21" s="54" t="s">
        <v>347</v>
      </c>
    </row>
    <row r="22" spans="1:67" ht="12.75" hidden="1" customHeight="1">
      <c r="A22" s="35" t="s">
        <v>28</v>
      </c>
      <c r="C22" s="35" t="s">
        <v>27</v>
      </c>
      <c r="D22" s="35"/>
      <c r="E22" s="35">
        <f t="shared" si="0"/>
        <v>0</v>
      </c>
      <c r="F22" s="35"/>
      <c r="G22" s="35"/>
      <c r="H22" s="35"/>
      <c r="I22" s="35"/>
      <c r="J22" s="35"/>
      <c r="K22" s="35">
        <f t="shared" si="1"/>
        <v>0</v>
      </c>
      <c r="L22" s="35"/>
      <c r="M22" s="35">
        <f t="shared" si="2"/>
        <v>0</v>
      </c>
      <c r="N22" s="35"/>
      <c r="O22" s="35"/>
      <c r="P22" s="35"/>
      <c r="Q22" s="35"/>
      <c r="R22" s="35"/>
      <c r="S22" s="35">
        <v>0</v>
      </c>
      <c r="T22" s="35"/>
      <c r="U22" s="35"/>
      <c r="V22" s="35"/>
      <c r="W22" s="35">
        <f t="shared" si="3"/>
        <v>0</v>
      </c>
      <c r="X22" s="35"/>
      <c r="Y22" s="35" t="s">
        <v>28</v>
      </c>
      <c r="Z22" s="55"/>
      <c r="AA22" s="35" t="s">
        <v>27</v>
      </c>
      <c r="AB22" s="35"/>
      <c r="AC22" s="35">
        <v>0</v>
      </c>
      <c r="AD22" s="35"/>
      <c r="AE22" s="35">
        <v>0</v>
      </c>
      <c r="AF22" s="35"/>
      <c r="AG22" s="35">
        <v>0</v>
      </c>
      <c r="AH22" s="35"/>
      <c r="AI22" s="45">
        <f t="shared" si="6"/>
        <v>0</v>
      </c>
      <c r="AJ22" s="45"/>
      <c r="AK22" s="35"/>
      <c r="AL22" s="35"/>
      <c r="AM22" s="35">
        <v>0</v>
      </c>
      <c r="AN22" s="35"/>
      <c r="AO22" s="35">
        <v>0</v>
      </c>
      <c r="AP22" s="35"/>
      <c r="AQ22" s="35">
        <v>0</v>
      </c>
      <c r="AR22" s="35"/>
      <c r="AS22" s="45">
        <f t="shared" si="7"/>
        <v>0</v>
      </c>
      <c r="AT22" s="45"/>
      <c r="AU22" s="35">
        <v>0</v>
      </c>
      <c r="AV22" s="35"/>
      <c r="AW22" s="35">
        <v>0</v>
      </c>
      <c r="AX22" s="35"/>
      <c r="AY22" s="35">
        <f t="shared" si="4"/>
        <v>0</v>
      </c>
      <c r="AZ22" s="35"/>
      <c r="BA22" s="35" t="s">
        <v>28</v>
      </c>
      <c r="BB22" s="55"/>
      <c r="BC22" s="35" t="s">
        <v>27</v>
      </c>
      <c r="BD22" s="35"/>
      <c r="BE22" s="35"/>
      <c r="BF22" s="35"/>
      <c r="BG22" s="35"/>
      <c r="BH22" s="35"/>
      <c r="BI22" s="35"/>
      <c r="BJ22" s="35"/>
      <c r="BK22" s="35"/>
      <c r="BL22" s="35"/>
      <c r="BM22" s="35">
        <f t="shared" si="5"/>
        <v>0</v>
      </c>
      <c r="BN22" s="54" t="s">
        <v>347</v>
      </c>
    </row>
    <row r="23" spans="1:67" ht="12.75" hidden="1" customHeight="1">
      <c r="A23" s="35" t="s">
        <v>29</v>
      </c>
      <c r="C23" s="35" t="s">
        <v>30</v>
      </c>
      <c r="D23" s="35"/>
      <c r="E23" s="35">
        <f t="shared" si="0"/>
        <v>0</v>
      </c>
      <c r="F23" s="35"/>
      <c r="G23" s="35"/>
      <c r="H23" s="35"/>
      <c r="I23" s="35"/>
      <c r="J23" s="35"/>
      <c r="K23" s="35">
        <f t="shared" si="1"/>
        <v>0</v>
      </c>
      <c r="L23" s="35"/>
      <c r="M23" s="35">
        <f t="shared" si="2"/>
        <v>0</v>
      </c>
      <c r="N23" s="35"/>
      <c r="O23" s="35"/>
      <c r="P23" s="35"/>
      <c r="Q23" s="35"/>
      <c r="R23" s="35"/>
      <c r="S23" s="35"/>
      <c r="T23" s="35"/>
      <c r="U23" s="35"/>
      <c r="V23" s="35"/>
      <c r="W23" s="35">
        <f t="shared" si="3"/>
        <v>0</v>
      </c>
      <c r="X23" s="35"/>
      <c r="Y23" s="35" t="s">
        <v>29</v>
      </c>
      <c r="Z23" s="55"/>
      <c r="AA23" s="35" t="s">
        <v>30</v>
      </c>
      <c r="AB23" s="35"/>
      <c r="AC23" s="35"/>
      <c r="AD23" s="35"/>
      <c r="AE23" s="35"/>
      <c r="AF23" s="35"/>
      <c r="AG23" s="35"/>
      <c r="AH23" s="35"/>
      <c r="AI23" s="45">
        <f t="shared" si="6"/>
        <v>0</v>
      </c>
      <c r="AJ23" s="45"/>
      <c r="AK23" s="35"/>
      <c r="AL23" s="35"/>
      <c r="AM23" s="35"/>
      <c r="AN23" s="35"/>
      <c r="AO23" s="35"/>
      <c r="AP23" s="35"/>
      <c r="AQ23" s="35"/>
      <c r="AR23" s="35"/>
      <c r="AS23" s="45">
        <f t="shared" si="7"/>
        <v>0</v>
      </c>
      <c r="AT23" s="45"/>
      <c r="AU23" s="35">
        <v>0</v>
      </c>
      <c r="AV23" s="35"/>
      <c r="AW23" s="35">
        <v>0</v>
      </c>
      <c r="AX23" s="35"/>
      <c r="AY23" s="35">
        <f t="shared" si="4"/>
        <v>0</v>
      </c>
      <c r="AZ23" s="35"/>
      <c r="BA23" s="35" t="s">
        <v>29</v>
      </c>
      <c r="BB23" s="55"/>
      <c r="BC23" s="35" t="s">
        <v>30</v>
      </c>
      <c r="BD23" s="35"/>
      <c r="BE23" s="35"/>
      <c r="BF23" s="35"/>
      <c r="BG23" s="35"/>
      <c r="BH23" s="35"/>
      <c r="BI23" s="35"/>
      <c r="BJ23" s="35"/>
      <c r="BK23" s="35"/>
      <c r="BL23" s="35"/>
      <c r="BM23" s="35">
        <f t="shared" si="5"/>
        <v>0</v>
      </c>
      <c r="BN23" s="54" t="s">
        <v>347</v>
      </c>
    </row>
    <row r="24" spans="1:67" ht="12.75" hidden="1" customHeight="1">
      <c r="A24" s="35" t="s">
        <v>31</v>
      </c>
      <c r="C24" s="35" t="s">
        <v>27</v>
      </c>
      <c r="D24" s="35"/>
      <c r="E24" s="35">
        <f t="shared" si="0"/>
        <v>0</v>
      </c>
      <c r="F24" s="35"/>
      <c r="G24" s="35"/>
      <c r="H24" s="35"/>
      <c r="I24" s="35"/>
      <c r="J24" s="35"/>
      <c r="K24" s="35">
        <f t="shared" si="1"/>
        <v>0</v>
      </c>
      <c r="L24" s="35"/>
      <c r="M24" s="35">
        <f t="shared" si="2"/>
        <v>0</v>
      </c>
      <c r="N24" s="35"/>
      <c r="O24" s="35"/>
      <c r="P24" s="35"/>
      <c r="Q24" s="35"/>
      <c r="R24" s="35"/>
      <c r="S24" s="35">
        <v>0</v>
      </c>
      <c r="T24" s="35"/>
      <c r="U24" s="35"/>
      <c r="V24" s="35"/>
      <c r="W24" s="35">
        <f t="shared" si="3"/>
        <v>0</v>
      </c>
      <c r="X24" s="35"/>
      <c r="Y24" s="35" t="s">
        <v>31</v>
      </c>
      <c r="Z24" s="55"/>
      <c r="AA24" s="35" t="s">
        <v>27</v>
      </c>
      <c r="AB24" s="35"/>
      <c r="AC24" s="35">
        <v>0</v>
      </c>
      <c r="AD24" s="35"/>
      <c r="AE24" s="35">
        <v>0</v>
      </c>
      <c r="AF24" s="35"/>
      <c r="AG24" s="35">
        <v>0</v>
      </c>
      <c r="AH24" s="35"/>
      <c r="AI24" s="45">
        <f t="shared" si="6"/>
        <v>0</v>
      </c>
      <c r="AJ24" s="45"/>
      <c r="AK24" s="35"/>
      <c r="AL24" s="35"/>
      <c r="AM24" s="35">
        <v>0</v>
      </c>
      <c r="AN24" s="35"/>
      <c r="AO24" s="35">
        <v>0</v>
      </c>
      <c r="AP24" s="35"/>
      <c r="AQ24" s="35">
        <v>0</v>
      </c>
      <c r="AR24" s="35"/>
      <c r="AS24" s="45">
        <f t="shared" si="7"/>
        <v>0</v>
      </c>
      <c r="AT24" s="45"/>
      <c r="AU24" s="35">
        <v>0</v>
      </c>
      <c r="AV24" s="35"/>
      <c r="AW24" s="35">
        <v>0</v>
      </c>
      <c r="AX24" s="35"/>
      <c r="AY24" s="35">
        <f t="shared" si="4"/>
        <v>0</v>
      </c>
      <c r="AZ24" s="35"/>
      <c r="BA24" s="35" t="s">
        <v>31</v>
      </c>
      <c r="BB24" s="55"/>
      <c r="BC24" s="35" t="s">
        <v>27</v>
      </c>
      <c r="BD24" s="35"/>
      <c r="BE24" s="35"/>
      <c r="BF24" s="35"/>
      <c r="BG24" s="35"/>
      <c r="BH24" s="35"/>
      <c r="BI24" s="35"/>
      <c r="BJ24" s="35"/>
      <c r="BK24" s="35"/>
      <c r="BL24" s="35"/>
      <c r="BM24" s="35">
        <f t="shared" si="5"/>
        <v>0</v>
      </c>
      <c r="BN24" s="54" t="s">
        <v>347</v>
      </c>
      <c r="BO24" s="55" t="s">
        <v>371</v>
      </c>
    </row>
    <row r="25" spans="1:67" ht="12.75" hidden="1" customHeight="1">
      <c r="A25" s="35" t="s">
        <v>32</v>
      </c>
      <c r="C25" s="35" t="s">
        <v>27</v>
      </c>
      <c r="D25" s="35"/>
      <c r="E25" s="35">
        <f t="shared" si="0"/>
        <v>0</v>
      </c>
      <c r="F25" s="35"/>
      <c r="G25" s="35"/>
      <c r="H25" s="35"/>
      <c r="I25" s="35"/>
      <c r="J25" s="35"/>
      <c r="K25" s="35">
        <f t="shared" si="1"/>
        <v>0</v>
      </c>
      <c r="L25" s="35"/>
      <c r="M25" s="35">
        <f t="shared" si="2"/>
        <v>0</v>
      </c>
      <c r="N25" s="35"/>
      <c r="O25" s="35"/>
      <c r="P25" s="35"/>
      <c r="Q25" s="35"/>
      <c r="R25" s="35"/>
      <c r="S25" s="35">
        <v>0</v>
      </c>
      <c r="T25" s="35"/>
      <c r="U25" s="35"/>
      <c r="V25" s="35"/>
      <c r="W25" s="35">
        <f t="shared" si="3"/>
        <v>0</v>
      </c>
      <c r="X25" s="35"/>
      <c r="Y25" s="35" t="s">
        <v>32</v>
      </c>
      <c r="Z25" s="55"/>
      <c r="AA25" s="35" t="s">
        <v>27</v>
      </c>
      <c r="AB25" s="35"/>
      <c r="AC25" s="35">
        <v>0</v>
      </c>
      <c r="AD25" s="35"/>
      <c r="AE25" s="35">
        <v>0</v>
      </c>
      <c r="AF25" s="35"/>
      <c r="AG25" s="35">
        <v>0</v>
      </c>
      <c r="AH25" s="35"/>
      <c r="AI25" s="45">
        <f t="shared" si="6"/>
        <v>0</v>
      </c>
      <c r="AJ25" s="45"/>
      <c r="AK25" s="35"/>
      <c r="AL25" s="35"/>
      <c r="AM25" s="35">
        <v>0</v>
      </c>
      <c r="AN25" s="35"/>
      <c r="AO25" s="35">
        <v>0</v>
      </c>
      <c r="AP25" s="35"/>
      <c r="AQ25" s="35">
        <v>0</v>
      </c>
      <c r="AR25" s="35"/>
      <c r="AS25" s="45">
        <f t="shared" si="7"/>
        <v>0</v>
      </c>
      <c r="AT25" s="45"/>
      <c r="AU25" s="35">
        <v>0</v>
      </c>
      <c r="AV25" s="35"/>
      <c r="AW25" s="35">
        <v>0</v>
      </c>
      <c r="AX25" s="35"/>
      <c r="AY25" s="35">
        <f t="shared" si="4"/>
        <v>0</v>
      </c>
      <c r="AZ25" s="35"/>
      <c r="BA25" s="35" t="s">
        <v>32</v>
      </c>
      <c r="BB25" s="55"/>
      <c r="BC25" s="35" t="s">
        <v>27</v>
      </c>
      <c r="BD25" s="35"/>
      <c r="BE25" s="35"/>
      <c r="BF25" s="35"/>
      <c r="BG25" s="35"/>
      <c r="BH25" s="35"/>
      <c r="BI25" s="35"/>
      <c r="BJ25" s="35"/>
      <c r="BK25" s="35"/>
      <c r="BL25" s="35"/>
      <c r="BM25" s="35">
        <f t="shared" si="5"/>
        <v>0</v>
      </c>
      <c r="BN25" s="54" t="s">
        <v>347</v>
      </c>
    </row>
    <row r="26" spans="1:67" ht="12.75" hidden="1" customHeight="1">
      <c r="A26" s="35" t="s">
        <v>34</v>
      </c>
      <c r="C26" s="35" t="s">
        <v>30</v>
      </c>
      <c r="D26" s="35"/>
      <c r="E26" s="35">
        <f t="shared" si="0"/>
        <v>0</v>
      </c>
      <c r="F26" s="35"/>
      <c r="G26" s="35"/>
      <c r="H26" s="35"/>
      <c r="I26" s="35"/>
      <c r="J26" s="35"/>
      <c r="K26" s="35">
        <f t="shared" si="1"/>
        <v>0</v>
      </c>
      <c r="L26" s="35"/>
      <c r="M26" s="35">
        <f t="shared" si="2"/>
        <v>0</v>
      </c>
      <c r="N26" s="35"/>
      <c r="O26" s="35"/>
      <c r="P26" s="35"/>
      <c r="Q26" s="35"/>
      <c r="R26" s="35"/>
      <c r="S26" s="35">
        <v>0</v>
      </c>
      <c r="T26" s="35"/>
      <c r="U26" s="35"/>
      <c r="V26" s="35"/>
      <c r="W26" s="35">
        <f t="shared" si="3"/>
        <v>0</v>
      </c>
      <c r="X26" s="35"/>
      <c r="Y26" s="35" t="s">
        <v>34</v>
      </c>
      <c r="Z26" s="55"/>
      <c r="AA26" s="35" t="s">
        <v>30</v>
      </c>
      <c r="AB26" s="35"/>
      <c r="AC26" s="35">
        <v>0</v>
      </c>
      <c r="AD26" s="35"/>
      <c r="AE26" s="35">
        <v>0</v>
      </c>
      <c r="AF26" s="35"/>
      <c r="AG26" s="35">
        <v>0</v>
      </c>
      <c r="AH26" s="35"/>
      <c r="AI26" s="45">
        <f t="shared" si="6"/>
        <v>0</v>
      </c>
      <c r="AJ26" s="45"/>
      <c r="AK26" s="35"/>
      <c r="AL26" s="35"/>
      <c r="AM26" s="35">
        <v>0</v>
      </c>
      <c r="AN26" s="35"/>
      <c r="AO26" s="35">
        <v>0</v>
      </c>
      <c r="AP26" s="35"/>
      <c r="AQ26" s="35">
        <v>0</v>
      </c>
      <c r="AR26" s="35"/>
      <c r="AS26" s="45">
        <f t="shared" si="7"/>
        <v>0</v>
      </c>
      <c r="AT26" s="45"/>
      <c r="AU26" s="35">
        <v>0</v>
      </c>
      <c r="AV26" s="35"/>
      <c r="AW26" s="35">
        <v>0</v>
      </c>
      <c r="AX26" s="35"/>
      <c r="AY26" s="35">
        <f t="shared" si="4"/>
        <v>0</v>
      </c>
      <c r="AZ26" s="35"/>
      <c r="BA26" s="35" t="s">
        <v>34</v>
      </c>
      <c r="BB26" s="55"/>
      <c r="BC26" s="35" t="s">
        <v>30</v>
      </c>
      <c r="BD26" s="35"/>
      <c r="BE26" s="35"/>
      <c r="BF26" s="35"/>
      <c r="BG26" s="35"/>
      <c r="BH26" s="35"/>
      <c r="BI26" s="35"/>
      <c r="BJ26" s="35"/>
      <c r="BK26" s="35"/>
      <c r="BL26" s="35"/>
      <c r="BM26" s="35">
        <f t="shared" si="5"/>
        <v>0</v>
      </c>
      <c r="BN26" s="54" t="s">
        <v>347</v>
      </c>
    </row>
    <row r="27" spans="1:67" ht="12.75" hidden="1" customHeight="1">
      <c r="A27" s="35" t="s">
        <v>35</v>
      </c>
      <c r="C27" s="35" t="s">
        <v>36</v>
      </c>
      <c r="D27" s="35"/>
      <c r="E27" s="35">
        <f t="shared" si="0"/>
        <v>0</v>
      </c>
      <c r="F27" s="35"/>
      <c r="G27" s="35"/>
      <c r="H27" s="35"/>
      <c r="I27" s="35"/>
      <c r="J27" s="35"/>
      <c r="K27" s="35">
        <f t="shared" si="1"/>
        <v>0</v>
      </c>
      <c r="L27" s="35"/>
      <c r="M27" s="35">
        <f t="shared" si="2"/>
        <v>0</v>
      </c>
      <c r="N27" s="35"/>
      <c r="O27" s="35"/>
      <c r="P27" s="35"/>
      <c r="Q27" s="35"/>
      <c r="R27" s="35"/>
      <c r="S27" s="35">
        <v>0</v>
      </c>
      <c r="T27" s="35"/>
      <c r="U27" s="35"/>
      <c r="V27" s="35"/>
      <c r="W27" s="35">
        <f t="shared" si="3"/>
        <v>0</v>
      </c>
      <c r="X27" s="35"/>
      <c r="Y27" s="35" t="s">
        <v>35</v>
      </c>
      <c r="Z27" s="55"/>
      <c r="AA27" s="35" t="s">
        <v>36</v>
      </c>
      <c r="AB27" s="35"/>
      <c r="AC27" s="35">
        <v>0</v>
      </c>
      <c r="AD27" s="35"/>
      <c r="AE27" s="35">
        <v>0</v>
      </c>
      <c r="AF27" s="35"/>
      <c r="AG27" s="35">
        <v>0</v>
      </c>
      <c r="AH27" s="35"/>
      <c r="AI27" s="45">
        <f t="shared" si="6"/>
        <v>0</v>
      </c>
      <c r="AJ27" s="45"/>
      <c r="AK27" s="35"/>
      <c r="AL27" s="35"/>
      <c r="AM27" s="35">
        <v>0</v>
      </c>
      <c r="AN27" s="35"/>
      <c r="AO27" s="35">
        <v>0</v>
      </c>
      <c r="AP27" s="35"/>
      <c r="AQ27" s="35">
        <v>0</v>
      </c>
      <c r="AR27" s="35"/>
      <c r="AS27" s="45">
        <f t="shared" si="7"/>
        <v>0</v>
      </c>
      <c r="AT27" s="45"/>
      <c r="AU27" s="35">
        <v>0</v>
      </c>
      <c r="AV27" s="35"/>
      <c r="AW27" s="35">
        <v>0</v>
      </c>
      <c r="AX27" s="35"/>
      <c r="AY27" s="35">
        <f t="shared" si="4"/>
        <v>0</v>
      </c>
      <c r="AZ27" s="35"/>
      <c r="BA27" s="35" t="s">
        <v>35</v>
      </c>
      <c r="BB27" s="55"/>
      <c r="BC27" s="35" t="s">
        <v>36</v>
      </c>
      <c r="BD27" s="35"/>
      <c r="BE27" s="35"/>
      <c r="BF27" s="35"/>
      <c r="BG27" s="35"/>
      <c r="BH27" s="35"/>
      <c r="BI27" s="35"/>
      <c r="BJ27" s="35"/>
      <c r="BK27" s="35"/>
      <c r="BL27" s="35"/>
      <c r="BM27" s="35">
        <f t="shared" si="5"/>
        <v>0</v>
      </c>
      <c r="BN27" s="54" t="s">
        <v>347</v>
      </c>
    </row>
    <row r="28" spans="1:67" ht="12.75" hidden="1" customHeight="1">
      <c r="A28" s="35" t="s">
        <v>37</v>
      </c>
      <c r="C28" s="35" t="s">
        <v>38</v>
      </c>
      <c r="D28" s="35"/>
      <c r="E28" s="35">
        <f t="shared" si="0"/>
        <v>0</v>
      </c>
      <c r="F28" s="35"/>
      <c r="G28" s="35"/>
      <c r="H28" s="35"/>
      <c r="I28" s="35"/>
      <c r="J28" s="35"/>
      <c r="K28" s="35">
        <f t="shared" si="1"/>
        <v>0</v>
      </c>
      <c r="L28" s="35"/>
      <c r="M28" s="35">
        <f t="shared" si="2"/>
        <v>0</v>
      </c>
      <c r="N28" s="35"/>
      <c r="O28" s="35"/>
      <c r="P28" s="35"/>
      <c r="Q28" s="35"/>
      <c r="R28" s="35"/>
      <c r="S28" s="35">
        <v>0</v>
      </c>
      <c r="T28" s="35"/>
      <c r="U28" s="35"/>
      <c r="V28" s="35"/>
      <c r="W28" s="35">
        <f t="shared" si="3"/>
        <v>0</v>
      </c>
      <c r="X28" s="35"/>
      <c r="Y28" s="35" t="s">
        <v>37</v>
      </c>
      <c r="Z28" s="55"/>
      <c r="AA28" s="35" t="s">
        <v>38</v>
      </c>
      <c r="AB28" s="35"/>
      <c r="AC28" s="35">
        <v>0</v>
      </c>
      <c r="AD28" s="35"/>
      <c r="AE28" s="35">
        <v>0</v>
      </c>
      <c r="AF28" s="35"/>
      <c r="AG28" s="35">
        <v>0</v>
      </c>
      <c r="AH28" s="35"/>
      <c r="AI28" s="45">
        <f t="shared" si="6"/>
        <v>0</v>
      </c>
      <c r="AJ28" s="45"/>
      <c r="AK28" s="35"/>
      <c r="AL28" s="35"/>
      <c r="AM28" s="35">
        <v>0</v>
      </c>
      <c r="AN28" s="35"/>
      <c r="AO28" s="35">
        <v>0</v>
      </c>
      <c r="AP28" s="35"/>
      <c r="AQ28" s="35">
        <v>0</v>
      </c>
      <c r="AR28" s="35"/>
      <c r="AS28" s="45">
        <v>0</v>
      </c>
      <c r="AT28" s="45"/>
      <c r="AU28" s="35">
        <v>0</v>
      </c>
      <c r="AV28" s="35"/>
      <c r="AW28" s="35">
        <v>0</v>
      </c>
      <c r="AX28" s="35"/>
      <c r="AY28" s="35">
        <f t="shared" si="4"/>
        <v>0</v>
      </c>
      <c r="AZ28" s="35"/>
      <c r="BA28" s="35" t="s">
        <v>37</v>
      </c>
      <c r="BB28" s="55"/>
      <c r="BC28" s="35" t="s">
        <v>38</v>
      </c>
      <c r="BD28" s="35"/>
      <c r="BE28" s="35"/>
      <c r="BF28" s="35"/>
      <c r="BG28" s="35"/>
      <c r="BH28" s="35"/>
      <c r="BI28" s="35"/>
      <c r="BJ28" s="35"/>
      <c r="BK28" s="35"/>
      <c r="BL28" s="35"/>
      <c r="BM28" s="35">
        <v>0</v>
      </c>
      <c r="BN28" s="54" t="s">
        <v>347</v>
      </c>
    </row>
    <row r="29" spans="1:67" ht="12.75" hidden="1" customHeight="1">
      <c r="A29" s="35" t="s">
        <v>39</v>
      </c>
      <c r="C29" s="35" t="s">
        <v>40</v>
      </c>
      <c r="D29" s="35"/>
      <c r="E29" s="35">
        <f t="shared" si="0"/>
        <v>0</v>
      </c>
      <c r="F29" s="35"/>
      <c r="G29" s="35"/>
      <c r="H29" s="35"/>
      <c r="I29" s="35"/>
      <c r="J29" s="35"/>
      <c r="K29" s="35">
        <f t="shared" si="1"/>
        <v>0</v>
      </c>
      <c r="L29" s="35"/>
      <c r="M29" s="35">
        <f t="shared" si="2"/>
        <v>0</v>
      </c>
      <c r="N29" s="35"/>
      <c r="O29" s="35"/>
      <c r="P29" s="35"/>
      <c r="Q29" s="35"/>
      <c r="R29" s="35"/>
      <c r="S29" s="35">
        <v>0</v>
      </c>
      <c r="T29" s="35"/>
      <c r="U29" s="35"/>
      <c r="V29" s="35"/>
      <c r="W29" s="35">
        <f t="shared" si="3"/>
        <v>0</v>
      </c>
      <c r="X29" s="35"/>
      <c r="Y29" s="35" t="s">
        <v>39</v>
      </c>
      <c r="Z29" s="55"/>
      <c r="AA29" s="35" t="s">
        <v>40</v>
      </c>
      <c r="AB29" s="35"/>
      <c r="AC29" s="35">
        <v>0</v>
      </c>
      <c r="AD29" s="35"/>
      <c r="AE29" s="35">
        <v>0</v>
      </c>
      <c r="AF29" s="35"/>
      <c r="AG29" s="35">
        <v>0</v>
      </c>
      <c r="AH29" s="35"/>
      <c r="AI29" s="45">
        <f t="shared" si="6"/>
        <v>0</v>
      </c>
      <c r="AJ29" s="45"/>
      <c r="AK29" s="35"/>
      <c r="AL29" s="35"/>
      <c r="AM29" s="35">
        <v>0</v>
      </c>
      <c r="AN29" s="35"/>
      <c r="AO29" s="35">
        <v>0</v>
      </c>
      <c r="AP29" s="35"/>
      <c r="AQ29" s="35">
        <v>0</v>
      </c>
      <c r="AR29" s="35"/>
      <c r="AS29" s="45">
        <f t="shared" ref="AS29:AS34" si="8">+AI29+AK29+AM29-AO29+AQ29</f>
        <v>0</v>
      </c>
      <c r="AT29" s="45"/>
      <c r="AU29" s="35">
        <v>0</v>
      </c>
      <c r="AV29" s="35"/>
      <c r="AW29" s="35">
        <v>0</v>
      </c>
      <c r="AX29" s="35"/>
      <c r="AY29" s="35">
        <f t="shared" si="4"/>
        <v>0</v>
      </c>
      <c r="AZ29" s="35"/>
      <c r="BA29" s="35" t="s">
        <v>39</v>
      </c>
      <c r="BB29" s="55"/>
      <c r="BC29" s="35" t="s">
        <v>40</v>
      </c>
      <c r="BD29" s="35"/>
      <c r="BE29" s="35"/>
      <c r="BF29" s="35"/>
      <c r="BG29" s="35"/>
      <c r="BH29" s="35"/>
      <c r="BI29" s="35"/>
      <c r="BJ29" s="35"/>
      <c r="BK29" s="35"/>
      <c r="BL29" s="35"/>
      <c r="BM29" s="35">
        <f>SUM(BE29:BK29)</f>
        <v>0</v>
      </c>
      <c r="BN29" s="54" t="s">
        <v>347</v>
      </c>
    </row>
    <row r="30" spans="1:67" ht="12.75" hidden="1" customHeight="1">
      <c r="A30" s="35" t="s">
        <v>41</v>
      </c>
      <c r="C30" s="35" t="s">
        <v>27</v>
      </c>
      <c r="D30" s="35"/>
      <c r="E30" s="35">
        <f t="shared" si="0"/>
        <v>0</v>
      </c>
      <c r="F30" s="35"/>
      <c r="G30" s="35"/>
      <c r="H30" s="35"/>
      <c r="I30" s="35"/>
      <c r="J30" s="35"/>
      <c r="K30" s="35">
        <f t="shared" si="1"/>
        <v>0</v>
      </c>
      <c r="L30" s="35"/>
      <c r="M30" s="35">
        <f t="shared" si="2"/>
        <v>0</v>
      </c>
      <c r="N30" s="35"/>
      <c r="O30" s="35"/>
      <c r="P30" s="35"/>
      <c r="Q30" s="35"/>
      <c r="R30" s="35"/>
      <c r="S30" s="35">
        <v>0</v>
      </c>
      <c r="T30" s="35"/>
      <c r="U30" s="35"/>
      <c r="V30" s="35"/>
      <c r="W30" s="35">
        <f t="shared" si="3"/>
        <v>0</v>
      </c>
      <c r="X30" s="35"/>
      <c r="Y30" s="35" t="s">
        <v>41</v>
      </c>
      <c r="Z30" s="55"/>
      <c r="AA30" s="35" t="s">
        <v>27</v>
      </c>
      <c r="AB30" s="35"/>
      <c r="AC30" s="35">
        <v>0</v>
      </c>
      <c r="AD30" s="35"/>
      <c r="AE30" s="35">
        <v>0</v>
      </c>
      <c r="AF30" s="35"/>
      <c r="AG30" s="35">
        <v>0</v>
      </c>
      <c r="AH30" s="35"/>
      <c r="AI30" s="45">
        <f t="shared" si="6"/>
        <v>0</v>
      </c>
      <c r="AJ30" s="45"/>
      <c r="AK30" s="35"/>
      <c r="AL30" s="35"/>
      <c r="AM30" s="35">
        <v>0</v>
      </c>
      <c r="AN30" s="35"/>
      <c r="AO30" s="35">
        <v>0</v>
      </c>
      <c r="AP30" s="35"/>
      <c r="AQ30" s="35">
        <v>0</v>
      </c>
      <c r="AR30" s="35"/>
      <c r="AS30" s="45">
        <f t="shared" si="8"/>
        <v>0</v>
      </c>
      <c r="AT30" s="45"/>
      <c r="AU30" s="35">
        <v>0</v>
      </c>
      <c r="AV30" s="35"/>
      <c r="AW30" s="35">
        <v>0</v>
      </c>
      <c r="AX30" s="35"/>
      <c r="AY30" s="35">
        <f t="shared" si="4"/>
        <v>0</v>
      </c>
      <c r="AZ30" s="35"/>
      <c r="BA30" s="35" t="s">
        <v>41</v>
      </c>
      <c r="BB30" s="55"/>
      <c r="BC30" s="35" t="s">
        <v>27</v>
      </c>
      <c r="BD30" s="35"/>
      <c r="BE30" s="35"/>
      <c r="BF30" s="35"/>
      <c r="BG30" s="35"/>
      <c r="BH30" s="35"/>
      <c r="BI30" s="35"/>
      <c r="BJ30" s="35"/>
      <c r="BK30" s="35"/>
      <c r="BL30" s="35"/>
      <c r="BM30" s="35">
        <f>SUM(BE30:BK30)</f>
        <v>0</v>
      </c>
      <c r="BN30" s="54" t="s">
        <v>347</v>
      </c>
    </row>
    <row r="31" spans="1:67" ht="12.75" hidden="1" customHeight="1">
      <c r="A31" s="35" t="s">
        <v>42</v>
      </c>
      <c r="C31" s="35" t="s">
        <v>43</v>
      </c>
      <c r="D31" s="35"/>
      <c r="E31" s="35">
        <f t="shared" si="0"/>
        <v>0</v>
      </c>
      <c r="F31" s="35"/>
      <c r="G31" s="35"/>
      <c r="H31" s="35"/>
      <c r="I31" s="35"/>
      <c r="J31" s="35"/>
      <c r="K31" s="35">
        <f t="shared" si="1"/>
        <v>0</v>
      </c>
      <c r="L31" s="35"/>
      <c r="M31" s="35">
        <f t="shared" si="2"/>
        <v>0</v>
      </c>
      <c r="N31" s="35"/>
      <c r="O31" s="35"/>
      <c r="P31" s="35"/>
      <c r="Q31" s="35"/>
      <c r="R31" s="35"/>
      <c r="S31" s="35"/>
      <c r="T31" s="35"/>
      <c r="U31" s="35"/>
      <c r="V31" s="35"/>
      <c r="W31" s="35">
        <f t="shared" si="3"/>
        <v>0</v>
      </c>
      <c r="X31" s="35"/>
      <c r="Y31" s="35" t="s">
        <v>42</v>
      </c>
      <c r="Z31" s="55"/>
      <c r="AA31" s="35" t="s">
        <v>43</v>
      </c>
      <c r="AB31" s="35"/>
      <c r="AC31" s="35"/>
      <c r="AD31" s="35"/>
      <c r="AE31" s="35"/>
      <c r="AF31" s="35"/>
      <c r="AG31" s="35"/>
      <c r="AH31" s="35"/>
      <c r="AI31" s="45">
        <f t="shared" si="6"/>
        <v>0</v>
      </c>
      <c r="AJ31" s="45"/>
      <c r="AK31" s="35"/>
      <c r="AL31" s="35"/>
      <c r="AM31" s="35"/>
      <c r="AN31" s="35"/>
      <c r="AO31" s="35"/>
      <c r="AP31" s="35"/>
      <c r="AQ31" s="35"/>
      <c r="AR31" s="35"/>
      <c r="AS31" s="45">
        <f t="shared" si="8"/>
        <v>0</v>
      </c>
      <c r="AT31" s="45"/>
      <c r="AU31" s="35">
        <v>0</v>
      </c>
      <c r="AV31" s="35"/>
      <c r="AW31" s="35">
        <v>0</v>
      </c>
      <c r="AX31" s="35"/>
      <c r="AY31" s="35">
        <f t="shared" si="4"/>
        <v>0</v>
      </c>
      <c r="AZ31" s="35"/>
      <c r="BA31" s="35" t="s">
        <v>42</v>
      </c>
      <c r="BB31" s="55"/>
      <c r="BC31" s="35" t="s">
        <v>43</v>
      </c>
      <c r="BD31" s="35"/>
      <c r="BE31" s="35"/>
      <c r="BF31" s="35"/>
      <c r="BG31" s="35"/>
      <c r="BH31" s="35"/>
      <c r="BI31" s="35"/>
      <c r="BJ31" s="35"/>
      <c r="BK31" s="35"/>
      <c r="BL31" s="35"/>
      <c r="BM31" s="35">
        <f>SUM(BE31:BK31)</f>
        <v>0</v>
      </c>
      <c r="BN31" s="54" t="s">
        <v>347</v>
      </c>
    </row>
    <row r="32" spans="1:67" ht="12.75" hidden="1" customHeight="1">
      <c r="A32" s="35" t="s">
        <v>44</v>
      </c>
      <c r="C32" s="35" t="s">
        <v>45</v>
      </c>
      <c r="D32" s="35"/>
      <c r="E32" s="35">
        <f t="shared" si="0"/>
        <v>0</v>
      </c>
      <c r="F32" s="35"/>
      <c r="G32" s="35"/>
      <c r="H32" s="35"/>
      <c r="I32" s="35"/>
      <c r="J32" s="35"/>
      <c r="K32" s="35">
        <f t="shared" si="1"/>
        <v>0</v>
      </c>
      <c r="L32" s="35"/>
      <c r="M32" s="35">
        <f t="shared" si="2"/>
        <v>0</v>
      </c>
      <c r="N32" s="35"/>
      <c r="O32" s="35"/>
      <c r="P32" s="35"/>
      <c r="Q32" s="35"/>
      <c r="R32" s="35"/>
      <c r="S32" s="35">
        <v>0</v>
      </c>
      <c r="T32" s="35"/>
      <c r="U32" s="35"/>
      <c r="V32" s="35"/>
      <c r="W32" s="35">
        <f t="shared" si="3"/>
        <v>0</v>
      </c>
      <c r="X32" s="35"/>
      <c r="Y32" s="35" t="s">
        <v>44</v>
      </c>
      <c r="Z32" s="55"/>
      <c r="AA32" s="35" t="s">
        <v>45</v>
      </c>
      <c r="AB32" s="35"/>
      <c r="AC32" s="35">
        <v>0</v>
      </c>
      <c r="AD32" s="35"/>
      <c r="AE32" s="35">
        <v>0</v>
      </c>
      <c r="AF32" s="35"/>
      <c r="AG32" s="35">
        <v>0</v>
      </c>
      <c r="AH32" s="35"/>
      <c r="AI32" s="45">
        <v>0</v>
      </c>
      <c r="AJ32" s="45"/>
      <c r="AK32" s="35"/>
      <c r="AL32" s="35"/>
      <c r="AM32" s="35">
        <v>0</v>
      </c>
      <c r="AN32" s="35"/>
      <c r="AO32" s="35">
        <v>0</v>
      </c>
      <c r="AP32" s="35"/>
      <c r="AQ32" s="35">
        <v>0</v>
      </c>
      <c r="AR32" s="35"/>
      <c r="AS32" s="45">
        <f t="shared" si="8"/>
        <v>0</v>
      </c>
      <c r="AT32" s="45"/>
      <c r="AU32" s="35">
        <v>0</v>
      </c>
      <c r="AV32" s="35"/>
      <c r="AW32" s="35">
        <v>0</v>
      </c>
      <c r="AX32" s="35"/>
      <c r="AY32" s="35">
        <f t="shared" si="4"/>
        <v>0</v>
      </c>
      <c r="AZ32" s="35"/>
      <c r="BA32" s="35" t="s">
        <v>44</v>
      </c>
      <c r="BB32" s="55"/>
      <c r="BC32" s="35" t="s">
        <v>45</v>
      </c>
      <c r="BD32" s="35"/>
      <c r="BE32" s="35"/>
      <c r="BF32" s="35"/>
      <c r="BG32" s="35"/>
      <c r="BH32" s="35"/>
      <c r="BI32" s="35"/>
      <c r="BJ32" s="35"/>
      <c r="BK32" s="35"/>
      <c r="BL32" s="35"/>
      <c r="BM32" s="35">
        <v>0</v>
      </c>
      <c r="BN32" s="54" t="s">
        <v>347</v>
      </c>
    </row>
    <row r="33" spans="1:67" ht="12.75" customHeight="1">
      <c r="A33" s="35" t="s">
        <v>46</v>
      </c>
      <c r="B33" s="65"/>
      <c r="C33" s="35" t="s">
        <v>47</v>
      </c>
      <c r="D33" s="35"/>
      <c r="E33" s="35">
        <f t="shared" si="0"/>
        <v>17429805</v>
      </c>
      <c r="F33" s="35"/>
      <c r="G33" s="35">
        <v>28365293</v>
      </c>
      <c r="H33" s="35"/>
      <c r="I33" s="35">
        <v>45795098</v>
      </c>
      <c r="J33" s="35"/>
      <c r="K33" s="35">
        <f t="shared" si="1"/>
        <v>7176056</v>
      </c>
      <c r="L33" s="35"/>
      <c r="M33" s="35">
        <v>9225096</v>
      </c>
      <c r="N33" s="35"/>
      <c r="O33" s="35">
        <v>16401152</v>
      </c>
      <c r="P33" s="35"/>
      <c r="Q33" s="35">
        <v>12803805</v>
      </c>
      <c r="R33" s="35"/>
      <c r="S33" s="35">
        <v>0</v>
      </c>
      <c r="T33" s="35"/>
      <c r="U33" s="35">
        <v>16590141</v>
      </c>
      <c r="V33" s="35"/>
      <c r="W33" s="35">
        <f t="shared" si="3"/>
        <v>29393946</v>
      </c>
      <c r="X33" s="35"/>
      <c r="Y33" s="35" t="s">
        <v>46</v>
      </c>
      <c r="Z33" s="55"/>
      <c r="AA33" s="35" t="s">
        <v>47</v>
      </c>
      <c r="AB33" s="35"/>
      <c r="AC33" s="35">
        <v>39327083</v>
      </c>
      <c r="AD33" s="35"/>
      <c r="AE33" s="35">
        <f>37089785-1145581</f>
        <v>35944204</v>
      </c>
      <c r="AF33" s="35"/>
      <c r="AG33" s="35">
        <v>1145581</v>
      </c>
      <c r="AH33" s="35"/>
      <c r="AI33" s="45">
        <f>+AC33-AE33-AG33</f>
        <v>2237298</v>
      </c>
      <c r="AJ33" s="45"/>
      <c r="AK33" s="35">
        <v>-323711</v>
      </c>
      <c r="AL33" s="35"/>
      <c r="AM33" s="35">
        <v>0</v>
      </c>
      <c r="AN33" s="35"/>
      <c r="AO33" s="35">
        <v>0</v>
      </c>
      <c r="AP33" s="35"/>
      <c r="AQ33" s="35">
        <v>0</v>
      </c>
      <c r="AR33" s="35"/>
      <c r="AS33" s="45">
        <f t="shared" si="8"/>
        <v>1913587</v>
      </c>
      <c r="AT33" s="45"/>
      <c r="AU33" s="35">
        <v>0</v>
      </c>
      <c r="AV33" s="35"/>
      <c r="AW33" s="35">
        <v>0</v>
      </c>
      <c r="AX33" s="35"/>
      <c r="AY33" s="35">
        <f t="shared" si="4"/>
        <v>10253749</v>
      </c>
      <c r="AZ33" s="35"/>
      <c r="BA33" s="35" t="s">
        <v>46</v>
      </c>
      <c r="BB33" s="55"/>
      <c r="BC33" s="35" t="s">
        <v>47</v>
      </c>
      <c r="BD33" s="35"/>
      <c r="BE33" s="35">
        <f>65000+424708</f>
        <v>489708</v>
      </c>
      <c r="BF33" s="35"/>
      <c r="BG33" s="35">
        <v>0</v>
      </c>
      <c r="BH33" s="35"/>
      <c r="BI33" s="35">
        <f>989251+8524247</f>
        <v>9513498</v>
      </c>
      <c r="BJ33" s="35"/>
      <c r="BK33" s="35">
        <f>139252+276141</f>
        <v>415393</v>
      </c>
      <c r="BL33" s="35"/>
      <c r="BM33" s="35">
        <f>SUM(BE33:BK33)</f>
        <v>10418599</v>
      </c>
      <c r="BN33" s="54" t="s">
        <v>347</v>
      </c>
    </row>
    <row r="34" spans="1:67" ht="12.75" hidden="1" customHeight="1">
      <c r="A34" s="35" t="s">
        <v>48</v>
      </c>
      <c r="C34" s="35" t="s">
        <v>27</v>
      </c>
      <c r="D34" s="35"/>
      <c r="E34" s="35">
        <f t="shared" si="0"/>
        <v>0</v>
      </c>
      <c r="F34" s="35"/>
      <c r="G34" s="35"/>
      <c r="H34" s="35"/>
      <c r="I34" s="35"/>
      <c r="J34" s="35"/>
      <c r="K34" s="35">
        <f t="shared" si="1"/>
        <v>0</v>
      </c>
      <c r="L34" s="35"/>
      <c r="M34" s="35">
        <f t="shared" si="2"/>
        <v>0</v>
      </c>
      <c r="N34" s="35"/>
      <c r="O34" s="35"/>
      <c r="P34" s="35"/>
      <c r="Q34" s="35"/>
      <c r="R34" s="35"/>
      <c r="S34" s="35">
        <v>0</v>
      </c>
      <c r="T34" s="35"/>
      <c r="U34" s="35"/>
      <c r="V34" s="35"/>
      <c r="W34" s="35">
        <v>0</v>
      </c>
      <c r="X34" s="35"/>
      <c r="Y34" s="35" t="s">
        <v>48</v>
      </c>
      <c r="Z34" s="55"/>
      <c r="AA34" s="35" t="s">
        <v>27</v>
      </c>
      <c r="AB34" s="35"/>
      <c r="AC34" s="35">
        <v>0</v>
      </c>
      <c r="AD34" s="35"/>
      <c r="AE34" s="35">
        <v>0</v>
      </c>
      <c r="AF34" s="35"/>
      <c r="AG34" s="35">
        <v>0</v>
      </c>
      <c r="AH34" s="35"/>
      <c r="AI34" s="45">
        <f t="shared" ref="AI34:AI51" si="9">+AC34-AE34-AG34</f>
        <v>0</v>
      </c>
      <c r="AJ34" s="45"/>
      <c r="AK34" s="35"/>
      <c r="AL34" s="35"/>
      <c r="AM34" s="35">
        <v>0</v>
      </c>
      <c r="AN34" s="35"/>
      <c r="AO34" s="35">
        <v>0</v>
      </c>
      <c r="AP34" s="35"/>
      <c r="AQ34" s="35">
        <v>0</v>
      </c>
      <c r="AR34" s="35"/>
      <c r="AS34" s="45">
        <f t="shared" si="8"/>
        <v>0</v>
      </c>
      <c r="AT34" s="45"/>
      <c r="AU34" s="35">
        <v>0</v>
      </c>
      <c r="AV34" s="35"/>
      <c r="AW34" s="35">
        <v>0</v>
      </c>
      <c r="AX34" s="35"/>
      <c r="AY34" s="35">
        <f t="shared" si="4"/>
        <v>0</v>
      </c>
      <c r="AZ34" s="35"/>
      <c r="BA34" s="35" t="s">
        <v>48</v>
      </c>
      <c r="BB34" s="55"/>
      <c r="BC34" s="35" t="s">
        <v>27</v>
      </c>
      <c r="BD34" s="35"/>
      <c r="BE34" s="35"/>
      <c r="BF34" s="35"/>
      <c r="BG34" s="35"/>
      <c r="BH34" s="35"/>
      <c r="BI34" s="35"/>
      <c r="BJ34" s="35"/>
      <c r="BK34" s="35"/>
      <c r="BL34" s="35"/>
      <c r="BM34" s="35">
        <f t="shared" ref="BM34:BM64" si="10">SUM(BE34:BK34)</f>
        <v>0</v>
      </c>
      <c r="BN34" s="54" t="s">
        <v>347</v>
      </c>
    </row>
    <row r="35" spans="1:67" ht="12.75" hidden="1" customHeight="1">
      <c r="A35" s="35" t="s">
        <v>49</v>
      </c>
      <c r="C35" s="35" t="s">
        <v>27</v>
      </c>
      <c r="D35" s="35"/>
      <c r="E35" s="35">
        <f t="shared" si="0"/>
        <v>0</v>
      </c>
      <c r="F35" s="35"/>
      <c r="G35" s="35"/>
      <c r="H35" s="35"/>
      <c r="I35" s="35"/>
      <c r="J35" s="35"/>
      <c r="K35" s="35">
        <f t="shared" si="1"/>
        <v>0</v>
      </c>
      <c r="L35" s="35"/>
      <c r="M35" s="35">
        <f t="shared" si="2"/>
        <v>0</v>
      </c>
      <c r="N35" s="35"/>
      <c r="O35" s="35"/>
      <c r="P35" s="35"/>
      <c r="Q35" s="35"/>
      <c r="R35" s="35"/>
      <c r="S35" s="35">
        <v>0</v>
      </c>
      <c r="T35" s="35"/>
      <c r="U35" s="35"/>
      <c r="V35" s="35"/>
      <c r="W35" s="35">
        <f t="shared" ref="W35:W72" si="11">SUM(Q35:U35)</f>
        <v>0</v>
      </c>
      <c r="X35" s="35"/>
      <c r="Y35" s="35" t="s">
        <v>49</v>
      </c>
      <c r="Z35" s="55"/>
      <c r="AA35" s="35" t="s">
        <v>27</v>
      </c>
      <c r="AB35" s="35"/>
      <c r="AC35" s="35">
        <v>0</v>
      </c>
      <c r="AD35" s="35"/>
      <c r="AE35" s="35">
        <v>0</v>
      </c>
      <c r="AF35" s="35"/>
      <c r="AG35" s="35">
        <v>0</v>
      </c>
      <c r="AH35" s="35"/>
      <c r="AI35" s="45">
        <f t="shared" si="9"/>
        <v>0</v>
      </c>
      <c r="AJ35" s="45"/>
      <c r="AK35" s="35"/>
      <c r="AL35" s="35"/>
      <c r="AM35" s="35">
        <v>0</v>
      </c>
      <c r="AN35" s="35"/>
      <c r="AO35" s="35">
        <v>0</v>
      </c>
      <c r="AP35" s="35"/>
      <c r="AQ35" s="35">
        <v>0</v>
      </c>
      <c r="AR35" s="35"/>
      <c r="AS35" s="45">
        <v>0</v>
      </c>
      <c r="AT35" s="45"/>
      <c r="AU35" s="35">
        <v>0</v>
      </c>
      <c r="AV35" s="35"/>
      <c r="AW35" s="35">
        <v>0</v>
      </c>
      <c r="AX35" s="35"/>
      <c r="AY35" s="35">
        <f t="shared" si="4"/>
        <v>0</v>
      </c>
      <c r="AZ35" s="35"/>
      <c r="BA35" s="35" t="s">
        <v>49</v>
      </c>
      <c r="BB35" s="55"/>
      <c r="BC35" s="35" t="s">
        <v>27</v>
      </c>
      <c r="BD35" s="35"/>
      <c r="BE35" s="35"/>
      <c r="BF35" s="35"/>
      <c r="BG35" s="35"/>
      <c r="BH35" s="35"/>
      <c r="BI35" s="35"/>
      <c r="BJ35" s="35"/>
      <c r="BK35" s="35"/>
      <c r="BL35" s="35"/>
      <c r="BM35" s="35">
        <f t="shared" si="10"/>
        <v>0</v>
      </c>
      <c r="BN35" s="54" t="s">
        <v>347</v>
      </c>
      <c r="BO35" s="55" t="s">
        <v>371</v>
      </c>
    </row>
    <row r="36" spans="1:67" ht="12.75" hidden="1" customHeight="1">
      <c r="A36" s="35" t="s">
        <v>50</v>
      </c>
      <c r="C36" s="35" t="s">
        <v>27</v>
      </c>
      <c r="D36" s="35"/>
      <c r="E36" s="35">
        <f t="shared" si="0"/>
        <v>0</v>
      </c>
      <c r="F36" s="35"/>
      <c r="G36" s="35"/>
      <c r="H36" s="35"/>
      <c r="I36" s="35"/>
      <c r="J36" s="35"/>
      <c r="K36" s="35">
        <f t="shared" si="1"/>
        <v>0</v>
      </c>
      <c r="L36" s="35"/>
      <c r="M36" s="35">
        <f t="shared" si="2"/>
        <v>0</v>
      </c>
      <c r="N36" s="35"/>
      <c r="O36" s="35"/>
      <c r="P36" s="35"/>
      <c r="Q36" s="35"/>
      <c r="R36" s="35"/>
      <c r="S36" s="35">
        <v>0</v>
      </c>
      <c r="T36" s="35"/>
      <c r="U36" s="35"/>
      <c r="V36" s="35"/>
      <c r="W36" s="35">
        <f t="shared" si="11"/>
        <v>0</v>
      </c>
      <c r="X36" s="35"/>
      <c r="Y36" s="35" t="s">
        <v>50</v>
      </c>
      <c r="Z36" s="55"/>
      <c r="AA36" s="35" t="s">
        <v>27</v>
      </c>
      <c r="AB36" s="35"/>
      <c r="AC36" s="35">
        <v>0</v>
      </c>
      <c r="AD36" s="35"/>
      <c r="AE36" s="35">
        <v>0</v>
      </c>
      <c r="AF36" s="35"/>
      <c r="AG36" s="35">
        <v>0</v>
      </c>
      <c r="AH36" s="35"/>
      <c r="AI36" s="45">
        <f t="shared" si="9"/>
        <v>0</v>
      </c>
      <c r="AJ36" s="45"/>
      <c r="AK36" s="35"/>
      <c r="AL36" s="35"/>
      <c r="AM36" s="35">
        <v>0</v>
      </c>
      <c r="AN36" s="35"/>
      <c r="AO36" s="35">
        <v>0</v>
      </c>
      <c r="AP36" s="35"/>
      <c r="AQ36" s="35">
        <v>0</v>
      </c>
      <c r="AR36" s="35"/>
      <c r="AS36" s="45">
        <f>+AI36+AK36+AM36-AO36+AQ36</f>
        <v>0</v>
      </c>
      <c r="AT36" s="45"/>
      <c r="AU36" s="35">
        <v>0</v>
      </c>
      <c r="AV36" s="35"/>
      <c r="AW36" s="35">
        <v>0</v>
      </c>
      <c r="AX36" s="35"/>
      <c r="AY36" s="35">
        <f t="shared" si="4"/>
        <v>0</v>
      </c>
      <c r="AZ36" s="35"/>
      <c r="BA36" s="35" t="s">
        <v>50</v>
      </c>
      <c r="BB36" s="55"/>
      <c r="BC36" s="35" t="s">
        <v>27</v>
      </c>
      <c r="BD36" s="35"/>
      <c r="BE36" s="35"/>
      <c r="BF36" s="35"/>
      <c r="BG36" s="35"/>
      <c r="BH36" s="35"/>
      <c r="BI36" s="35"/>
      <c r="BJ36" s="35"/>
      <c r="BK36" s="35"/>
      <c r="BL36" s="35"/>
      <c r="BM36" s="35">
        <f t="shared" si="10"/>
        <v>0</v>
      </c>
      <c r="BN36" s="54" t="s">
        <v>347</v>
      </c>
    </row>
    <row r="37" spans="1:67" ht="12.75" hidden="1" customHeight="1">
      <c r="A37" s="35" t="s">
        <v>51</v>
      </c>
      <c r="C37" s="35" t="s">
        <v>27</v>
      </c>
      <c r="D37" s="35"/>
      <c r="E37" s="35">
        <f t="shared" si="0"/>
        <v>0</v>
      </c>
      <c r="F37" s="35"/>
      <c r="G37" s="35"/>
      <c r="H37" s="35"/>
      <c r="I37" s="35"/>
      <c r="J37" s="35"/>
      <c r="K37" s="35">
        <f t="shared" si="1"/>
        <v>0</v>
      </c>
      <c r="L37" s="35"/>
      <c r="M37" s="35">
        <f t="shared" si="2"/>
        <v>0</v>
      </c>
      <c r="N37" s="35"/>
      <c r="O37" s="35"/>
      <c r="P37" s="35"/>
      <c r="Q37" s="35"/>
      <c r="R37" s="35"/>
      <c r="S37" s="35">
        <v>0</v>
      </c>
      <c r="T37" s="35"/>
      <c r="U37" s="35"/>
      <c r="V37" s="35"/>
      <c r="W37" s="35">
        <f t="shared" si="11"/>
        <v>0</v>
      </c>
      <c r="X37" s="35"/>
      <c r="Y37" s="35" t="s">
        <v>51</v>
      </c>
      <c r="Z37" s="55"/>
      <c r="AA37" s="35" t="s">
        <v>27</v>
      </c>
      <c r="AB37" s="35"/>
      <c r="AC37" s="35">
        <v>0</v>
      </c>
      <c r="AD37" s="35"/>
      <c r="AE37" s="35">
        <v>0</v>
      </c>
      <c r="AF37" s="35"/>
      <c r="AG37" s="35">
        <v>0</v>
      </c>
      <c r="AH37" s="35"/>
      <c r="AI37" s="45">
        <f t="shared" si="9"/>
        <v>0</v>
      </c>
      <c r="AJ37" s="45"/>
      <c r="AK37" s="35"/>
      <c r="AL37" s="35"/>
      <c r="AM37" s="35">
        <v>0</v>
      </c>
      <c r="AN37" s="35"/>
      <c r="AO37" s="35">
        <v>0</v>
      </c>
      <c r="AP37" s="35"/>
      <c r="AQ37" s="35">
        <v>0</v>
      </c>
      <c r="AR37" s="35"/>
      <c r="AS37" s="45">
        <v>0</v>
      </c>
      <c r="AT37" s="45"/>
      <c r="AU37" s="35">
        <v>0</v>
      </c>
      <c r="AV37" s="35"/>
      <c r="AW37" s="35">
        <v>0</v>
      </c>
      <c r="AX37" s="35"/>
      <c r="AY37" s="35">
        <f t="shared" si="4"/>
        <v>0</v>
      </c>
      <c r="AZ37" s="35"/>
      <c r="BA37" s="35" t="s">
        <v>51</v>
      </c>
      <c r="BB37" s="55"/>
      <c r="BC37" s="35" t="s">
        <v>27</v>
      </c>
      <c r="BD37" s="35"/>
      <c r="BE37" s="35"/>
      <c r="BF37" s="35"/>
      <c r="BG37" s="35"/>
      <c r="BH37" s="35"/>
      <c r="BI37" s="35"/>
      <c r="BJ37" s="35"/>
      <c r="BK37" s="35"/>
      <c r="BL37" s="35"/>
      <c r="BM37" s="35">
        <f t="shared" si="10"/>
        <v>0</v>
      </c>
      <c r="BN37" s="54" t="s">
        <v>347</v>
      </c>
    </row>
    <row r="38" spans="1:67" ht="12.75" hidden="1" customHeight="1">
      <c r="A38" s="35" t="s">
        <v>52</v>
      </c>
      <c r="C38" s="35" t="s">
        <v>53</v>
      </c>
      <c r="D38" s="35"/>
      <c r="E38" s="35">
        <f t="shared" si="0"/>
        <v>0</v>
      </c>
      <c r="F38" s="35"/>
      <c r="G38" s="35"/>
      <c r="H38" s="35"/>
      <c r="I38" s="35"/>
      <c r="J38" s="35"/>
      <c r="K38" s="35">
        <f t="shared" si="1"/>
        <v>0</v>
      </c>
      <c r="L38" s="35"/>
      <c r="M38" s="35">
        <f t="shared" si="2"/>
        <v>0</v>
      </c>
      <c r="N38" s="35"/>
      <c r="O38" s="35"/>
      <c r="P38" s="35"/>
      <c r="Q38" s="35"/>
      <c r="R38" s="35"/>
      <c r="S38" s="35">
        <v>0</v>
      </c>
      <c r="T38" s="35"/>
      <c r="U38" s="35"/>
      <c r="V38" s="35"/>
      <c r="W38" s="35">
        <f t="shared" si="11"/>
        <v>0</v>
      </c>
      <c r="X38" s="35"/>
      <c r="Y38" s="35" t="s">
        <v>52</v>
      </c>
      <c r="Z38" s="55"/>
      <c r="AA38" s="35" t="s">
        <v>53</v>
      </c>
      <c r="AB38" s="35"/>
      <c r="AC38" s="35">
        <v>0</v>
      </c>
      <c r="AD38" s="35"/>
      <c r="AE38" s="35">
        <v>0</v>
      </c>
      <c r="AF38" s="35"/>
      <c r="AG38" s="35">
        <v>0</v>
      </c>
      <c r="AH38" s="35"/>
      <c r="AI38" s="45">
        <f t="shared" si="9"/>
        <v>0</v>
      </c>
      <c r="AJ38" s="45"/>
      <c r="AK38" s="35"/>
      <c r="AL38" s="35"/>
      <c r="AM38" s="35">
        <v>0</v>
      </c>
      <c r="AN38" s="35"/>
      <c r="AO38" s="35">
        <v>0</v>
      </c>
      <c r="AP38" s="35"/>
      <c r="AQ38" s="35">
        <v>0</v>
      </c>
      <c r="AR38" s="35"/>
      <c r="AS38" s="45">
        <f t="shared" ref="AS38:AS69" si="12">+AI38+AK38+AM38-AO38+AQ38</f>
        <v>0</v>
      </c>
      <c r="AT38" s="45"/>
      <c r="AU38" s="35">
        <v>0</v>
      </c>
      <c r="AV38" s="35"/>
      <c r="AW38" s="35">
        <v>0</v>
      </c>
      <c r="AX38" s="35"/>
      <c r="AY38" s="35">
        <f t="shared" si="4"/>
        <v>0</v>
      </c>
      <c r="AZ38" s="35"/>
      <c r="BA38" s="35" t="s">
        <v>52</v>
      </c>
      <c r="BB38" s="55"/>
      <c r="BC38" s="35" t="s">
        <v>53</v>
      </c>
      <c r="BD38" s="35"/>
      <c r="BE38" s="35"/>
      <c r="BF38" s="35"/>
      <c r="BG38" s="35"/>
      <c r="BH38" s="35"/>
      <c r="BI38" s="35"/>
      <c r="BJ38" s="35"/>
      <c r="BK38" s="35"/>
      <c r="BL38" s="35"/>
      <c r="BM38" s="35">
        <f t="shared" si="10"/>
        <v>0</v>
      </c>
      <c r="BN38" s="54" t="s">
        <v>347</v>
      </c>
    </row>
    <row r="39" spans="1:67" s="90" customFormat="1" ht="12.75" customHeight="1">
      <c r="A39" s="64" t="s">
        <v>54</v>
      </c>
      <c r="B39" s="66"/>
      <c r="C39" s="64" t="s">
        <v>55</v>
      </c>
      <c r="D39" s="64"/>
      <c r="E39" s="35">
        <f t="shared" si="0"/>
        <v>10173344</v>
      </c>
      <c r="F39" s="35"/>
      <c r="G39" s="35">
        <v>19010663</v>
      </c>
      <c r="H39" s="35"/>
      <c r="I39" s="35">
        <v>29184007</v>
      </c>
      <c r="J39" s="35"/>
      <c r="K39" s="35">
        <f t="shared" si="1"/>
        <v>1930067</v>
      </c>
      <c r="L39" s="35"/>
      <c r="M39" s="35">
        <v>3536633</v>
      </c>
      <c r="N39" s="35"/>
      <c r="O39" s="35">
        <v>5466700</v>
      </c>
      <c r="P39" s="35"/>
      <c r="Q39" s="35">
        <v>12574326</v>
      </c>
      <c r="R39" s="35"/>
      <c r="S39" s="35">
        <v>0</v>
      </c>
      <c r="T39" s="35"/>
      <c r="U39" s="35">
        <v>11142981</v>
      </c>
      <c r="V39" s="35"/>
      <c r="W39" s="35">
        <f t="shared" si="11"/>
        <v>23717307</v>
      </c>
      <c r="X39" s="64"/>
      <c r="Y39" s="64" t="s">
        <v>54</v>
      </c>
      <c r="AA39" s="64" t="s">
        <v>55</v>
      </c>
      <c r="AB39" s="64"/>
      <c r="AC39" s="35">
        <v>20219057</v>
      </c>
      <c r="AD39" s="35"/>
      <c r="AE39" s="35">
        <f>19333030-973587</f>
        <v>18359443</v>
      </c>
      <c r="AF39" s="35"/>
      <c r="AG39" s="35">
        <v>973587</v>
      </c>
      <c r="AH39" s="35"/>
      <c r="AI39" s="45">
        <f t="shared" si="9"/>
        <v>886027</v>
      </c>
      <c r="AJ39" s="45"/>
      <c r="AK39" s="35">
        <v>133481</v>
      </c>
      <c r="AL39" s="35"/>
      <c r="AM39" s="35">
        <v>0</v>
      </c>
      <c r="AN39" s="35"/>
      <c r="AO39" s="35">
        <v>5584</v>
      </c>
      <c r="AP39" s="35"/>
      <c r="AQ39" s="35">
        <v>0</v>
      </c>
      <c r="AR39" s="35"/>
      <c r="AS39" s="45">
        <f t="shared" si="12"/>
        <v>1013924</v>
      </c>
      <c r="AT39" s="45"/>
      <c r="AU39" s="35">
        <v>0</v>
      </c>
      <c r="AV39" s="35"/>
      <c r="AW39" s="35">
        <v>0</v>
      </c>
      <c r="AX39" s="35"/>
      <c r="AY39" s="35">
        <f t="shared" si="4"/>
        <v>8243277</v>
      </c>
      <c r="AZ39" s="64"/>
      <c r="BA39" s="64" t="s">
        <v>54</v>
      </c>
      <c r="BC39" s="64" t="s">
        <v>55</v>
      </c>
      <c r="BD39" s="64"/>
      <c r="BE39" s="35">
        <v>0</v>
      </c>
      <c r="BF39" s="35"/>
      <c r="BG39" s="35">
        <v>0</v>
      </c>
      <c r="BH39" s="35"/>
      <c r="BI39" s="35">
        <v>0</v>
      </c>
      <c r="BJ39" s="35"/>
      <c r="BK39" s="35">
        <f>3060000+476633+134692+340000</f>
        <v>4011325</v>
      </c>
      <c r="BL39" s="35"/>
      <c r="BM39" s="35">
        <f t="shared" si="10"/>
        <v>4011325</v>
      </c>
      <c r="BN39" s="91" t="s">
        <v>347</v>
      </c>
    </row>
    <row r="40" spans="1:67" ht="12.75" hidden="1" customHeight="1">
      <c r="A40" s="35" t="s">
        <v>56</v>
      </c>
      <c r="C40" s="35" t="s">
        <v>57</v>
      </c>
      <c r="D40" s="35"/>
      <c r="E40" s="35">
        <f t="shared" si="0"/>
        <v>0</v>
      </c>
      <c r="F40" s="35"/>
      <c r="G40" s="35"/>
      <c r="H40" s="35"/>
      <c r="I40" s="35"/>
      <c r="J40" s="35"/>
      <c r="K40" s="35">
        <f t="shared" si="1"/>
        <v>0</v>
      </c>
      <c r="L40" s="35"/>
      <c r="M40" s="35">
        <v>0</v>
      </c>
      <c r="N40" s="35"/>
      <c r="O40" s="35"/>
      <c r="P40" s="35"/>
      <c r="Q40" s="35"/>
      <c r="R40" s="35"/>
      <c r="S40" s="35">
        <v>0</v>
      </c>
      <c r="T40" s="35"/>
      <c r="U40" s="35"/>
      <c r="V40" s="35"/>
      <c r="W40" s="35">
        <f t="shared" si="11"/>
        <v>0</v>
      </c>
      <c r="X40" s="35"/>
      <c r="Y40" s="35" t="s">
        <v>56</v>
      </c>
      <c r="Z40" s="55"/>
      <c r="AA40" s="35" t="s">
        <v>57</v>
      </c>
      <c r="AB40" s="35"/>
      <c r="AC40" s="35">
        <v>0</v>
      </c>
      <c r="AD40" s="35"/>
      <c r="AE40" s="35">
        <v>0</v>
      </c>
      <c r="AF40" s="35"/>
      <c r="AG40" s="35">
        <v>0</v>
      </c>
      <c r="AH40" s="35"/>
      <c r="AI40" s="45">
        <f t="shared" si="9"/>
        <v>0</v>
      </c>
      <c r="AJ40" s="45"/>
      <c r="AK40" s="35"/>
      <c r="AL40" s="35"/>
      <c r="AM40" s="35">
        <v>0</v>
      </c>
      <c r="AN40" s="35"/>
      <c r="AO40" s="35">
        <v>0</v>
      </c>
      <c r="AP40" s="35"/>
      <c r="AQ40" s="35">
        <v>0</v>
      </c>
      <c r="AR40" s="35"/>
      <c r="AS40" s="45">
        <f t="shared" si="12"/>
        <v>0</v>
      </c>
      <c r="AT40" s="45"/>
      <c r="AU40" s="35">
        <v>0</v>
      </c>
      <c r="AV40" s="35"/>
      <c r="AW40" s="35">
        <v>0</v>
      </c>
      <c r="AX40" s="35"/>
      <c r="AY40" s="35">
        <f t="shared" si="4"/>
        <v>0</v>
      </c>
      <c r="AZ40" s="35"/>
      <c r="BA40" s="35" t="s">
        <v>56</v>
      </c>
      <c r="BB40" s="55"/>
      <c r="BC40" s="35" t="s">
        <v>57</v>
      </c>
      <c r="BD40" s="35"/>
      <c r="BE40" s="35"/>
      <c r="BF40" s="35"/>
      <c r="BG40" s="35"/>
      <c r="BH40" s="35"/>
      <c r="BI40" s="35"/>
      <c r="BJ40" s="35"/>
      <c r="BK40" s="35"/>
      <c r="BL40" s="35"/>
      <c r="BM40" s="35">
        <f t="shared" si="10"/>
        <v>0</v>
      </c>
      <c r="BN40" s="54" t="s">
        <v>347</v>
      </c>
    </row>
    <row r="41" spans="1:67" ht="12.75" hidden="1" customHeight="1">
      <c r="A41" s="35" t="s">
        <v>58</v>
      </c>
      <c r="C41" s="35" t="s">
        <v>59</v>
      </c>
      <c r="D41" s="35"/>
      <c r="E41" s="35">
        <f t="shared" si="0"/>
        <v>0</v>
      </c>
      <c r="F41" s="35"/>
      <c r="G41" s="35"/>
      <c r="H41" s="35"/>
      <c r="I41" s="35"/>
      <c r="J41" s="35"/>
      <c r="K41" s="35">
        <f t="shared" si="1"/>
        <v>0</v>
      </c>
      <c r="L41" s="35"/>
      <c r="M41" s="35">
        <v>0</v>
      </c>
      <c r="N41" s="35"/>
      <c r="O41" s="35"/>
      <c r="P41" s="35"/>
      <c r="Q41" s="35"/>
      <c r="R41" s="35"/>
      <c r="S41" s="35">
        <v>0</v>
      </c>
      <c r="T41" s="35"/>
      <c r="U41" s="35"/>
      <c r="V41" s="35"/>
      <c r="W41" s="35">
        <f t="shared" si="11"/>
        <v>0</v>
      </c>
      <c r="X41" s="35"/>
      <c r="Y41" s="35" t="s">
        <v>58</v>
      </c>
      <c r="Z41" s="55"/>
      <c r="AA41" s="35" t="s">
        <v>59</v>
      </c>
      <c r="AB41" s="35"/>
      <c r="AC41" s="35">
        <v>0</v>
      </c>
      <c r="AD41" s="35"/>
      <c r="AE41" s="35">
        <v>0</v>
      </c>
      <c r="AF41" s="35"/>
      <c r="AG41" s="35">
        <v>0</v>
      </c>
      <c r="AH41" s="35"/>
      <c r="AI41" s="45">
        <f t="shared" si="9"/>
        <v>0</v>
      </c>
      <c r="AJ41" s="45"/>
      <c r="AK41" s="35"/>
      <c r="AL41" s="35"/>
      <c r="AM41" s="35">
        <v>0</v>
      </c>
      <c r="AN41" s="35"/>
      <c r="AO41" s="35">
        <v>0</v>
      </c>
      <c r="AP41" s="35"/>
      <c r="AQ41" s="35">
        <v>0</v>
      </c>
      <c r="AR41" s="35"/>
      <c r="AS41" s="45">
        <f t="shared" si="12"/>
        <v>0</v>
      </c>
      <c r="AT41" s="45"/>
      <c r="AU41" s="35">
        <v>0</v>
      </c>
      <c r="AV41" s="35"/>
      <c r="AW41" s="35">
        <v>0</v>
      </c>
      <c r="AX41" s="35"/>
      <c r="AY41" s="35">
        <f t="shared" si="4"/>
        <v>0</v>
      </c>
      <c r="AZ41" s="35"/>
      <c r="BA41" s="35" t="s">
        <v>58</v>
      </c>
      <c r="BB41" s="55"/>
      <c r="BC41" s="35" t="s">
        <v>59</v>
      </c>
      <c r="BD41" s="35"/>
      <c r="BE41" s="35"/>
      <c r="BF41" s="35"/>
      <c r="BG41" s="35"/>
      <c r="BH41" s="35"/>
      <c r="BI41" s="35"/>
      <c r="BJ41" s="35"/>
      <c r="BK41" s="35"/>
      <c r="BL41" s="35"/>
      <c r="BM41" s="35">
        <f t="shared" si="10"/>
        <v>0</v>
      </c>
      <c r="BN41" s="54" t="s">
        <v>347</v>
      </c>
    </row>
    <row r="42" spans="1:67" ht="12.75" hidden="1" customHeight="1">
      <c r="A42" s="44" t="s">
        <v>476</v>
      </c>
      <c r="C42" s="35" t="s">
        <v>15</v>
      </c>
      <c r="D42" s="35"/>
      <c r="E42" s="35">
        <f t="shared" si="0"/>
        <v>0</v>
      </c>
      <c r="F42" s="35"/>
      <c r="G42" s="35"/>
      <c r="H42" s="35"/>
      <c r="I42" s="35"/>
      <c r="J42" s="35"/>
      <c r="K42" s="35">
        <f t="shared" si="1"/>
        <v>0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f t="shared" si="11"/>
        <v>0</v>
      </c>
      <c r="X42" s="35"/>
      <c r="Y42" s="44" t="s">
        <v>62</v>
      </c>
      <c r="Z42" s="55"/>
      <c r="AA42" s="35" t="s">
        <v>15</v>
      </c>
      <c r="AB42" s="35"/>
      <c r="AC42" s="35"/>
      <c r="AD42" s="35"/>
      <c r="AE42" s="35"/>
      <c r="AF42" s="35"/>
      <c r="AG42" s="35"/>
      <c r="AH42" s="35"/>
      <c r="AI42" s="45">
        <f t="shared" si="9"/>
        <v>0</v>
      </c>
      <c r="AJ42" s="45"/>
      <c r="AK42" s="35"/>
      <c r="AL42" s="35"/>
      <c r="AM42" s="35"/>
      <c r="AN42" s="35"/>
      <c r="AO42" s="35"/>
      <c r="AP42" s="35"/>
      <c r="AQ42" s="35"/>
      <c r="AR42" s="35"/>
      <c r="AS42" s="45">
        <f t="shared" si="12"/>
        <v>0</v>
      </c>
      <c r="AT42" s="45"/>
      <c r="AU42" s="35">
        <v>0</v>
      </c>
      <c r="AV42" s="35"/>
      <c r="AW42" s="35">
        <v>0</v>
      </c>
      <c r="AX42" s="35"/>
      <c r="AY42" s="35">
        <f t="shared" si="4"/>
        <v>0</v>
      </c>
      <c r="AZ42" s="35"/>
      <c r="BA42" s="44" t="s">
        <v>62</v>
      </c>
      <c r="BB42" s="55"/>
      <c r="BC42" s="35" t="s">
        <v>15</v>
      </c>
      <c r="BD42" s="35"/>
      <c r="BE42" s="35"/>
      <c r="BF42" s="35"/>
      <c r="BG42" s="35"/>
      <c r="BH42" s="35"/>
      <c r="BI42" s="35"/>
      <c r="BJ42" s="35"/>
      <c r="BK42" s="35"/>
      <c r="BL42" s="35"/>
      <c r="BM42" s="35">
        <f t="shared" si="10"/>
        <v>0</v>
      </c>
      <c r="BN42" s="54" t="s">
        <v>347</v>
      </c>
    </row>
    <row r="43" spans="1:67" ht="12.75" hidden="1" customHeight="1">
      <c r="A43" s="35" t="s">
        <v>60</v>
      </c>
      <c r="C43" s="35" t="s">
        <v>61</v>
      </c>
      <c r="D43" s="35"/>
      <c r="E43" s="35">
        <f t="shared" si="0"/>
        <v>0</v>
      </c>
      <c r="F43" s="35"/>
      <c r="G43" s="35"/>
      <c r="H43" s="35"/>
      <c r="I43" s="35"/>
      <c r="J43" s="35"/>
      <c r="K43" s="35">
        <f t="shared" si="1"/>
        <v>0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>
        <f t="shared" si="11"/>
        <v>0</v>
      </c>
      <c r="X43" s="35"/>
      <c r="Y43" s="35" t="s">
        <v>60</v>
      </c>
      <c r="Z43" s="55"/>
      <c r="AA43" s="35" t="s">
        <v>61</v>
      </c>
      <c r="AB43" s="35"/>
      <c r="AC43" s="35"/>
      <c r="AD43" s="35"/>
      <c r="AE43" s="35"/>
      <c r="AF43" s="35"/>
      <c r="AG43" s="35"/>
      <c r="AH43" s="35"/>
      <c r="AI43" s="45">
        <f t="shared" si="9"/>
        <v>0</v>
      </c>
      <c r="AJ43" s="45"/>
      <c r="AK43" s="35"/>
      <c r="AL43" s="35"/>
      <c r="AM43" s="35"/>
      <c r="AN43" s="35"/>
      <c r="AO43" s="35"/>
      <c r="AP43" s="35"/>
      <c r="AQ43" s="35"/>
      <c r="AR43" s="35"/>
      <c r="AS43" s="45">
        <f t="shared" si="12"/>
        <v>0</v>
      </c>
      <c r="AT43" s="45"/>
      <c r="AU43" s="35">
        <v>0</v>
      </c>
      <c r="AV43" s="35"/>
      <c r="AW43" s="35">
        <v>0</v>
      </c>
      <c r="AX43" s="35"/>
      <c r="AY43" s="35">
        <f t="shared" ref="AY43:AY74" si="13">+E43-K43</f>
        <v>0</v>
      </c>
      <c r="AZ43" s="35"/>
      <c r="BA43" s="35" t="s">
        <v>60</v>
      </c>
      <c r="BB43" s="55"/>
      <c r="BC43" s="35" t="s">
        <v>61</v>
      </c>
      <c r="BD43" s="35"/>
      <c r="BE43" s="35"/>
      <c r="BF43" s="35"/>
      <c r="BG43" s="35"/>
      <c r="BH43" s="35"/>
      <c r="BI43" s="35"/>
      <c r="BJ43" s="35"/>
      <c r="BK43" s="35"/>
      <c r="BL43" s="35"/>
      <c r="BM43" s="35">
        <f t="shared" si="10"/>
        <v>0</v>
      </c>
      <c r="BN43" s="54" t="s">
        <v>347</v>
      </c>
    </row>
    <row r="44" spans="1:67" ht="12.75" hidden="1" customHeight="1">
      <c r="A44" s="44" t="s">
        <v>62</v>
      </c>
      <c r="C44" s="35" t="s">
        <v>15</v>
      </c>
      <c r="D44" s="35"/>
      <c r="E44" s="35">
        <f t="shared" si="0"/>
        <v>0</v>
      </c>
      <c r="F44" s="35"/>
      <c r="G44" s="35"/>
      <c r="H44" s="35"/>
      <c r="I44" s="35"/>
      <c r="J44" s="35"/>
      <c r="K44" s="35">
        <f t="shared" si="1"/>
        <v>0</v>
      </c>
      <c r="L44" s="35"/>
      <c r="M44" s="35">
        <v>0</v>
      </c>
      <c r="N44" s="35"/>
      <c r="O44" s="35"/>
      <c r="P44" s="35"/>
      <c r="Q44" s="35"/>
      <c r="R44" s="35"/>
      <c r="S44" s="35">
        <v>0</v>
      </c>
      <c r="T44" s="35"/>
      <c r="U44" s="35"/>
      <c r="V44" s="35"/>
      <c r="W44" s="35">
        <f t="shared" si="11"/>
        <v>0</v>
      </c>
      <c r="X44" s="35"/>
      <c r="Y44" s="44" t="s">
        <v>62</v>
      </c>
      <c r="Z44" s="55"/>
      <c r="AA44" s="35" t="s">
        <v>15</v>
      </c>
      <c r="AB44" s="35"/>
      <c r="AC44" s="35">
        <v>0</v>
      </c>
      <c r="AD44" s="35"/>
      <c r="AE44" s="35">
        <v>0</v>
      </c>
      <c r="AF44" s="35"/>
      <c r="AG44" s="35">
        <v>0</v>
      </c>
      <c r="AH44" s="35"/>
      <c r="AI44" s="45">
        <f t="shared" si="9"/>
        <v>0</v>
      </c>
      <c r="AJ44" s="45"/>
      <c r="AK44" s="35"/>
      <c r="AL44" s="35"/>
      <c r="AM44" s="35">
        <v>0</v>
      </c>
      <c r="AN44" s="35"/>
      <c r="AO44" s="35">
        <v>0</v>
      </c>
      <c r="AP44" s="35"/>
      <c r="AQ44" s="35">
        <v>0</v>
      </c>
      <c r="AR44" s="35"/>
      <c r="AS44" s="45">
        <f t="shared" si="12"/>
        <v>0</v>
      </c>
      <c r="AT44" s="45"/>
      <c r="AU44" s="35">
        <v>0</v>
      </c>
      <c r="AV44" s="35"/>
      <c r="AW44" s="35">
        <v>0</v>
      </c>
      <c r="AX44" s="35"/>
      <c r="AY44" s="35">
        <f t="shared" si="13"/>
        <v>0</v>
      </c>
      <c r="AZ44" s="35"/>
      <c r="BA44" s="44" t="s">
        <v>62</v>
      </c>
      <c r="BB44" s="55"/>
      <c r="BC44" s="35" t="s">
        <v>15</v>
      </c>
      <c r="BD44" s="35"/>
      <c r="BE44" s="35"/>
      <c r="BF44" s="35"/>
      <c r="BG44" s="35"/>
      <c r="BH44" s="35"/>
      <c r="BI44" s="35"/>
      <c r="BJ44" s="35"/>
      <c r="BK44" s="35"/>
      <c r="BL44" s="35"/>
      <c r="BM44" s="35">
        <f t="shared" si="10"/>
        <v>0</v>
      </c>
      <c r="BN44" s="54" t="s">
        <v>347</v>
      </c>
    </row>
    <row r="45" spans="1:67" ht="12.75" hidden="1" customHeight="1">
      <c r="A45" s="35" t="s">
        <v>485</v>
      </c>
      <c r="C45" s="35" t="s">
        <v>111</v>
      </c>
      <c r="D45" s="35"/>
      <c r="E45" s="35">
        <f t="shared" si="0"/>
        <v>0</v>
      </c>
      <c r="F45" s="35"/>
      <c r="G45" s="35"/>
      <c r="H45" s="35"/>
      <c r="I45" s="35"/>
      <c r="J45" s="35"/>
      <c r="K45" s="35">
        <f t="shared" si="1"/>
        <v>0</v>
      </c>
      <c r="L45" s="35"/>
      <c r="M45" s="35">
        <v>0</v>
      </c>
      <c r="N45" s="35"/>
      <c r="O45" s="35"/>
      <c r="P45" s="35"/>
      <c r="Q45" s="35"/>
      <c r="R45" s="35"/>
      <c r="S45" s="35">
        <v>0</v>
      </c>
      <c r="T45" s="35"/>
      <c r="U45" s="35"/>
      <c r="V45" s="35"/>
      <c r="W45" s="35">
        <f t="shared" si="11"/>
        <v>0</v>
      </c>
      <c r="X45" s="35"/>
      <c r="Y45" s="35" t="s">
        <v>485</v>
      </c>
      <c r="Z45" s="55"/>
      <c r="AA45" s="35" t="s">
        <v>111</v>
      </c>
      <c r="AB45" s="35"/>
      <c r="AC45" s="35">
        <v>0</v>
      </c>
      <c r="AD45" s="35"/>
      <c r="AE45" s="35">
        <v>0</v>
      </c>
      <c r="AF45" s="35"/>
      <c r="AG45" s="35">
        <v>0</v>
      </c>
      <c r="AH45" s="35"/>
      <c r="AI45" s="45">
        <f t="shared" si="9"/>
        <v>0</v>
      </c>
      <c r="AJ45" s="45"/>
      <c r="AK45" s="35"/>
      <c r="AL45" s="35"/>
      <c r="AM45" s="35">
        <v>0</v>
      </c>
      <c r="AN45" s="35"/>
      <c r="AO45" s="35">
        <v>0</v>
      </c>
      <c r="AP45" s="35"/>
      <c r="AQ45" s="35">
        <v>0</v>
      </c>
      <c r="AR45" s="35"/>
      <c r="AS45" s="45">
        <f t="shared" si="12"/>
        <v>0</v>
      </c>
      <c r="AT45" s="45"/>
      <c r="AU45" s="35">
        <v>0</v>
      </c>
      <c r="AV45" s="35"/>
      <c r="AW45" s="35">
        <v>0</v>
      </c>
      <c r="AX45" s="35"/>
      <c r="AY45" s="35">
        <f t="shared" si="13"/>
        <v>0</v>
      </c>
      <c r="AZ45" s="35"/>
      <c r="BA45" s="35" t="s">
        <v>485</v>
      </c>
      <c r="BB45" s="55"/>
      <c r="BC45" s="35" t="s">
        <v>111</v>
      </c>
      <c r="BD45" s="35"/>
      <c r="BE45" s="35"/>
      <c r="BF45" s="35"/>
      <c r="BG45" s="35"/>
      <c r="BH45" s="35"/>
      <c r="BI45" s="35"/>
      <c r="BJ45" s="35"/>
      <c r="BK45" s="35"/>
      <c r="BL45" s="35"/>
      <c r="BM45" s="35">
        <f t="shared" si="10"/>
        <v>0</v>
      </c>
      <c r="BN45" s="54" t="s">
        <v>347</v>
      </c>
    </row>
    <row r="46" spans="1:67" ht="12.75" customHeight="1">
      <c r="A46" s="35" t="s">
        <v>63</v>
      </c>
      <c r="C46" s="35" t="s">
        <v>64</v>
      </c>
      <c r="D46" s="35"/>
      <c r="E46" s="35">
        <f t="shared" si="0"/>
        <v>8019724</v>
      </c>
      <c r="F46" s="35"/>
      <c r="G46" s="35">
        <v>13148857</v>
      </c>
      <c r="H46" s="35"/>
      <c r="I46" s="35">
        <v>21168581</v>
      </c>
      <c r="J46" s="35"/>
      <c r="K46" s="35">
        <f t="shared" si="1"/>
        <v>1794547</v>
      </c>
      <c r="L46" s="35"/>
      <c r="M46" s="35">
        <v>1292112</v>
      </c>
      <c r="N46" s="35"/>
      <c r="O46" s="35">
        <v>3086659</v>
      </c>
      <c r="P46" s="35"/>
      <c r="Q46" s="35">
        <v>11861588</v>
      </c>
      <c r="R46" s="35"/>
      <c r="S46" s="35">
        <v>0</v>
      </c>
      <c r="T46" s="35"/>
      <c r="U46" s="35">
        <v>6220334</v>
      </c>
      <c r="V46" s="35"/>
      <c r="W46" s="35">
        <f t="shared" si="11"/>
        <v>18081922</v>
      </c>
      <c r="X46" s="35"/>
      <c r="Y46" s="35" t="s">
        <v>63</v>
      </c>
      <c r="Z46" s="55"/>
      <c r="AA46" s="35" t="s">
        <v>64</v>
      </c>
      <c r="AB46" s="35"/>
      <c r="AC46" s="35">
        <v>17119411</v>
      </c>
      <c r="AD46" s="35"/>
      <c r="AE46" s="35">
        <f>16618841-880773</f>
        <v>15738068</v>
      </c>
      <c r="AF46" s="35"/>
      <c r="AG46" s="35">
        <v>880773</v>
      </c>
      <c r="AH46" s="35"/>
      <c r="AI46" s="45">
        <f t="shared" si="9"/>
        <v>500570</v>
      </c>
      <c r="AJ46" s="45"/>
      <c r="AK46" s="35">
        <v>114129</v>
      </c>
      <c r="AL46" s="35"/>
      <c r="AM46" s="35">
        <v>0</v>
      </c>
      <c r="AN46" s="35"/>
      <c r="AO46" s="35">
        <v>0</v>
      </c>
      <c r="AP46" s="35"/>
      <c r="AQ46" s="35">
        <v>0</v>
      </c>
      <c r="AR46" s="35"/>
      <c r="AS46" s="45">
        <f t="shared" si="12"/>
        <v>614699</v>
      </c>
      <c r="AT46" s="45"/>
      <c r="AU46" s="35">
        <v>0</v>
      </c>
      <c r="AV46" s="35"/>
      <c r="AW46" s="35">
        <v>0</v>
      </c>
      <c r="AX46" s="35"/>
      <c r="AY46" s="35">
        <f t="shared" si="13"/>
        <v>6225177</v>
      </c>
      <c r="AZ46" s="35"/>
      <c r="BA46" s="35" t="s">
        <v>63</v>
      </c>
      <c r="BB46" s="55"/>
      <c r="BC46" s="35" t="s">
        <v>64</v>
      </c>
      <c r="BD46" s="35"/>
      <c r="BE46" s="35">
        <f>400000+877341</f>
        <v>1277341</v>
      </c>
      <c r="BF46" s="35"/>
      <c r="BG46" s="35">
        <v>0</v>
      </c>
      <c r="BH46" s="35"/>
      <c r="BI46" s="35">
        <v>0</v>
      </c>
      <c r="BJ46" s="35"/>
      <c r="BK46" s="35">
        <v>65774</v>
      </c>
      <c r="BL46" s="35"/>
      <c r="BM46" s="35">
        <f t="shared" si="10"/>
        <v>1343115</v>
      </c>
      <c r="BN46" s="54" t="s">
        <v>347</v>
      </c>
      <c r="BO46" s="55" t="s">
        <v>315</v>
      </c>
    </row>
    <row r="47" spans="1:67" ht="12.75" hidden="1" customHeight="1">
      <c r="A47" s="35" t="s">
        <v>65</v>
      </c>
      <c r="C47" s="35" t="s">
        <v>66</v>
      </c>
      <c r="D47" s="35"/>
      <c r="E47" s="35">
        <f t="shared" si="0"/>
        <v>0</v>
      </c>
      <c r="F47" s="35"/>
      <c r="G47" s="35"/>
      <c r="H47" s="35"/>
      <c r="I47" s="35"/>
      <c r="J47" s="35"/>
      <c r="K47" s="35">
        <f t="shared" si="1"/>
        <v>0</v>
      </c>
      <c r="L47" s="35"/>
      <c r="M47" s="35">
        <v>0</v>
      </c>
      <c r="N47" s="35"/>
      <c r="O47" s="35"/>
      <c r="P47" s="35"/>
      <c r="Q47" s="35"/>
      <c r="R47" s="35"/>
      <c r="S47" s="35">
        <v>0</v>
      </c>
      <c r="T47" s="35"/>
      <c r="U47" s="35"/>
      <c r="V47" s="35"/>
      <c r="W47" s="35">
        <f t="shared" si="11"/>
        <v>0</v>
      </c>
      <c r="X47" s="35"/>
      <c r="Y47" s="35" t="s">
        <v>65</v>
      </c>
      <c r="Z47" s="55"/>
      <c r="AA47" s="35" t="s">
        <v>66</v>
      </c>
      <c r="AB47" s="35"/>
      <c r="AC47" s="35">
        <v>0</v>
      </c>
      <c r="AD47" s="35"/>
      <c r="AE47" s="35">
        <v>0</v>
      </c>
      <c r="AF47" s="35"/>
      <c r="AG47" s="35">
        <v>0</v>
      </c>
      <c r="AH47" s="35"/>
      <c r="AI47" s="45">
        <f t="shared" si="9"/>
        <v>0</v>
      </c>
      <c r="AJ47" s="45"/>
      <c r="AK47" s="35"/>
      <c r="AL47" s="35"/>
      <c r="AM47" s="35">
        <v>0</v>
      </c>
      <c r="AN47" s="35"/>
      <c r="AO47" s="35">
        <v>0</v>
      </c>
      <c r="AP47" s="35"/>
      <c r="AQ47" s="35">
        <v>0</v>
      </c>
      <c r="AR47" s="35"/>
      <c r="AS47" s="45">
        <f t="shared" si="12"/>
        <v>0</v>
      </c>
      <c r="AT47" s="45"/>
      <c r="AU47" s="35">
        <v>0</v>
      </c>
      <c r="AV47" s="35"/>
      <c r="AW47" s="35">
        <v>0</v>
      </c>
      <c r="AX47" s="35"/>
      <c r="AY47" s="35">
        <f t="shared" si="13"/>
        <v>0</v>
      </c>
      <c r="AZ47" s="35"/>
      <c r="BA47" s="35" t="s">
        <v>65</v>
      </c>
      <c r="BB47" s="55"/>
      <c r="BC47" s="35" t="s">
        <v>66</v>
      </c>
      <c r="BD47" s="35"/>
      <c r="BE47" s="35"/>
      <c r="BF47" s="35"/>
      <c r="BG47" s="35"/>
      <c r="BH47" s="35"/>
      <c r="BI47" s="35"/>
      <c r="BJ47" s="35"/>
      <c r="BK47" s="35"/>
      <c r="BL47" s="35"/>
      <c r="BM47" s="35">
        <f t="shared" si="10"/>
        <v>0</v>
      </c>
      <c r="BN47" s="54" t="s">
        <v>347</v>
      </c>
    </row>
    <row r="48" spans="1:67" ht="12.75" hidden="1" customHeight="1">
      <c r="A48" s="35" t="s">
        <v>67</v>
      </c>
      <c r="C48" s="35" t="s">
        <v>375</v>
      </c>
      <c r="D48" s="35"/>
      <c r="E48" s="35">
        <f t="shared" si="0"/>
        <v>0</v>
      </c>
      <c r="F48" s="35"/>
      <c r="G48" s="35"/>
      <c r="H48" s="35"/>
      <c r="I48" s="35"/>
      <c r="J48" s="35"/>
      <c r="K48" s="35">
        <f t="shared" si="1"/>
        <v>0</v>
      </c>
      <c r="L48" s="35"/>
      <c r="M48" s="35">
        <v>0</v>
      </c>
      <c r="N48" s="35"/>
      <c r="O48" s="35"/>
      <c r="P48" s="35"/>
      <c r="Q48" s="35"/>
      <c r="R48" s="35"/>
      <c r="S48" s="35">
        <v>0</v>
      </c>
      <c r="T48" s="35"/>
      <c r="U48" s="35"/>
      <c r="V48" s="35"/>
      <c r="W48" s="35">
        <f t="shared" si="11"/>
        <v>0</v>
      </c>
      <c r="X48" s="35"/>
      <c r="Y48" s="35" t="s">
        <v>67</v>
      </c>
      <c r="Z48" s="55"/>
      <c r="AA48" s="35" t="s">
        <v>375</v>
      </c>
      <c r="AB48" s="35"/>
      <c r="AC48" s="35">
        <v>0</v>
      </c>
      <c r="AD48" s="35"/>
      <c r="AE48" s="35">
        <v>0</v>
      </c>
      <c r="AF48" s="35"/>
      <c r="AG48" s="35">
        <v>0</v>
      </c>
      <c r="AH48" s="35"/>
      <c r="AI48" s="45">
        <f t="shared" si="9"/>
        <v>0</v>
      </c>
      <c r="AJ48" s="45"/>
      <c r="AK48" s="35"/>
      <c r="AL48" s="35"/>
      <c r="AM48" s="35">
        <v>0</v>
      </c>
      <c r="AN48" s="35"/>
      <c r="AO48" s="35">
        <v>0</v>
      </c>
      <c r="AP48" s="35"/>
      <c r="AQ48" s="35">
        <v>0</v>
      </c>
      <c r="AR48" s="35"/>
      <c r="AS48" s="45">
        <f t="shared" si="12"/>
        <v>0</v>
      </c>
      <c r="AT48" s="45"/>
      <c r="AU48" s="35">
        <v>0</v>
      </c>
      <c r="AV48" s="35"/>
      <c r="AW48" s="35">
        <v>0</v>
      </c>
      <c r="AX48" s="35"/>
      <c r="AY48" s="35">
        <f t="shared" si="13"/>
        <v>0</v>
      </c>
      <c r="AZ48" s="35"/>
      <c r="BA48" s="35" t="s">
        <v>67</v>
      </c>
      <c r="BB48" s="55"/>
      <c r="BC48" s="35" t="s">
        <v>375</v>
      </c>
      <c r="BD48" s="35"/>
      <c r="BE48" s="35"/>
      <c r="BF48" s="35"/>
      <c r="BG48" s="35"/>
      <c r="BH48" s="35"/>
      <c r="BI48" s="35"/>
      <c r="BJ48" s="35"/>
      <c r="BK48" s="35"/>
      <c r="BL48" s="35"/>
      <c r="BM48" s="35">
        <f t="shared" si="10"/>
        <v>0</v>
      </c>
      <c r="BN48" s="54" t="s">
        <v>347</v>
      </c>
    </row>
    <row r="49" spans="1:67" ht="12.75" hidden="1" customHeight="1">
      <c r="A49" s="35" t="s">
        <v>68</v>
      </c>
      <c r="C49" s="35" t="s">
        <v>45</v>
      </c>
      <c r="D49" s="35"/>
      <c r="E49" s="35">
        <f t="shared" si="0"/>
        <v>0</v>
      </c>
      <c r="F49" s="35"/>
      <c r="G49" s="35"/>
      <c r="H49" s="35"/>
      <c r="I49" s="35"/>
      <c r="J49" s="35"/>
      <c r="K49" s="35">
        <f t="shared" si="1"/>
        <v>0</v>
      </c>
      <c r="L49" s="35"/>
      <c r="M49" s="35">
        <v>0</v>
      </c>
      <c r="N49" s="35"/>
      <c r="O49" s="35"/>
      <c r="P49" s="35"/>
      <c r="Q49" s="35"/>
      <c r="R49" s="35"/>
      <c r="S49" s="35">
        <v>0</v>
      </c>
      <c r="T49" s="35"/>
      <c r="U49" s="35"/>
      <c r="V49" s="35"/>
      <c r="W49" s="35">
        <f t="shared" si="11"/>
        <v>0</v>
      </c>
      <c r="X49" s="35"/>
      <c r="Y49" s="35" t="s">
        <v>68</v>
      </c>
      <c r="Z49" s="55"/>
      <c r="AA49" s="35" t="s">
        <v>45</v>
      </c>
      <c r="AB49" s="35"/>
      <c r="AC49" s="35">
        <v>0</v>
      </c>
      <c r="AD49" s="35"/>
      <c r="AE49" s="35">
        <v>0</v>
      </c>
      <c r="AF49" s="35"/>
      <c r="AG49" s="35">
        <v>0</v>
      </c>
      <c r="AH49" s="35"/>
      <c r="AI49" s="45">
        <f t="shared" si="9"/>
        <v>0</v>
      </c>
      <c r="AJ49" s="45"/>
      <c r="AK49" s="35"/>
      <c r="AL49" s="35"/>
      <c r="AM49" s="35">
        <v>0</v>
      </c>
      <c r="AN49" s="35"/>
      <c r="AO49" s="35">
        <v>0</v>
      </c>
      <c r="AP49" s="35"/>
      <c r="AQ49" s="35">
        <v>0</v>
      </c>
      <c r="AR49" s="35"/>
      <c r="AS49" s="45">
        <f t="shared" si="12"/>
        <v>0</v>
      </c>
      <c r="AT49" s="45"/>
      <c r="AU49" s="35">
        <v>0</v>
      </c>
      <c r="AV49" s="35"/>
      <c r="AW49" s="35">
        <v>0</v>
      </c>
      <c r="AX49" s="35"/>
      <c r="AY49" s="35">
        <f t="shared" si="13"/>
        <v>0</v>
      </c>
      <c r="AZ49" s="35"/>
      <c r="BA49" s="35" t="s">
        <v>68</v>
      </c>
      <c r="BB49" s="55"/>
      <c r="BC49" s="35" t="s">
        <v>45</v>
      </c>
      <c r="BD49" s="35"/>
      <c r="BE49" s="35"/>
      <c r="BF49" s="35"/>
      <c r="BG49" s="35"/>
      <c r="BH49" s="35"/>
      <c r="BI49" s="35"/>
      <c r="BJ49" s="35"/>
      <c r="BK49" s="35"/>
      <c r="BL49" s="35"/>
      <c r="BM49" s="35">
        <f t="shared" si="10"/>
        <v>0</v>
      </c>
      <c r="BN49" s="54" t="s">
        <v>347</v>
      </c>
    </row>
    <row r="50" spans="1:67" ht="12.75" hidden="1" customHeight="1">
      <c r="A50" s="35" t="s">
        <v>69</v>
      </c>
      <c r="C50" s="35" t="s">
        <v>70</v>
      </c>
      <c r="D50" s="35"/>
      <c r="E50" s="35">
        <f t="shared" si="0"/>
        <v>0</v>
      </c>
      <c r="F50" s="35"/>
      <c r="G50" s="35"/>
      <c r="H50" s="35"/>
      <c r="I50" s="35"/>
      <c r="J50" s="35"/>
      <c r="K50" s="35">
        <f t="shared" si="1"/>
        <v>0</v>
      </c>
      <c r="L50" s="35"/>
      <c r="M50" s="35">
        <v>0</v>
      </c>
      <c r="N50" s="35"/>
      <c r="O50" s="35"/>
      <c r="P50" s="35"/>
      <c r="Q50" s="35"/>
      <c r="R50" s="35"/>
      <c r="S50" s="35">
        <v>0</v>
      </c>
      <c r="T50" s="35"/>
      <c r="U50" s="35"/>
      <c r="V50" s="35"/>
      <c r="W50" s="35">
        <f t="shared" si="11"/>
        <v>0</v>
      </c>
      <c r="X50" s="35"/>
      <c r="Y50" s="35" t="s">
        <v>69</v>
      </c>
      <c r="Z50" s="55"/>
      <c r="AA50" s="35" t="s">
        <v>70</v>
      </c>
      <c r="AB50" s="35"/>
      <c r="AC50" s="35">
        <v>0</v>
      </c>
      <c r="AD50" s="35"/>
      <c r="AE50" s="35">
        <v>0</v>
      </c>
      <c r="AF50" s="35"/>
      <c r="AG50" s="35">
        <v>0</v>
      </c>
      <c r="AH50" s="35"/>
      <c r="AI50" s="45">
        <f t="shared" si="9"/>
        <v>0</v>
      </c>
      <c r="AJ50" s="45"/>
      <c r="AK50" s="35"/>
      <c r="AL50" s="35"/>
      <c r="AM50" s="35">
        <v>0</v>
      </c>
      <c r="AN50" s="35"/>
      <c r="AO50" s="35">
        <v>0</v>
      </c>
      <c r="AP50" s="35"/>
      <c r="AQ50" s="35">
        <v>0</v>
      </c>
      <c r="AR50" s="35"/>
      <c r="AS50" s="45">
        <f t="shared" si="12"/>
        <v>0</v>
      </c>
      <c r="AT50" s="45"/>
      <c r="AU50" s="35">
        <v>0</v>
      </c>
      <c r="AV50" s="35"/>
      <c r="AW50" s="35">
        <v>0</v>
      </c>
      <c r="AX50" s="35"/>
      <c r="AY50" s="35">
        <f t="shared" si="13"/>
        <v>0</v>
      </c>
      <c r="AZ50" s="35"/>
      <c r="BA50" s="35" t="s">
        <v>69</v>
      </c>
      <c r="BB50" s="55"/>
      <c r="BC50" s="35" t="s">
        <v>70</v>
      </c>
      <c r="BD50" s="35"/>
      <c r="BE50" s="35"/>
      <c r="BF50" s="35"/>
      <c r="BG50" s="35"/>
      <c r="BH50" s="35"/>
      <c r="BI50" s="35"/>
      <c r="BJ50" s="35"/>
      <c r="BK50" s="35"/>
      <c r="BL50" s="35"/>
      <c r="BM50" s="35">
        <f t="shared" si="10"/>
        <v>0</v>
      </c>
      <c r="BN50" s="54" t="s">
        <v>347</v>
      </c>
    </row>
    <row r="51" spans="1:67" ht="12.75" hidden="1" customHeight="1">
      <c r="A51" s="35" t="s">
        <v>71</v>
      </c>
      <c r="C51" s="35" t="s">
        <v>45</v>
      </c>
      <c r="D51" s="35"/>
      <c r="E51" s="35">
        <f t="shared" si="0"/>
        <v>0</v>
      </c>
      <c r="F51" s="35"/>
      <c r="G51" s="35"/>
      <c r="H51" s="35"/>
      <c r="I51" s="35"/>
      <c r="J51" s="35"/>
      <c r="K51" s="35">
        <f t="shared" si="1"/>
        <v>0</v>
      </c>
      <c r="L51" s="35"/>
      <c r="M51" s="35">
        <v>0</v>
      </c>
      <c r="N51" s="35"/>
      <c r="O51" s="35"/>
      <c r="P51" s="35"/>
      <c r="Q51" s="35"/>
      <c r="R51" s="35"/>
      <c r="S51" s="35">
        <v>0</v>
      </c>
      <c r="T51" s="35"/>
      <c r="U51" s="35"/>
      <c r="V51" s="35"/>
      <c r="W51" s="35">
        <f t="shared" si="11"/>
        <v>0</v>
      </c>
      <c r="X51" s="35"/>
      <c r="Y51" s="35" t="s">
        <v>71</v>
      </c>
      <c r="Z51" s="55"/>
      <c r="AA51" s="35" t="s">
        <v>45</v>
      </c>
      <c r="AB51" s="35"/>
      <c r="AC51" s="35">
        <v>0</v>
      </c>
      <c r="AD51" s="35"/>
      <c r="AE51" s="35">
        <v>0</v>
      </c>
      <c r="AF51" s="35"/>
      <c r="AG51" s="35">
        <v>0</v>
      </c>
      <c r="AH51" s="35"/>
      <c r="AI51" s="45">
        <f t="shared" si="9"/>
        <v>0</v>
      </c>
      <c r="AJ51" s="45"/>
      <c r="AK51" s="35"/>
      <c r="AL51" s="35"/>
      <c r="AM51" s="35">
        <v>0</v>
      </c>
      <c r="AN51" s="35"/>
      <c r="AO51" s="35">
        <v>0</v>
      </c>
      <c r="AP51" s="35"/>
      <c r="AQ51" s="35">
        <v>0</v>
      </c>
      <c r="AR51" s="35"/>
      <c r="AS51" s="45">
        <f t="shared" si="12"/>
        <v>0</v>
      </c>
      <c r="AT51" s="45"/>
      <c r="AU51" s="35">
        <v>0</v>
      </c>
      <c r="AV51" s="35"/>
      <c r="AW51" s="35">
        <v>0</v>
      </c>
      <c r="AX51" s="35"/>
      <c r="AY51" s="35">
        <f t="shared" si="13"/>
        <v>0</v>
      </c>
      <c r="AZ51" s="35"/>
      <c r="BA51" s="35" t="s">
        <v>71</v>
      </c>
      <c r="BB51" s="55"/>
      <c r="BC51" s="35" t="s">
        <v>45</v>
      </c>
      <c r="BD51" s="35"/>
      <c r="BE51" s="35"/>
      <c r="BF51" s="35"/>
      <c r="BG51" s="35"/>
      <c r="BH51" s="35"/>
      <c r="BI51" s="35"/>
      <c r="BJ51" s="35"/>
      <c r="BK51" s="35"/>
      <c r="BL51" s="35"/>
      <c r="BM51" s="35">
        <f t="shared" si="10"/>
        <v>0</v>
      </c>
      <c r="BN51" s="54" t="s">
        <v>347</v>
      </c>
    </row>
    <row r="52" spans="1:67" ht="12.75" hidden="1" customHeight="1">
      <c r="A52" s="35" t="s">
        <v>72</v>
      </c>
      <c r="C52" s="35" t="s">
        <v>66</v>
      </c>
      <c r="D52" s="35"/>
      <c r="E52" s="35">
        <f t="shared" si="0"/>
        <v>0</v>
      </c>
      <c r="F52" s="35"/>
      <c r="G52" s="35"/>
      <c r="H52" s="35"/>
      <c r="I52" s="35"/>
      <c r="J52" s="35"/>
      <c r="K52" s="35">
        <f t="shared" si="1"/>
        <v>0</v>
      </c>
      <c r="L52" s="35"/>
      <c r="M52" s="35">
        <v>0</v>
      </c>
      <c r="N52" s="35"/>
      <c r="O52" s="35"/>
      <c r="P52" s="35"/>
      <c r="Q52" s="35"/>
      <c r="R52" s="35"/>
      <c r="S52" s="35">
        <v>0</v>
      </c>
      <c r="T52" s="35"/>
      <c r="U52" s="35"/>
      <c r="V52" s="35"/>
      <c r="W52" s="35">
        <f t="shared" si="11"/>
        <v>0</v>
      </c>
      <c r="X52" s="35"/>
      <c r="Y52" s="35" t="s">
        <v>72</v>
      </c>
      <c r="Z52" s="55"/>
      <c r="AA52" s="35" t="s">
        <v>66</v>
      </c>
      <c r="AB52" s="35"/>
      <c r="AC52" s="35">
        <v>0</v>
      </c>
      <c r="AD52" s="35"/>
      <c r="AE52" s="35">
        <v>0</v>
      </c>
      <c r="AF52" s="35"/>
      <c r="AG52" s="35">
        <v>0</v>
      </c>
      <c r="AH52" s="35"/>
      <c r="AI52" s="45">
        <v>0</v>
      </c>
      <c r="AJ52" s="45"/>
      <c r="AK52" s="35"/>
      <c r="AL52" s="35"/>
      <c r="AM52" s="35">
        <v>0</v>
      </c>
      <c r="AN52" s="35"/>
      <c r="AO52" s="35">
        <v>0</v>
      </c>
      <c r="AP52" s="35"/>
      <c r="AQ52" s="35">
        <v>0</v>
      </c>
      <c r="AR52" s="35"/>
      <c r="AS52" s="45">
        <f t="shared" si="12"/>
        <v>0</v>
      </c>
      <c r="AT52" s="45"/>
      <c r="AU52" s="35">
        <v>0</v>
      </c>
      <c r="AV52" s="35"/>
      <c r="AW52" s="35">
        <v>0</v>
      </c>
      <c r="AX52" s="35"/>
      <c r="AY52" s="35">
        <f t="shared" si="13"/>
        <v>0</v>
      </c>
      <c r="AZ52" s="35"/>
      <c r="BA52" s="35" t="s">
        <v>72</v>
      </c>
      <c r="BB52" s="55"/>
      <c r="BC52" s="35" t="s">
        <v>66</v>
      </c>
      <c r="BD52" s="35"/>
      <c r="BE52" s="35"/>
      <c r="BF52" s="35"/>
      <c r="BG52" s="35"/>
      <c r="BH52" s="35"/>
      <c r="BI52" s="35"/>
      <c r="BJ52" s="35"/>
      <c r="BK52" s="35"/>
      <c r="BL52" s="35"/>
      <c r="BM52" s="35">
        <f t="shared" si="10"/>
        <v>0</v>
      </c>
      <c r="BN52" s="54" t="s">
        <v>347</v>
      </c>
    </row>
    <row r="53" spans="1:67" ht="12.75" hidden="1" customHeight="1">
      <c r="A53" s="35" t="s">
        <v>73</v>
      </c>
      <c r="B53" s="55"/>
      <c r="C53" s="35" t="s">
        <v>27</v>
      </c>
      <c r="D53" s="35"/>
      <c r="E53" s="35">
        <f t="shared" si="0"/>
        <v>0</v>
      </c>
      <c r="F53" s="35"/>
      <c r="G53" s="35"/>
      <c r="H53" s="35"/>
      <c r="I53" s="35"/>
      <c r="J53" s="35"/>
      <c r="K53" s="35">
        <f t="shared" si="1"/>
        <v>0</v>
      </c>
      <c r="L53" s="35"/>
      <c r="M53" s="35">
        <v>0</v>
      </c>
      <c r="N53" s="35"/>
      <c r="O53" s="35"/>
      <c r="P53" s="35"/>
      <c r="Q53" s="35"/>
      <c r="R53" s="35"/>
      <c r="S53" s="35">
        <v>0</v>
      </c>
      <c r="T53" s="35"/>
      <c r="U53" s="35"/>
      <c r="V53" s="35"/>
      <c r="W53" s="35">
        <f t="shared" si="11"/>
        <v>0</v>
      </c>
      <c r="X53" s="35"/>
      <c r="Y53" s="35" t="s">
        <v>73</v>
      </c>
      <c r="Z53" s="55"/>
      <c r="AA53" s="35" t="s">
        <v>27</v>
      </c>
      <c r="AB53" s="35"/>
      <c r="AC53" s="35">
        <v>0</v>
      </c>
      <c r="AD53" s="35"/>
      <c r="AE53" s="35">
        <v>0</v>
      </c>
      <c r="AF53" s="35"/>
      <c r="AG53" s="35">
        <v>0</v>
      </c>
      <c r="AH53" s="35"/>
      <c r="AI53" s="45">
        <f t="shared" ref="AI53:AI64" si="14">+AC53-AE53-AG53</f>
        <v>0</v>
      </c>
      <c r="AJ53" s="45"/>
      <c r="AK53" s="35"/>
      <c r="AL53" s="35"/>
      <c r="AM53" s="35">
        <v>0</v>
      </c>
      <c r="AN53" s="35"/>
      <c r="AO53" s="35">
        <v>0</v>
      </c>
      <c r="AP53" s="35"/>
      <c r="AQ53" s="35">
        <v>0</v>
      </c>
      <c r="AR53" s="35"/>
      <c r="AS53" s="45">
        <f t="shared" si="12"/>
        <v>0</v>
      </c>
      <c r="AT53" s="45"/>
      <c r="AU53" s="35">
        <v>0</v>
      </c>
      <c r="AV53" s="35"/>
      <c r="AW53" s="35">
        <v>0</v>
      </c>
      <c r="AX53" s="35"/>
      <c r="AY53" s="35">
        <f t="shared" si="13"/>
        <v>0</v>
      </c>
      <c r="AZ53" s="35"/>
      <c r="BA53" s="35" t="s">
        <v>73</v>
      </c>
      <c r="BB53" s="55"/>
      <c r="BC53" s="35" t="s">
        <v>27</v>
      </c>
      <c r="BD53" s="35"/>
      <c r="BE53" s="35"/>
      <c r="BF53" s="35"/>
      <c r="BG53" s="35"/>
      <c r="BH53" s="35"/>
      <c r="BI53" s="35"/>
      <c r="BJ53" s="35"/>
      <c r="BK53" s="35"/>
      <c r="BL53" s="35"/>
      <c r="BM53" s="35">
        <f t="shared" si="10"/>
        <v>0</v>
      </c>
      <c r="BN53" s="54" t="s">
        <v>347</v>
      </c>
    </row>
    <row r="54" spans="1:67" ht="12.75" hidden="1" customHeight="1">
      <c r="A54" s="35" t="s">
        <v>74</v>
      </c>
      <c r="C54" s="35" t="s">
        <v>27</v>
      </c>
      <c r="D54" s="35"/>
      <c r="E54" s="35">
        <f t="shared" si="0"/>
        <v>0</v>
      </c>
      <c r="F54" s="35"/>
      <c r="G54" s="35"/>
      <c r="H54" s="35"/>
      <c r="I54" s="35"/>
      <c r="J54" s="35"/>
      <c r="K54" s="35">
        <f t="shared" si="1"/>
        <v>0</v>
      </c>
      <c r="L54" s="35"/>
      <c r="M54" s="35">
        <v>0</v>
      </c>
      <c r="N54" s="35"/>
      <c r="O54" s="35"/>
      <c r="P54" s="35"/>
      <c r="Q54" s="35"/>
      <c r="R54" s="35"/>
      <c r="S54" s="35">
        <v>0</v>
      </c>
      <c r="T54" s="35"/>
      <c r="U54" s="35"/>
      <c r="V54" s="35"/>
      <c r="W54" s="35">
        <f t="shared" si="11"/>
        <v>0</v>
      </c>
      <c r="X54" s="35"/>
      <c r="Y54" s="35" t="s">
        <v>74</v>
      </c>
      <c r="Z54" s="55"/>
      <c r="AA54" s="35" t="s">
        <v>27</v>
      </c>
      <c r="AB54" s="35"/>
      <c r="AC54" s="35">
        <v>0</v>
      </c>
      <c r="AD54" s="35"/>
      <c r="AE54" s="35">
        <v>0</v>
      </c>
      <c r="AF54" s="35"/>
      <c r="AG54" s="35">
        <v>0</v>
      </c>
      <c r="AH54" s="35"/>
      <c r="AI54" s="45">
        <f t="shared" si="14"/>
        <v>0</v>
      </c>
      <c r="AJ54" s="45"/>
      <c r="AK54" s="35"/>
      <c r="AL54" s="35"/>
      <c r="AM54" s="35">
        <v>0</v>
      </c>
      <c r="AN54" s="35"/>
      <c r="AO54" s="35">
        <v>0</v>
      </c>
      <c r="AP54" s="35"/>
      <c r="AQ54" s="35">
        <v>0</v>
      </c>
      <c r="AR54" s="35"/>
      <c r="AS54" s="45">
        <f t="shared" si="12"/>
        <v>0</v>
      </c>
      <c r="AT54" s="45"/>
      <c r="AU54" s="35">
        <v>0</v>
      </c>
      <c r="AV54" s="35"/>
      <c r="AW54" s="35">
        <v>0</v>
      </c>
      <c r="AX54" s="35"/>
      <c r="AY54" s="35">
        <f t="shared" si="13"/>
        <v>0</v>
      </c>
      <c r="AZ54" s="35"/>
      <c r="BA54" s="35" t="s">
        <v>74</v>
      </c>
      <c r="BB54" s="55"/>
      <c r="BC54" s="35" t="s">
        <v>27</v>
      </c>
      <c r="BD54" s="35"/>
      <c r="BE54" s="35"/>
      <c r="BF54" s="35"/>
      <c r="BG54" s="35"/>
      <c r="BH54" s="35"/>
      <c r="BI54" s="35"/>
      <c r="BJ54" s="35"/>
      <c r="BK54" s="35"/>
      <c r="BL54" s="35"/>
      <c r="BM54" s="35">
        <f t="shared" si="10"/>
        <v>0</v>
      </c>
      <c r="BN54" s="54" t="s">
        <v>347</v>
      </c>
    </row>
    <row r="55" spans="1:67" ht="12.75" customHeight="1">
      <c r="A55" s="35" t="s">
        <v>75</v>
      </c>
      <c r="C55" s="35" t="s">
        <v>76</v>
      </c>
      <c r="D55" s="35"/>
      <c r="E55" s="35">
        <f t="shared" si="0"/>
        <v>8192652</v>
      </c>
      <c r="F55" s="35"/>
      <c r="G55" s="35">
        <v>12223089</v>
      </c>
      <c r="H55" s="35"/>
      <c r="I55" s="35">
        <v>20415741</v>
      </c>
      <c r="J55" s="35"/>
      <c r="K55" s="35">
        <f t="shared" si="1"/>
        <v>1105008</v>
      </c>
      <c r="L55" s="35"/>
      <c r="M55" s="35">
        <v>4233074</v>
      </c>
      <c r="N55" s="35"/>
      <c r="O55" s="35">
        <v>5338082</v>
      </c>
      <c r="P55" s="35"/>
      <c r="Q55" s="35">
        <v>6433660</v>
      </c>
      <c r="R55" s="35"/>
      <c r="S55" s="35">
        <v>732315</v>
      </c>
      <c r="T55" s="35"/>
      <c r="U55" s="35">
        <v>7911684</v>
      </c>
      <c r="V55" s="35"/>
      <c r="W55" s="35">
        <f t="shared" si="11"/>
        <v>15077659</v>
      </c>
      <c r="X55" s="35"/>
      <c r="Y55" s="35" t="s">
        <v>75</v>
      </c>
      <c r="Z55" s="55"/>
      <c r="AA55" s="35" t="s">
        <v>76</v>
      </c>
      <c r="AB55" s="35"/>
      <c r="AC55" s="35">
        <v>17816293</v>
      </c>
      <c r="AD55" s="35"/>
      <c r="AE55" s="35">
        <f>16530789-362111</f>
        <v>16168678</v>
      </c>
      <c r="AF55" s="35"/>
      <c r="AG55" s="35">
        <v>362111</v>
      </c>
      <c r="AH55" s="35"/>
      <c r="AI55" s="45">
        <f t="shared" si="14"/>
        <v>1285504</v>
      </c>
      <c r="AJ55" s="45"/>
      <c r="AK55" s="35">
        <v>-587782</v>
      </c>
      <c r="AL55" s="35"/>
      <c r="AM55" s="35">
        <v>351694</v>
      </c>
      <c r="AN55" s="35"/>
      <c r="AO55" s="35">
        <v>0</v>
      </c>
      <c r="AP55" s="35"/>
      <c r="AQ55" s="35">
        <v>0</v>
      </c>
      <c r="AR55" s="35"/>
      <c r="AS55" s="45">
        <f t="shared" si="12"/>
        <v>1049416</v>
      </c>
      <c r="AT55" s="45"/>
      <c r="AU55" s="35">
        <v>0</v>
      </c>
      <c r="AV55" s="35"/>
      <c r="AW55" s="35">
        <v>0</v>
      </c>
      <c r="AX55" s="35"/>
      <c r="AY55" s="35">
        <f t="shared" si="13"/>
        <v>7087644</v>
      </c>
      <c r="AZ55" s="35"/>
      <c r="BA55" s="35" t="s">
        <v>75</v>
      </c>
      <c r="BB55" s="55"/>
      <c r="BC55" s="35" t="s">
        <v>76</v>
      </c>
      <c r="BD55" s="35"/>
      <c r="BE55" s="35">
        <f>1512114+390000</f>
        <v>1902114</v>
      </c>
      <c r="BF55" s="35"/>
      <c r="BG55" s="35">
        <f>315000+1460000</f>
        <v>1775000</v>
      </c>
      <c r="BH55" s="35"/>
      <c r="BI55" s="35">
        <v>0</v>
      </c>
      <c r="BJ55" s="35"/>
      <c r="BK55" s="35">
        <f>1240000+20960+140000+10249</f>
        <v>1411209</v>
      </c>
      <c r="BL55" s="35"/>
      <c r="BM55" s="35">
        <f t="shared" si="10"/>
        <v>5088323</v>
      </c>
      <c r="BN55" s="54" t="s">
        <v>347</v>
      </c>
    </row>
    <row r="56" spans="1:67" ht="12.75" customHeight="1">
      <c r="A56" s="35" t="s">
        <v>94</v>
      </c>
      <c r="C56" s="35" t="s">
        <v>94</v>
      </c>
      <c r="D56" s="35"/>
      <c r="E56" s="35">
        <f t="shared" si="0"/>
        <v>3768820</v>
      </c>
      <c r="F56" s="35"/>
      <c r="G56" s="35">
        <v>5209978</v>
      </c>
      <c r="H56" s="35"/>
      <c r="I56" s="35">
        <v>8978798</v>
      </c>
      <c r="J56" s="35"/>
      <c r="K56" s="35">
        <f t="shared" si="1"/>
        <v>1529917</v>
      </c>
      <c r="L56" s="35"/>
      <c r="M56" s="35">
        <v>23730</v>
      </c>
      <c r="N56" s="35"/>
      <c r="O56" s="35">
        <v>1553647</v>
      </c>
      <c r="P56" s="35"/>
      <c r="Q56" s="35">
        <v>4097069</v>
      </c>
      <c r="R56" s="35"/>
      <c r="S56" s="35">
        <v>0</v>
      </c>
      <c r="T56" s="35"/>
      <c r="U56" s="35">
        <v>3328082</v>
      </c>
      <c r="V56" s="35"/>
      <c r="W56" s="35">
        <f t="shared" si="11"/>
        <v>7425151</v>
      </c>
      <c r="X56" s="35"/>
      <c r="Y56" s="35" t="str">
        <f>+A56</f>
        <v>Columbiana</v>
      </c>
      <c r="Z56" s="55"/>
      <c r="AA56" s="35" t="s">
        <v>94</v>
      </c>
      <c r="AB56" s="35"/>
      <c r="AC56" s="35">
        <v>7557263</v>
      </c>
      <c r="AD56" s="35"/>
      <c r="AE56" s="35">
        <f>7059663-362500</f>
        <v>6697163</v>
      </c>
      <c r="AF56" s="35"/>
      <c r="AG56" s="35">
        <v>365200</v>
      </c>
      <c r="AH56" s="35"/>
      <c r="AI56" s="45">
        <f t="shared" si="14"/>
        <v>494900</v>
      </c>
      <c r="AJ56" s="45"/>
      <c r="AK56" s="35">
        <v>-94591</v>
      </c>
      <c r="AL56" s="35"/>
      <c r="AM56" s="35">
        <v>0</v>
      </c>
      <c r="AN56" s="35"/>
      <c r="AO56" s="35">
        <v>0</v>
      </c>
      <c r="AP56" s="35"/>
      <c r="AQ56" s="35">
        <v>0</v>
      </c>
      <c r="AR56" s="35"/>
      <c r="AS56" s="45">
        <f t="shared" si="12"/>
        <v>400309</v>
      </c>
      <c r="AT56" s="45"/>
      <c r="AU56" s="35">
        <v>0</v>
      </c>
      <c r="AV56" s="35"/>
      <c r="AW56" s="35">
        <v>0</v>
      </c>
      <c r="AX56" s="35"/>
      <c r="AY56" s="35">
        <f t="shared" si="13"/>
        <v>2238903</v>
      </c>
      <c r="AZ56" s="35"/>
      <c r="BA56" s="35" t="str">
        <f>+Y56</f>
        <v>Columbiana</v>
      </c>
      <c r="BB56" s="55"/>
      <c r="BC56" s="35" t="s">
        <v>94</v>
      </c>
      <c r="BD56" s="35"/>
      <c r="BE56" s="35">
        <v>0</v>
      </c>
      <c r="BF56" s="35"/>
      <c r="BG56" s="35">
        <v>0</v>
      </c>
      <c r="BH56" s="35"/>
      <c r="BI56" s="35">
        <v>0</v>
      </c>
      <c r="BJ56" s="35"/>
      <c r="BK56" s="35">
        <f>25126+23730</f>
        <v>48856</v>
      </c>
      <c r="BL56" s="35"/>
      <c r="BM56" s="35">
        <f t="shared" si="10"/>
        <v>48856</v>
      </c>
      <c r="BN56" s="54" t="s">
        <v>347</v>
      </c>
    </row>
    <row r="57" spans="1:67" ht="12.75" customHeight="1">
      <c r="A57" s="35" t="s">
        <v>77</v>
      </c>
      <c r="C57" s="35" t="s">
        <v>43</v>
      </c>
      <c r="D57" s="35"/>
      <c r="E57" s="35">
        <f t="shared" si="0"/>
        <v>25174000</v>
      </c>
      <c r="F57" s="35"/>
      <c r="G57" s="35">
        <v>95742000</v>
      </c>
      <c r="H57" s="35"/>
      <c r="I57" s="35">
        <v>120916000</v>
      </c>
      <c r="J57" s="35"/>
      <c r="K57" s="35">
        <f t="shared" si="1"/>
        <v>14643000</v>
      </c>
      <c r="L57" s="35"/>
      <c r="M57" s="35">
        <v>25523000</v>
      </c>
      <c r="N57" s="35"/>
      <c r="O57" s="35">
        <v>40166000</v>
      </c>
      <c r="P57" s="35"/>
      <c r="Q57" s="35">
        <v>69211000</v>
      </c>
      <c r="R57" s="35"/>
      <c r="S57" s="35">
        <v>0</v>
      </c>
      <c r="T57" s="35"/>
      <c r="U57" s="35">
        <v>11539000</v>
      </c>
      <c r="V57" s="35"/>
      <c r="W57" s="35">
        <f t="shared" si="11"/>
        <v>80750000</v>
      </c>
      <c r="X57" s="35"/>
      <c r="Y57" s="35" t="s">
        <v>77</v>
      </c>
      <c r="Z57" s="55"/>
      <c r="AA57" s="35" t="s">
        <v>43</v>
      </c>
      <c r="AB57" s="35"/>
      <c r="AC57" s="35">
        <v>81960000</v>
      </c>
      <c r="AD57" s="35"/>
      <c r="AE57" s="35">
        <f>80782000-3880000</f>
        <v>76902000</v>
      </c>
      <c r="AF57" s="35"/>
      <c r="AG57" s="35">
        <v>3880000</v>
      </c>
      <c r="AH57" s="35"/>
      <c r="AI57" s="45">
        <f t="shared" si="14"/>
        <v>1178000</v>
      </c>
      <c r="AJ57" s="45"/>
      <c r="AK57" s="35">
        <v>-1286000</v>
      </c>
      <c r="AL57" s="35"/>
      <c r="AM57" s="35">
        <v>657000</v>
      </c>
      <c r="AN57" s="35"/>
      <c r="AO57" s="35">
        <v>0</v>
      </c>
      <c r="AP57" s="35"/>
      <c r="AQ57" s="35">
        <v>0</v>
      </c>
      <c r="AR57" s="35"/>
      <c r="AS57" s="45">
        <f t="shared" si="12"/>
        <v>549000</v>
      </c>
      <c r="AT57" s="45"/>
      <c r="AU57" s="35">
        <v>0</v>
      </c>
      <c r="AV57" s="35"/>
      <c r="AW57" s="35">
        <v>0</v>
      </c>
      <c r="AX57" s="35"/>
      <c r="AY57" s="35">
        <f t="shared" si="13"/>
        <v>10531000</v>
      </c>
      <c r="AZ57" s="35"/>
      <c r="BA57" s="35" t="s">
        <v>77</v>
      </c>
      <c r="BB57" s="55"/>
      <c r="BC57" s="35" t="s">
        <v>43</v>
      </c>
      <c r="BD57" s="35"/>
      <c r="BE57" s="35">
        <f>4916000+25523000</f>
        <v>30439000</v>
      </c>
      <c r="BF57" s="35"/>
      <c r="BG57" s="35">
        <v>0</v>
      </c>
      <c r="BH57" s="35"/>
      <c r="BI57" s="35">
        <v>0</v>
      </c>
      <c r="BJ57" s="35"/>
      <c r="BK57" s="35">
        <v>0</v>
      </c>
      <c r="BL57" s="35"/>
      <c r="BM57" s="35">
        <f t="shared" si="10"/>
        <v>30439000</v>
      </c>
      <c r="BN57" s="54" t="s">
        <v>347</v>
      </c>
    </row>
    <row r="58" spans="1:67" ht="12.75" hidden="1" customHeight="1">
      <c r="A58" s="35" t="s">
        <v>78</v>
      </c>
      <c r="C58" s="35" t="s">
        <v>19</v>
      </c>
      <c r="D58" s="35"/>
      <c r="E58" s="35">
        <f t="shared" si="0"/>
        <v>0</v>
      </c>
      <c r="F58" s="35"/>
      <c r="G58" s="35">
        <v>0</v>
      </c>
      <c r="H58" s="35"/>
      <c r="I58" s="35">
        <v>0</v>
      </c>
      <c r="J58" s="35"/>
      <c r="K58" s="35">
        <f t="shared" si="1"/>
        <v>0</v>
      </c>
      <c r="L58" s="35"/>
      <c r="M58" s="35">
        <v>0</v>
      </c>
      <c r="N58" s="35"/>
      <c r="O58" s="35">
        <v>0</v>
      </c>
      <c r="P58" s="35"/>
      <c r="Q58" s="35">
        <v>0</v>
      </c>
      <c r="R58" s="35"/>
      <c r="S58" s="35">
        <v>0</v>
      </c>
      <c r="T58" s="35"/>
      <c r="U58" s="35">
        <v>0</v>
      </c>
      <c r="V58" s="35"/>
      <c r="W58" s="35">
        <f t="shared" si="11"/>
        <v>0</v>
      </c>
      <c r="X58" s="35"/>
      <c r="Y58" s="35" t="s">
        <v>78</v>
      </c>
      <c r="Z58" s="55"/>
      <c r="AA58" s="35" t="s">
        <v>19</v>
      </c>
      <c r="AB58" s="35"/>
      <c r="AC58" s="35">
        <v>0</v>
      </c>
      <c r="AD58" s="35"/>
      <c r="AE58" s="35">
        <v>0</v>
      </c>
      <c r="AF58" s="35"/>
      <c r="AG58" s="35">
        <v>0</v>
      </c>
      <c r="AH58" s="35"/>
      <c r="AI58" s="45">
        <f t="shared" si="14"/>
        <v>0</v>
      </c>
      <c r="AJ58" s="45"/>
      <c r="AK58" s="35">
        <v>0</v>
      </c>
      <c r="AL58" s="35"/>
      <c r="AM58" s="35">
        <v>0</v>
      </c>
      <c r="AN58" s="35"/>
      <c r="AO58" s="35">
        <v>0</v>
      </c>
      <c r="AP58" s="35"/>
      <c r="AQ58" s="35">
        <v>0</v>
      </c>
      <c r="AR58" s="35"/>
      <c r="AS58" s="45">
        <f t="shared" si="12"/>
        <v>0</v>
      </c>
      <c r="AT58" s="45"/>
      <c r="AU58" s="35">
        <v>0</v>
      </c>
      <c r="AV58" s="35"/>
      <c r="AW58" s="35">
        <v>0</v>
      </c>
      <c r="AX58" s="35"/>
      <c r="AY58" s="35">
        <f t="shared" si="13"/>
        <v>0</v>
      </c>
      <c r="AZ58" s="35"/>
      <c r="BA58" s="35" t="s">
        <v>78</v>
      </c>
      <c r="BB58" s="55"/>
      <c r="BC58" s="35" t="s">
        <v>19</v>
      </c>
      <c r="BD58" s="35"/>
      <c r="BE58" s="35">
        <v>0</v>
      </c>
      <c r="BF58" s="35"/>
      <c r="BG58" s="35">
        <v>0</v>
      </c>
      <c r="BH58" s="35"/>
      <c r="BI58" s="35">
        <v>0</v>
      </c>
      <c r="BJ58" s="35"/>
      <c r="BK58" s="35">
        <v>0</v>
      </c>
      <c r="BL58" s="35"/>
      <c r="BM58" s="35">
        <f t="shared" si="10"/>
        <v>0</v>
      </c>
      <c r="BN58" s="54" t="s">
        <v>347</v>
      </c>
    </row>
    <row r="59" spans="1:67" ht="12.75" hidden="1" customHeight="1">
      <c r="A59" s="35" t="s">
        <v>79</v>
      </c>
      <c r="C59" s="35" t="s">
        <v>80</v>
      </c>
      <c r="D59" s="35"/>
      <c r="E59" s="35">
        <f t="shared" si="0"/>
        <v>0</v>
      </c>
      <c r="F59" s="35"/>
      <c r="G59" s="35">
        <v>0</v>
      </c>
      <c r="H59" s="35"/>
      <c r="I59" s="35">
        <v>0</v>
      </c>
      <c r="J59" s="35"/>
      <c r="K59" s="35">
        <f t="shared" si="1"/>
        <v>0</v>
      </c>
      <c r="L59" s="35"/>
      <c r="M59" s="35">
        <v>0</v>
      </c>
      <c r="N59" s="35"/>
      <c r="O59" s="35">
        <v>0</v>
      </c>
      <c r="P59" s="35"/>
      <c r="Q59" s="35">
        <v>0</v>
      </c>
      <c r="R59" s="35"/>
      <c r="S59" s="35">
        <v>0</v>
      </c>
      <c r="T59" s="35"/>
      <c r="U59" s="35">
        <v>0</v>
      </c>
      <c r="V59" s="35"/>
      <c r="W59" s="35">
        <f t="shared" si="11"/>
        <v>0</v>
      </c>
      <c r="X59" s="35"/>
      <c r="Y59" s="35" t="s">
        <v>79</v>
      </c>
      <c r="Z59" s="55"/>
      <c r="AA59" s="35" t="s">
        <v>80</v>
      </c>
      <c r="AB59" s="35"/>
      <c r="AC59" s="35">
        <v>0</v>
      </c>
      <c r="AD59" s="35"/>
      <c r="AE59" s="35">
        <v>0</v>
      </c>
      <c r="AF59" s="35"/>
      <c r="AG59" s="35">
        <v>0</v>
      </c>
      <c r="AH59" s="35"/>
      <c r="AI59" s="45">
        <f t="shared" si="14"/>
        <v>0</v>
      </c>
      <c r="AJ59" s="45"/>
      <c r="AK59" s="35">
        <v>0</v>
      </c>
      <c r="AL59" s="35"/>
      <c r="AM59" s="35">
        <v>0</v>
      </c>
      <c r="AN59" s="35"/>
      <c r="AO59" s="35">
        <v>0</v>
      </c>
      <c r="AP59" s="35"/>
      <c r="AQ59" s="35">
        <v>0</v>
      </c>
      <c r="AR59" s="35"/>
      <c r="AS59" s="45">
        <f t="shared" si="12"/>
        <v>0</v>
      </c>
      <c r="AT59" s="45"/>
      <c r="AU59" s="35">
        <v>0</v>
      </c>
      <c r="AV59" s="35"/>
      <c r="AW59" s="35">
        <v>0</v>
      </c>
      <c r="AX59" s="35"/>
      <c r="AY59" s="35">
        <f t="shared" si="13"/>
        <v>0</v>
      </c>
      <c r="AZ59" s="35"/>
      <c r="BA59" s="35" t="s">
        <v>79</v>
      </c>
      <c r="BB59" s="55"/>
      <c r="BC59" s="35" t="s">
        <v>80</v>
      </c>
      <c r="BD59" s="35"/>
      <c r="BE59" s="35">
        <v>0</v>
      </c>
      <c r="BF59" s="35"/>
      <c r="BG59" s="35">
        <v>0</v>
      </c>
      <c r="BH59" s="35"/>
      <c r="BI59" s="35">
        <v>0</v>
      </c>
      <c r="BJ59" s="35"/>
      <c r="BK59" s="35">
        <v>0</v>
      </c>
      <c r="BL59" s="35"/>
      <c r="BM59" s="35">
        <f t="shared" si="10"/>
        <v>0</v>
      </c>
      <c r="BN59" s="54" t="s">
        <v>347</v>
      </c>
    </row>
    <row r="60" spans="1:67" ht="12.75" hidden="1" customHeight="1">
      <c r="A60" s="35" t="s">
        <v>81</v>
      </c>
      <c r="C60" s="35" t="s">
        <v>81</v>
      </c>
      <c r="D60" s="35"/>
      <c r="E60" s="35">
        <f t="shared" si="0"/>
        <v>0</v>
      </c>
      <c r="F60" s="35"/>
      <c r="G60" s="35">
        <v>0</v>
      </c>
      <c r="H60" s="35"/>
      <c r="I60" s="35">
        <v>0</v>
      </c>
      <c r="J60" s="35"/>
      <c r="K60" s="35">
        <f t="shared" si="1"/>
        <v>0</v>
      </c>
      <c r="L60" s="35"/>
      <c r="M60" s="35">
        <v>0</v>
      </c>
      <c r="N60" s="35"/>
      <c r="O60" s="35">
        <v>0</v>
      </c>
      <c r="P60" s="35"/>
      <c r="Q60" s="35">
        <v>0</v>
      </c>
      <c r="R60" s="35"/>
      <c r="S60" s="35">
        <v>0</v>
      </c>
      <c r="T60" s="35"/>
      <c r="U60" s="35">
        <v>0</v>
      </c>
      <c r="V60" s="35"/>
      <c r="W60" s="35">
        <f t="shared" si="11"/>
        <v>0</v>
      </c>
      <c r="X60" s="35"/>
      <c r="Y60" s="35" t="s">
        <v>81</v>
      </c>
      <c r="Z60" s="55"/>
      <c r="AA60" s="35" t="s">
        <v>81</v>
      </c>
      <c r="AB60" s="35"/>
      <c r="AC60" s="35">
        <v>0</v>
      </c>
      <c r="AD60" s="35"/>
      <c r="AE60" s="35">
        <v>0</v>
      </c>
      <c r="AF60" s="35"/>
      <c r="AG60" s="35">
        <v>0</v>
      </c>
      <c r="AH60" s="35"/>
      <c r="AI60" s="45">
        <f t="shared" si="14"/>
        <v>0</v>
      </c>
      <c r="AJ60" s="45"/>
      <c r="AK60" s="35">
        <v>0</v>
      </c>
      <c r="AL60" s="35"/>
      <c r="AM60" s="35">
        <v>0</v>
      </c>
      <c r="AN60" s="35"/>
      <c r="AO60" s="35">
        <v>0</v>
      </c>
      <c r="AP60" s="35"/>
      <c r="AQ60" s="35">
        <v>0</v>
      </c>
      <c r="AR60" s="35"/>
      <c r="AS60" s="45">
        <f t="shared" si="12"/>
        <v>0</v>
      </c>
      <c r="AT60" s="45"/>
      <c r="AU60" s="35">
        <v>0</v>
      </c>
      <c r="AV60" s="35"/>
      <c r="AW60" s="35">
        <v>0</v>
      </c>
      <c r="AX60" s="35"/>
      <c r="AY60" s="35">
        <f t="shared" si="13"/>
        <v>0</v>
      </c>
      <c r="AZ60" s="35"/>
      <c r="BA60" s="35" t="s">
        <v>81</v>
      </c>
      <c r="BB60" s="55"/>
      <c r="BC60" s="35" t="s">
        <v>81</v>
      </c>
      <c r="BD60" s="35"/>
      <c r="BE60" s="35">
        <v>0</v>
      </c>
      <c r="BF60" s="35"/>
      <c r="BG60" s="35">
        <v>0</v>
      </c>
      <c r="BH60" s="35"/>
      <c r="BI60" s="35">
        <v>0</v>
      </c>
      <c r="BJ60" s="35"/>
      <c r="BK60" s="35">
        <v>0</v>
      </c>
      <c r="BL60" s="35"/>
      <c r="BM60" s="35">
        <f t="shared" si="10"/>
        <v>0</v>
      </c>
      <c r="BN60" s="54" t="s">
        <v>347</v>
      </c>
    </row>
    <row r="61" spans="1:67" ht="12.75" customHeight="1">
      <c r="A61" s="35" t="s">
        <v>82</v>
      </c>
      <c r="C61" s="35" t="s">
        <v>13</v>
      </c>
      <c r="D61" s="35"/>
      <c r="E61" s="35">
        <f t="shared" si="0"/>
        <v>31976051</v>
      </c>
      <c r="F61" s="35"/>
      <c r="G61" s="35">
        <v>19876254</v>
      </c>
      <c r="H61" s="35"/>
      <c r="I61" s="35">
        <v>51852305</v>
      </c>
      <c r="J61" s="35"/>
      <c r="K61" s="35">
        <f t="shared" si="1"/>
        <v>4209150</v>
      </c>
      <c r="L61" s="35"/>
      <c r="M61" s="35">
        <v>12074069</v>
      </c>
      <c r="N61" s="35"/>
      <c r="O61" s="35">
        <v>16283219</v>
      </c>
      <c r="P61" s="35"/>
      <c r="Q61" s="35">
        <v>15344155</v>
      </c>
      <c r="R61" s="35"/>
      <c r="S61" s="35">
        <v>0</v>
      </c>
      <c r="T61" s="35"/>
      <c r="U61" s="35">
        <v>20224931</v>
      </c>
      <c r="V61" s="35"/>
      <c r="W61" s="35">
        <f t="shared" si="11"/>
        <v>35569086</v>
      </c>
      <c r="X61" s="35"/>
      <c r="Y61" s="35" t="s">
        <v>82</v>
      </c>
      <c r="Z61" s="55"/>
      <c r="AA61" s="35" t="s">
        <v>13</v>
      </c>
      <c r="AB61" s="35"/>
      <c r="AC61" s="35">
        <v>37185229</v>
      </c>
      <c r="AD61" s="35"/>
      <c r="AE61" s="35">
        <v>36161389</v>
      </c>
      <c r="AF61" s="35"/>
      <c r="AG61" s="35">
        <v>0</v>
      </c>
      <c r="AH61" s="35"/>
      <c r="AI61" s="45">
        <f t="shared" si="14"/>
        <v>1023840</v>
      </c>
      <c r="AJ61" s="45"/>
      <c r="AK61" s="35">
        <v>-36975</v>
      </c>
      <c r="AL61" s="35"/>
      <c r="AM61" s="35">
        <v>1848295</v>
      </c>
      <c r="AN61" s="35"/>
      <c r="AO61" s="35">
        <v>1751897</v>
      </c>
      <c r="AP61" s="35"/>
      <c r="AQ61" s="35">
        <v>0</v>
      </c>
      <c r="AR61" s="35"/>
      <c r="AS61" s="45">
        <f t="shared" si="12"/>
        <v>1083263</v>
      </c>
      <c r="AT61" s="45"/>
      <c r="AU61" s="35">
        <v>0</v>
      </c>
      <c r="AV61" s="35"/>
      <c r="AW61" s="35">
        <v>0</v>
      </c>
      <c r="AX61" s="35"/>
      <c r="AY61" s="35">
        <f t="shared" si="13"/>
        <v>27766901</v>
      </c>
      <c r="AZ61" s="35"/>
      <c r="BA61" s="35" t="s">
        <v>82</v>
      </c>
      <c r="BB61" s="55"/>
      <c r="BC61" s="35" t="s">
        <v>13</v>
      </c>
      <c r="BD61" s="35"/>
      <c r="BE61" s="35">
        <v>0</v>
      </c>
      <c r="BF61" s="35"/>
      <c r="BG61" s="35">
        <v>0</v>
      </c>
      <c r="BH61" s="35"/>
      <c r="BI61" s="35">
        <v>0</v>
      </c>
      <c r="BJ61" s="35"/>
      <c r="BK61" s="35">
        <f>434244+355149+475482+7617464+3981113</f>
        <v>12863452</v>
      </c>
      <c r="BL61" s="35"/>
      <c r="BM61" s="35">
        <f t="shared" si="10"/>
        <v>12863452</v>
      </c>
      <c r="BN61" s="54" t="s">
        <v>347</v>
      </c>
    </row>
    <row r="62" spans="1:67" ht="12.75" hidden="1" customHeight="1">
      <c r="A62" s="35" t="s">
        <v>83</v>
      </c>
      <c r="C62" s="35" t="s">
        <v>66</v>
      </c>
      <c r="D62" s="35"/>
      <c r="E62" s="35">
        <f t="shared" si="0"/>
        <v>0</v>
      </c>
      <c r="F62" s="35"/>
      <c r="G62" s="35">
        <v>0</v>
      </c>
      <c r="H62" s="35"/>
      <c r="I62" s="35">
        <v>0</v>
      </c>
      <c r="J62" s="35"/>
      <c r="K62" s="35">
        <f t="shared" si="1"/>
        <v>0</v>
      </c>
      <c r="L62" s="35"/>
      <c r="M62" s="35">
        <v>0</v>
      </c>
      <c r="N62" s="35"/>
      <c r="O62" s="35">
        <v>0</v>
      </c>
      <c r="P62" s="35"/>
      <c r="Q62" s="35">
        <v>0</v>
      </c>
      <c r="R62" s="35"/>
      <c r="S62" s="35">
        <v>0</v>
      </c>
      <c r="T62" s="35"/>
      <c r="U62" s="35">
        <v>0</v>
      </c>
      <c r="V62" s="35"/>
      <c r="W62" s="35">
        <f t="shared" si="11"/>
        <v>0</v>
      </c>
      <c r="X62" s="35"/>
      <c r="Y62" s="35" t="s">
        <v>83</v>
      </c>
      <c r="Z62" s="55"/>
      <c r="AA62" s="35" t="s">
        <v>66</v>
      </c>
      <c r="AB62" s="35"/>
      <c r="AC62" s="35">
        <v>0</v>
      </c>
      <c r="AD62" s="35"/>
      <c r="AE62" s="35">
        <v>0</v>
      </c>
      <c r="AF62" s="35"/>
      <c r="AG62" s="35">
        <v>0</v>
      </c>
      <c r="AH62" s="35"/>
      <c r="AI62" s="45">
        <f t="shared" si="14"/>
        <v>0</v>
      </c>
      <c r="AJ62" s="45"/>
      <c r="AK62" s="35">
        <v>0</v>
      </c>
      <c r="AL62" s="35"/>
      <c r="AM62" s="35">
        <v>0</v>
      </c>
      <c r="AN62" s="35"/>
      <c r="AO62" s="35">
        <v>0</v>
      </c>
      <c r="AP62" s="35"/>
      <c r="AQ62" s="35">
        <v>0</v>
      </c>
      <c r="AR62" s="35"/>
      <c r="AS62" s="45">
        <f t="shared" si="12"/>
        <v>0</v>
      </c>
      <c r="AT62" s="45"/>
      <c r="AU62" s="35">
        <v>0</v>
      </c>
      <c r="AV62" s="35"/>
      <c r="AW62" s="35">
        <v>0</v>
      </c>
      <c r="AX62" s="35"/>
      <c r="AY62" s="35">
        <f t="shared" si="13"/>
        <v>0</v>
      </c>
      <c r="AZ62" s="35"/>
      <c r="BA62" s="35" t="s">
        <v>83</v>
      </c>
      <c r="BB62" s="55"/>
      <c r="BC62" s="35" t="s">
        <v>66</v>
      </c>
      <c r="BD62" s="35"/>
      <c r="BE62" s="35">
        <v>0</v>
      </c>
      <c r="BF62" s="35"/>
      <c r="BG62" s="35">
        <v>0</v>
      </c>
      <c r="BH62" s="35"/>
      <c r="BI62" s="35">
        <v>0</v>
      </c>
      <c r="BJ62" s="35"/>
      <c r="BK62" s="35">
        <v>0</v>
      </c>
      <c r="BL62" s="35"/>
      <c r="BM62" s="35">
        <f t="shared" si="10"/>
        <v>0</v>
      </c>
      <c r="BN62" s="54" t="s">
        <v>347</v>
      </c>
    </row>
    <row r="63" spans="1:67" ht="12.75" hidden="1" customHeight="1">
      <c r="A63" s="35" t="s">
        <v>84</v>
      </c>
      <c r="C63" s="35" t="s">
        <v>45</v>
      </c>
      <c r="D63" s="35"/>
      <c r="E63" s="35">
        <f t="shared" si="0"/>
        <v>0</v>
      </c>
      <c r="F63" s="35"/>
      <c r="G63" s="35">
        <v>0</v>
      </c>
      <c r="H63" s="35"/>
      <c r="I63" s="35">
        <v>0</v>
      </c>
      <c r="J63" s="35"/>
      <c r="K63" s="35">
        <f t="shared" si="1"/>
        <v>0</v>
      </c>
      <c r="L63" s="35"/>
      <c r="M63" s="35">
        <v>0</v>
      </c>
      <c r="N63" s="35"/>
      <c r="O63" s="35">
        <v>0</v>
      </c>
      <c r="P63" s="35"/>
      <c r="Q63" s="35">
        <v>0</v>
      </c>
      <c r="R63" s="35"/>
      <c r="S63" s="35">
        <v>0</v>
      </c>
      <c r="T63" s="35"/>
      <c r="U63" s="35">
        <v>0</v>
      </c>
      <c r="V63" s="35"/>
      <c r="W63" s="35">
        <f t="shared" si="11"/>
        <v>0</v>
      </c>
      <c r="X63" s="35"/>
      <c r="Y63" s="35" t="s">
        <v>84</v>
      </c>
      <c r="Z63" s="55"/>
      <c r="AA63" s="35" t="s">
        <v>45</v>
      </c>
      <c r="AB63" s="35"/>
      <c r="AC63" s="35">
        <v>0</v>
      </c>
      <c r="AD63" s="35"/>
      <c r="AE63" s="35">
        <v>0</v>
      </c>
      <c r="AF63" s="35"/>
      <c r="AG63" s="35">
        <v>0</v>
      </c>
      <c r="AH63" s="35"/>
      <c r="AI63" s="45">
        <f t="shared" si="14"/>
        <v>0</v>
      </c>
      <c r="AJ63" s="45"/>
      <c r="AK63" s="35">
        <v>0</v>
      </c>
      <c r="AL63" s="35"/>
      <c r="AM63" s="35">
        <v>0</v>
      </c>
      <c r="AN63" s="35"/>
      <c r="AO63" s="35">
        <v>0</v>
      </c>
      <c r="AP63" s="35"/>
      <c r="AQ63" s="35">
        <v>0</v>
      </c>
      <c r="AR63" s="35"/>
      <c r="AS63" s="45">
        <f t="shared" si="12"/>
        <v>0</v>
      </c>
      <c r="AT63" s="45"/>
      <c r="AU63" s="35">
        <v>0</v>
      </c>
      <c r="AV63" s="35"/>
      <c r="AW63" s="35">
        <v>0</v>
      </c>
      <c r="AX63" s="35"/>
      <c r="AY63" s="35">
        <f t="shared" si="13"/>
        <v>0</v>
      </c>
      <c r="AZ63" s="35"/>
      <c r="BA63" s="35" t="s">
        <v>84</v>
      </c>
      <c r="BB63" s="55"/>
      <c r="BC63" s="35" t="s">
        <v>45</v>
      </c>
      <c r="BD63" s="35"/>
      <c r="BE63" s="35">
        <v>0</v>
      </c>
      <c r="BF63" s="35"/>
      <c r="BG63" s="35">
        <v>0</v>
      </c>
      <c r="BH63" s="35"/>
      <c r="BI63" s="35">
        <v>0</v>
      </c>
      <c r="BJ63" s="35"/>
      <c r="BK63" s="35">
        <v>0</v>
      </c>
      <c r="BL63" s="35"/>
      <c r="BM63" s="35">
        <f t="shared" si="10"/>
        <v>0</v>
      </c>
      <c r="BN63" s="54" t="s">
        <v>347</v>
      </c>
      <c r="BO63" s="55" t="s">
        <v>371</v>
      </c>
    </row>
    <row r="64" spans="1:67" ht="12.75" hidden="1" customHeight="1">
      <c r="A64" s="35" t="s">
        <v>85</v>
      </c>
      <c r="C64" s="35" t="s">
        <v>85</v>
      </c>
      <c r="D64" s="35"/>
      <c r="E64" s="35">
        <f t="shared" si="0"/>
        <v>0</v>
      </c>
      <c r="F64" s="35"/>
      <c r="G64" s="35">
        <v>0</v>
      </c>
      <c r="H64" s="35"/>
      <c r="I64" s="35">
        <v>0</v>
      </c>
      <c r="J64" s="35"/>
      <c r="K64" s="35">
        <f t="shared" si="1"/>
        <v>0</v>
      </c>
      <c r="L64" s="35"/>
      <c r="M64" s="35">
        <v>0</v>
      </c>
      <c r="N64" s="35"/>
      <c r="O64" s="35">
        <v>0</v>
      </c>
      <c r="P64" s="35"/>
      <c r="Q64" s="35">
        <v>0</v>
      </c>
      <c r="R64" s="35"/>
      <c r="S64" s="35">
        <v>0</v>
      </c>
      <c r="T64" s="35"/>
      <c r="U64" s="35">
        <v>0</v>
      </c>
      <c r="V64" s="35"/>
      <c r="W64" s="35">
        <f t="shared" si="11"/>
        <v>0</v>
      </c>
      <c r="X64" s="35"/>
      <c r="Y64" s="35" t="s">
        <v>85</v>
      </c>
      <c r="Z64" s="55"/>
      <c r="AA64" s="35" t="s">
        <v>85</v>
      </c>
      <c r="AB64" s="35"/>
      <c r="AC64" s="35">
        <v>0</v>
      </c>
      <c r="AD64" s="35"/>
      <c r="AE64" s="35">
        <v>0</v>
      </c>
      <c r="AF64" s="35"/>
      <c r="AG64" s="35">
        <v>0</v>
      </c>
      <c r="AH64" s="35"/>
      <c r="AI64" s="45">
        <f t="shared" si="14"/>
        <v>0</v>
      </c>
      <c r="AJ64" s="45"/>
      <c r="AK64" s="35">
        <v>0</v>
      </c>
      <c r="AL64" s="35"/>
      <c r="AM64" s="35">
        <v>0</v>
      </c>
      <c r="AN64" s="35"/>
      <c r="AO64" s="35">
        <v>0</v>
      </c>
      <c r="AP64" s="35"/>
      <c r="AQ64" s="35">
        <v>0</v>
      </c>
      <c r="AR64" s="35"/>
      <c r="AS64" s="45">
        <f t="shared" si="12"/>
        <v>0</v>
      </c>
      <c r="AT64" s="45"/>
      <c r="AU64" s="35">
        <v>0</v>
      </c>
      <c r="AV64" s="35"/>
      <c r="AW64" s="35">
        <v>0</v>
      </c>
      <c r="AX64" s="35"/>
      <c r="AY64" s="35">
        <f t="shared" si="13"/>
        <v>0</v>
      </c>
      <c r="AZ64" s="35"/>
      <c r="BA64" s="35" t="s">
        <v>85</v>
      </c>
      <c r="BB64" s="55"/>
      <c r="BC64" s="35" t="s">
        <v>85</v>
      </c>
      <c r="BD64" s="35"/>
      <c r="BE64" s="35">
        <v>0</v>
      </c>
      <c r="BF64" s="35"/>
      <c r="BG64" s="35">
        <v>0</v>
      </c>
      <c r="BH64" s="35"/>
      <c r="BI64" s="35">
        <v>0</v>
      </c>
      <c r="BJ64" s="35"/>
      <c r="BK64" s="35">
        <v>0</v>
      </c>
      <c r="BL64" s="35"/>
      <c r="BM64" s="35">
        <f t="shared" si="10"/>
        <v>0</v>
      </c>
      <c r="BN64" s="54" t="s">
        <v>347</v>
      </c>
    </row>
    <row r="65" spans="1:67" ht="12.75" hidden="1" customHeight="1">
      <c r="A65" s="35" t="s">
        <v>86</v>
      </c>
      <c r="C65" s="35" t="s">
        <v>86</v>
      </c>
      <c r="D65" s="35"/>
      <c r="E65" s="35">
        <f t="shared" si="0"/>
        <v>0</v>
      </c>
      <c r="F65" s="35"/>
      <c r="G65" s="35">
        <v>0</v>
      </c>
      <c r="H65" s="35"/>
      <c r="I65" s="35">
        <v>0</v>
      </c>
      <c r="J65" s="35"/>
      <c r="K65" s="35">
        <f t="shared" si="1"/>
        <v>0</v>
      </c>
      <c r="L65" s="35"/>
      <c r="M65" s="35">
        <v>0</v>
      </c>
      <c r="N65" s="35"/>
      <c r="O65" s="35">
        <v>0</v>
      </c>
      <c r="P65" s="35"/>
      <c r="Q65" s="35">
        <v>0</v>
      </c>
      <c r="R65" s="35"/>
      <c r="S65" s="35">
        <v>0</v>
      </c>
      <c r="T65" s="35"/>
      <c r="U65" s="35">
        <v>0</v>
      </c>
      <c r="V65" s="35"/>
      <c r="W65" s="35">
        <f t="shared" si="11"/>
        <v>0</v>
      </c>
      <c r="X65" s="35"/>
      <c r="Y65" s="35" t="s">
        <v>86</v>
      </c>
      <c r="Z65" s="55"/>
      <c r="AA65" s="35" t="s">
        <v>86</v>
      </c>
      <c r="AB65" s="35"/>
      <c r="AC65" s="35">
        <v>0</v>
      </c>
      <c r="AD65" s="35"/>
      <c r="AE65" s="35">
        <v>0</v>
      </c>
      <c r="AF65" s="35"/>
      <c r="AG65" s="35">
        <v>0</v>
      </c>
      <c r="AH65" s="35"/>
      <c r="AI65" s="45">
        <v>0</v>
      </c>
      <c r="AJ65" s="45"/>
      <c r="AK65" s="35">
        <v>0</v>
      </c>
      <c r="AL65" s="35"/>
      <c r="AM65" s="35">
        <v>0</v>
      </c>
      <c r="AN65" s="35"/>
      <c r="AO65" s="35">
        <v>0</v>
      </c>
      <c r="AP65" s="35"/>
      <c r="AQ65" s="35">
        <v>0</v>
      </c>
      <c r="AR65" s="35"/>
      <c r="AS65" s="45">
        <f t="shared" si="12"/>
        <v>0</v>
      </c>
      <c r="AT65" s="45"/>
      <c r="AU65" s="35">
        <v>0</v>
      </c>
      <c r="AV65" s="35"/>
      <c r="AW65" s="35">
        <v>0</v>
      </c>
      <c r="AX65" s="35"/>
      <c r="AY65" s="35">
        <f t="shared" si="13"/>
        <v>0</v>
      </c>
      <c r="AZ65" s="35"/>
      <c r="BA65" s="35" t="s">
        <v>86</v>
      </c>
      <c r="BB65" s="55"/>
      <c r="BC65" s="35" t="s">
        <v>86</v>
      </c>
      <c r="BD65" s="35"/>
      <c r="BE65" s="35">
        <v>0</v>
      </c>
      <c r="BF65" s="35"/>
      <c r="BG65" s="35">
        <v>0</v>
      </c>
      <c r="BH65" s="35"/>
      <c r="BI65" s="35">
        <v>0</v>
      </c>
      <c r="BJ65" s="35"/>
      <c r="BK65" s="35">
        <v>0</v>
      </c>
      <c r="BL65" s="35"/>
      <c r="BM65" s="35">
        <f t="shared" ref="BM65:BM97" si="15">SUM(BE65:BK65)</f>
        <v>0</v>
      </c>
      <c r="BN65" s="54" t="s">
        <v>347</v>
      </c>
    </row>
    <row r="66" spans="1:67" s="90" customFormat="1" ht="12.75" hidden="1" customHeight="1">
      <c r="A66" s="64" t="s">
        <v>87</v>
      </c>
      <c r="C66" s="64" t="s">
        <v>88</v>
      </c>
      <c r="D66" s="64"/>
      <c r="E66" s="64">
        <f t="shared" si="0"/>
        <v>0</v>
      </c>
      <c r="F66" s="64"/>
      <c r="G66" s="35">
        <v>0</v>
      </c>
      <c r="H66" s="35"/>
      <c r="I66" s="35">
        <v>0</v>
      </c>
      <c r="J66" s="64"/>
      <c r="K66" s="64">
        <f t="shared" si="1"/>
        <v>0</v>
      </c>
      <c r="L66" s="64"/>
      <c r="M66" s="35">
        <v>0</v>
      </c>
      <c r="N66" s="35"/>
      <c r="O66" s="35">
        <v>0</v>
      </c>
      <c r="P66" s="35"/>
      <c r="Q66" s="35">
        <v>0</v>
      </c>
      <c r="R66" s="35"/>
      <c r="S66" s="35">
        <v>0</v>
      </c>
      <c r="T66" s="35"/>
      <c r="U66" s="35">
        <v>0</v>
      </c>
      <c r="V66" s="64"/>
      <c r="W66" s="64">
        <f t="shared" si="11"/>
        <v>0</v>
      </c>
      <c r="X66" s="64"/>
      <c r="Y66" s="64" t="s">
        <v>87</v>
      </c>
      <c r="AA66" s="64" t="s">
        <v>88</v>
      </c>
      <c r="AB66" s="64"/>
      <c r="AC66" s="35">
        <v>0</v>
      </c>
      <c r="AD66" s="35"/>
      <c r="AE66" s="35">
        <v>0</v>
      </c>
      <c r="AF66" s="35"/>
      <c r="AG66" s="35">
        <v>0</v>
      </c>
      <c r="AH66" s="64"/>
      <c r="AI66" s="94">
        <f t="shared" ref="AI66:AI76" si="16">+AC66-AE66-AG66</f>
        <v>0</v>
      </c>
      <c r="AJ66" s="94"/>
      <c r="AK66" s="35">
        <v>0</v>
      </c>
      <c r="AL66" s="35"/>
      <c r="AM66" s="35">
        <v>0</v>
      </c>
      <c r="AN66" s="35"/>
      <c r="AO66" s="35">
        <v>0</v>
      </c>
      <c r="AP66" s="35"/>
      <c r="AQ66" s="35">
        <v>0</v>
      </c>
      <c r="AR66" s="64"/>
      <c r="AS66" s="94">
        <f t="shared" si="12"/>
        <v>0</v>
      </c>
      <c r="AT66" s="94"/>
      <c r="AU66" s="64">
        <v>0</v>
      </c>
      <c r="AV66" s="64"/>
      <c r="AW66" s="64">
        <v>0</v>
      </c>
      <c r="AX66" s="64"/>
      <c r="AY66" s="64">
        <f t="shared" si="13"/>
        <v>0</v>
      </c>
      <c r="AZ66" s="64"/>
      <c r="BA66" s="64" t="s">
        <v>87</v>
      </c>
      <c r="BC66" s="64" t="s">
        <v>88</v>
      </c>
      <c r="BD66" s="64"/>
      <c r="BE66" s="35">
        <v>0</v>
      </c>
      <c r="BF66" s="35"/>
      <c r="BG66" s="35">
        <v>0</v>
      </c>
      <c r="BH66" s="35"/>
      <c r="BI66" s="35">
        <v>0</v>
      </c>
      <c r="BJ66" s="35"/>
      <c r="BK66" s="35">
        <v>0</v>
      </c>
      <c r="BL66" s="64"/>
      <c r="BM66" s="64">
        <f t="shared" si="15"/>
        <v>0</v>
      </c>
      <c r="BN66" s="91" t="s">
        <v>347</v>
      </c>
    </row>
    <row r="67" spans="1:67" ht="12.75" customHeight="1">
      <c r="A67" s="35" t="s">
        <v>394</v>
      </c>
      <c r="C67" s="35" t="s">
        <v>89</v>
      </c>
      <c r="D67" s="35"/>
      <c r="E67" s="35">
        <f t="shared" si="0"/>
        <v>5882053</v>
      </c>
      <c r="F67" s="35"/>
      <c r="G67" s="35">
        <v>29768531</v>
      </c>
      <c r="H67" s="35"/>
      <c r="I67" s="35">
        <v>35650584</v>
      </c>
      <c r="J67" s="35"/>
      <c r="K67" s="35">
        <f t="shared" si="1"/>
        <v>3838693</v>
      </c>
      <c r="L67" s="35"/>
      <c r="M67" s="35">
        <v>14575101</v>
      </c>
      <c r="N67" s="35"/>
      <c r="O67" s="35">
        <v>18413794</v>
      </c>
      <c r="P67" s="35"/>
      <c r="Q67" s="35">
        <v>10347966</v>
      </c>
      <c r="R67" s="35"/>
      <c r="S67" s="35">
        <f>995208+2034009</f>
        <v>3029217</v>
      </c>
      <c r="T67" s="35"/>
      <c r="U67" s="35">
        <v>3859607</v>
      </c>
      <c r="V67" s="35"/>
      <c r="W67" s="35">
        <f t="shared" si="11"/>
        <v>17236790</v>
      </c>
      <c r="X67" s="35"/>
      <c r="Y67" s="35" t="s">
        <v>394</v>
      </c>
      <c r="Z67" s="55"/>
      <c r="AA67" s="35" t="s">
        <v>89</v>
      </c>
      <c r="AB67" s="35"/>
      <c r="AC67" s="35">
        <v>18945911</v>
      </c>
      <c r="AD67" s="35"/>
      <c r="AE67" s="35">
        <f>17728422-438051</f>
        <v>17290371</v>
      </c>
      <c r="AF67" s="35"/>
      <c r="AG67" s="35">
        <v>438051</v>
      </c>
      <c r="AH67" s="35"/>
      <c r="AI67" s="45">
        <f t="shared" si="16"/>
        <v>1217489</v>
      </c>
      <c r="AJ67" s="45"/>
      <c r="AK67" s="35">
        <v>-689800</v>
      </c>
      <c r="AL67" s="35"/>
      <c r="AM67" s="35">
        <v>0</v>
      </c>
      <c r="AN67" s="35"/>
      <c r="AO67" s="35">
        <v>0</v>
      </c>
      <c r="AP67" s="35"/>
      <c r="AQ67" s="35">
        <v>0</v>
      </c>
      <c r="AR67" s="35"/>
      <c r="AS67" s="45">
        <f t="shared" si="12"/>
        <v>527689</v>
      </c>
      <c r="AT67" s="45"/>
      <c r="AU67" s="35">
        <v>0</v>
      </c>
      <c r="AV67" s="35"/>
      <c r="AW67" s="35">
        <v>0</v>
      </c>
      <c r="AX67" s="35"/>
      <c r="AY67" s="35">
        <f t="shared" si="13"/>
        <v>2043360</v>
      </c>
      <c r="AZ67" s="35"/>
      <c r="BA67" s="35" t="s">
        <v>394</v>
      </c>
      <c r="BB67" s="55"/>
      <c r="BC67" s="35" t="s">
        <v>89</v>
      </c>
      <c r="BD67" s="35"/>
      <c r="BE67" s="35">
        <v>0</v>
      </c>
      <c r="BF67" s="35"/>
      <c r="BG67" s="35">
        <f>7082098+65000</f>
        <v>7147098</v>
      </c>
      <c r="BH67" s="35"/>
      <c r="BI67" s="35">
        <v>0</v>
      </c>
      <c r="BJ67" s="35"/>
      <c r="BK67" s="35">
        <f>293003+7200000+300000+189950</f>
        <v>7982953</v>
      </c>
      <c r="BL67" s="35"/>
      <c r="BM67" s="35">
        <f t="shared" si="15"/>
        <v>15130051</v>
      </c>
      <c r="BN67" s="54" t="s">
        <v>347</v>
      </c>
      <c r="BO67" s="55" t="s">
        <v>315</v>
      </c>
    </row>
    <row r="68" spans="1:67" ht="12.75" hidden="1" customHeight="1">
      <c r="A68" s="35" t="s">
        <v>90</v>
      </c>
      <c r="C68" s="35" t="s">
        <v>43</v>
      </c>
      <c r="D68" s="35"/>
      <c r="E68" s="35">
        <f t="shared" si="0"/>
        <v>0</v>
      </c>
      <c r="F68" s="35"/>
      <c r="G68" s="35">
        <v>0</v>
      </c>
      <c r="H68" s="35"/>
      <c r="I68" s="35">
        <v>0</v>
      </c>
      <c r="J68" s="35"/>
      <c r="K68" s="35">
        <f t="shared" si="1"/>
        <v>0</v>
      </c>
      <c r="L68" s="35"/>
      <c r="M68" s="35">
        <v>0</v>
      </c>
      <c r="N68" s="35"/>
      <c r="O68" s="35">
        <v>0</v>
      </c>
      <c r="P68" s="35"/>
      <c r="Q68" s="35">
        <v>0</v>
      </c>
      <c r="R68" s="35"/>
      <c r="S68" s="35">
        <v>0</v>
      </c>
      <c r="T68" s="35"/>
      <c r="U68" s="35">
        <v>0</v>
      </c>
      <c r="V68" s="35"/>
      <c r="W68" s="35">
        <f t="shared" si="11"/>
        <v>0</v>
      </c>
      <c r="X68" s="35"/>
      <c r="Y68" s="35" t="s">
        <v>90</v>
      </c>
      <c r="Z68" s="55"/>
      <c r="AA68" s="35" t="s">
        <v>43</v>
      </c>
      <c r="AB68" s="35"/>
      <c r="AC68" s="35">
        <v>0</v>
      </c>
      <c r="AD68" s="35"/>
      <c r="AE68" s="35">
        <v>0</v>
      </c>
      <c r="AF68" s="35"/>
      <c r="AG68" s="35">
        <v>0</v>
      </c>
      <c r="AH68" s="35"/>
      <c r="AI68" s="45">
        <f t="shared" si="16"/>
        <v>0</v>
      </c>
      <c r="AJ68" s="45"/>
      <c r="AK68" s="35">
        <v>0</v>
      </c>
      <c r="AL68" s="35"/>
      <c r="AM68" s="35">
        <v>0</v>
      </c>
      <c r="AN68" s="35"/>
      <c r="AO68" s="35">
        <v>0</v>
      </c>
      <c r="AP68" s="35"/>
      <c r="AQ68" s="35">
        <v>0</v>
      </c>
      <c r="AR68" s="35"/>
      <c r="AS68" s="45">
        <f t="shared" si="12"/>
        <v>0</v>
      </c>
      <c r="AT68" s="45"/>
      <c r="AU68" s="35">
        <v>0</v>
      </c>
      <c r="AV68" s="35"/>
      <c r="AW68" s="35">
        <v>0</v>
      </c>
      <c r="AX68" s="35"/>
      <c r="AY68" s="35">
        <f t="shared" si="13"/>
        <v>0</v>
      </c>
      <c r="AZ68" s="35"/>
      <c r="BA68" s="35" t="s">
        <v>90</v>
      </c>
      <c r="BB68" s="55"/>
      <c r="BC68" s="35" t="s">
        <v>43</v>
      </c>
      <c r="BD68" s="35"/>
      <c r="BE68" s="35">
        <v>0</v>
      </c>
      <c r="BF68" s="35"/>
      <c r="BG68" s="35">
        <v>0</v>
      </c>
      <c r="BH68" s="35"/>
      <c r="BI68" s="35">
        <v>0</v>
      </c>
      <c r="BJ68" s="35"/>
      <c r="BK68" s="35">
        <v>0</v>
      </c>
      <c r="BL68" s="35"/>
      <c r="BM68" s="35">
        <f t="shared" si="15"/>
        <v>0</v>
      </c>
      <c r="BN68" s="54" t="s">
        <v>347</v>
      </c>
    </row>
    <row r="69" spans="1:67" ht="12.75" hidden="1" customHeight="1">
      <c r="A69" s="35" t="s">
        <v>93</v>
      </c>
      <c r="C69" s="35" t="s">
        <v>94</v>
      </c>
      <c r="D69" s="35"/>
      <c r="E69" s="35">
        <f t="shared" si="0"/>
        <v>0</v>
      </c>
      <c r="F69" s="35"/>
      <c r="G69" s="35">
        <v>0</v>
      </c>
      <c r="H69" s="35"/>
      <c r="I69" s="35">
        <v>0</v>
      </c>
      <c r="J69" s="35"/>
      <c r="K69" s="35">
        <f t="shared" si="1"/>
        <v>0</v>
      </c>
      <c r="L69" s="35"/>
      <c r="M69" s="35">
        <v>0</v>
      </c>
      <c r="N69" s="35"/>
      <c r="O69" s="35">
        <v>0</v>
      </c>
      <c r="P69" s="35"/>
      <c r="Q69" s="35">
        <v>0</v>
      </c>
      <c r="R69" s="35"/>
      <c r="S69" s="35">
        <v>0</v>
      </c>
      <c r="T69" s="35"/>
      <c r="U69" s="35">
        <v>0</v>
      </c>
      <c r="V69" s="35"/>
      <c r="W69" s="35">
        <f t="shared" si="11"/>
        <v>0</v>
      </c>
      <c r="X69" s="35"/>
      <c r="Y69" s="35" t="s">
        <v>93</v>
      </c>
      <c r="Z69" s="55"/>
      <c r="AA69" s="35" t="s">
        <v>94</v>
      </c>
      <c r="AB69" s="35"/>
      <c r="AC69" s="35">
        <v>0</v>
      </c>
      <c r="AD69" s="35"/>
      <c r="AE69" s="35">
        <v>0</v>
      </c>
      <c r="AF69" s="35"/>
      <c r="AG69" s="35">
        <v>0</v>
      </c>
      <c r="AH69" s="35"/>
      <c r="AI69" s="45">
        <f t="shared" si="16"/>
        <v>0</v>
      </c>
      <c r="AJ69" s="45"/>
      <c r="AK69" s="35">
        <v>0</v>
      </c>
      <c r="AL69" s="35"/>
      <c r="AM69" s="35">
        <v>0</v>
      </c>
      <c r="AN69" s="35"/>
      <c r="AO69" s="35">
        <v>0</v>
      </c>
      <c r="AP69" s="35"/>
      <c r="AQ69" s="35">
        <v>0</v>
      </c>
      <c r="AR69" s="35"/>
      <c r="AS69" s="45">
        <f t="shared" si="12"/>
        <v>0</v>
      </c>
      <c r="AT69" s="45"/>
      <c r="AU69" s="35">
        <v>0</v>
      </c>
      <c r="AV69" s="35"/>
      <c r="AW69" s="35">
        <v>0</v>
      </c>
      <c r="AX69" s="35"/>
      <c r="AY69" s="35">
        <f t="shared" si="13"/>
        <v>0</v>
      </c>
      <c r="AZ69" s="35"/>
      <c r="BA69" s="35" t="s">
        <v>93</v>
      </c>
      <c r="BB69" s="55"/>
      <c r="BC69" s="35" t="s">
        <v>94</v>
      </c>
      <c r="BD69" s="35"/>
      <c r="BE69" s="35">
        <v>0</v>
      </c>
      <c r="BF69" s="35"/>
      <c r="BG69" s="35">
        <v>0</v>
      </c>
      <c r="BH69" s="35"/>
      <c r="BI69" s="35">
        <v>0</v>
      </c>
      <c r="BJ69" s="35"/>
      <c r="BK69" s="35">
        <v>0</v>
      </c>
      <c r="BL69" s="35"/>
      <c r="BM69" s="35">
        <f t="shared" si="15"/>
        <v>0</v>
      </c>
      <c r="BN69" s="54" t="s">
        <v>347</v>
      </c>
    </row>
    <row r="70" spans="1:67" ht="12.75" hidden="1" customHeight="1">
      <c r="A70" s="35" t="s">
        <v>95</v>
      </c>
      <c r="C70" s="35" t="s">
        <v>94</v>
      </c>
      <c r="D70" s="35"/>
      <c r="E70" s="35">
        <f t="shared" si="0"/>
        <v>0</v>
      </c>
      <c r="F70" s="35"/>
      <c r="G70" s="35">
        <v>0</v>
      </c>
      <c r="H70" s="35"/>
      <c r="I70" s="35">
        <v>0</v>
      </c>
      <c r="J70" s="35"/>
      <c r="K70" s="35">
        <f t="shared" si="1"/>
        <v>0</v>
      </c>
      <c r="L70" s="35"/>
      <c r="M70" s="35">
        <v>0</v>
      </c>
      <c r="N70" s="35"/>
      <c r="O70" s="35">
        <v>0</v>
      </c>
      <c r="P70" s="35"/>
      <c r="Q70" s="35">
        <v>0</v>
      </c>
      <c r="R70" s="35"/>
      <c r="S70" s="35">
        <v>0</v>
      </c>
      <c r="T70" s="35"/>
      <c r="U70" s="35">
        <v>0</v>
      </c>
      <c r="V70" s="35"/>
      <c r="W70" s="35">
        <f t="shared" si="11"/>
        <v>0</v>
      </c>
      <c r="X70" s="35"/>
      <c r="Y70" s="35" t="s">
        <v>95</v>
      </c>
      <c r="Z70" s="55"/>
      <c r="AA70" s="35" t="s">
        <v>94</v>
      </c>
      <c r="AB70" s="35"/>
      <c r="AC70" s="35">
        <v>0</v>
      </c>
      <c r="AD70" s="35"/>
      <c r="AE70" s="35">
        <v>0</v>
      </c>
      <c r="AF70" s="35"/>
      <c r="AG70" s="35">
        <v>0</v>
      </c>
      <c r="AH70" s="35"/>
      <c r="AI70" s="45">
        <f t="shared" si="16"/>
        <v>0</v>
      </c>
      <c r="AJ70" s="45"/>
      <c r="AK70" s="35">
        <v>0</v>
      </c>
      <c r="AL70" s="35"/>
      <c r="AM70" s="35">
        <v>0</v>
      </c>
      <c r="AN70" s="35"/>
      <c r="AO70" s="35">
        <v>0</v>
      </c>
      <c r="AP70" s="35"/>
      <c r="AQ70" s="35">
        <v>0</v>
      </c>
      <c r="AR70" s="35"/>
      <c r="AS70" s="45">
        <f t="shared" ref="AS70:AS102" si="17">+AI70+AK70+AM70-AO70+AQ70</f>
        <v>0</v>
      </c>
      <c r="AT70" s="45"/>
      <c r="AU70" s="35">
        <v>0</v>
      </c>
      <c r="AV70" s="35"/>
      <c r="AW70" s="35">
        <v>0</v>
      </c>
      <c r="AX70" s="35"/>
      <c r="AY70" s="35">
        <f t="shared" si="13"/>
        <v>0</v>
      </c>
      <c r="AZ70" s="35"/>
      <c r="BA70" s="35" t="s">
        <v>95</v>
      </c>
      <c r="BB70" s="55"/>
      <c r="BC70" s="35" t="s">
        <v>94</v>
      </c>
      <c r="BD70" s="35"/>
      <c r="BE70" s="35">
        <v>0</v>
      </c>
      <c r="BF70" s="35"/>
      <c r="BG70" s="35">
        <v>0</v>
      </c>
      <c r="BH70" s="35"/>
      <c r="BI70" s="35">
        <v>0</v>
      </c>
      <c r="BJ70" s="35"/>
      <c r="BK70" s="35">
        <v>0</v>
      </c>
      <c r="BL70" s="35"/>
      <c r="BM70" s="35">
        <f t="shared" si="15"/>
        <v>0</v>
      </c>
      <c r="BN70" s="54" t="s">
        <v>347</v>
      </c>
    </row>
    <row r="71" spans="1:67" ht="12.75" hidden="1" customHeight="1">
      <c r="A71" s="35" t="s">
        <v>91</v>
      </c>
      <c r="C71" s="35" t="s">
        <v>92</v>
      </c>
      <c r="D71" s="35"/>
      <c r="E71" s="35">
        <f t="shared" si="0"/>
        <v>0</v>
      </c>
      <c r="F71" s="35"/>
      <c r="G71" s="35">
        <v>0</v>
      </c>
      <c r="H71" s="35"/>
      <c r="I71" s="35">
        <v>0</v>
      </c>
      <c r="J71" s="35"/>
      <c r="K71" s="35">
        <f t="shared" si="1"/>
        <v>0</v>
      </c>
      <c r="L71" s="35"/>
      <c r="M71" s="35">
        <v>0</v>
      </c>
      <c r="N71" s="35"/>
      <c r="O71" s="35">
        <v>0</v>
      </c>
      <c r="P71" s="35"/>
      <c r="Q71" s="35">
        <v>0</v>
      </c>
      <c r="R71" s="35"/>
      <c r="S71" s="35">
        <v>0</v>
      </c>
      <c r="T71" s="35"/>
      <c r="U71" s="35">
        <v>0</v>
      </c>
      <c r="V71" s="35"/>
      <c r="W71" s="35">
        <f t="shared" si="11"/>
        <v>0</v>
      </c>
      <c r="X71" s="35"/>
      <c r="Y71" s="35" t="s">
        <v>91</v>
      </c>
      <c r="Z71" s="55"/>
      <c r="AA71" s="35" t="s">
        <v>92</v>
      </c>
      <c r="AB71" s="35"/>
      <c r="AC71" s="35">
        <v>0</v>
      </c>
      <c r="AD71" s="35"/>
      <c r="AE71" s="35">
        <v>0</v>
      </c>
      <c r="AF71" s="35"/>
      <c r="AG71" s="35">
        <v>0</v>
      </c>
      <c r="AH71" s="35"/>
      <c r="AI71" s="45">
        <f t="shared" si="16"/>
        <v>0</v>
      </c>
      <c r="AJ71" s="45"/>
      <c r="AK71" s="35">
        <v>0</v>
      </c>
      <c r="AL71" s="35"/>
      <c r="AM71" s="35">
        <v>0</v>
      </c>
      <c r="AN71" s="35"/>
      <c r="AO71" s="35">
        <v>0</v>
      </c>
      <c r="AP71" s="35"/>
      <c r="AQ71" s="35">
        <v>0</v>
      </c>
      <c r="AR71" s="35"/>
      <c r="AS71" s="45">
        <f t="shared" si="17"/>
        <v>0</v>
      </c>
      <c r="AT71" s="45"/>
      <c r="AU71" s="35">
        <v>0</v>
      </c>
      <c r="AV71" s="35"/>
      <c r="AW71" s="35">
        <v>0</v>
      </c>
      <c r="AX71" s="35"/>
      <c r="AY71" s="35">
        <f t="shared" si="13"/>
        <v>0</v>
      </c>
      <c r="AZ71" s="35"/>
      <c r="BA71" s="35" t="s">
        <v>91</v>
      </c>
      <c r="BB71" s="55"/>
      <c r="BC71" s="35" t="s">
        <v>92</v>
      </c>
      <c r="BD71" s="35"/>
      <c r="BE71" s="35">
        <v>0</v>
      </c>
      <c r="BF71" s="35"/>
      <c r="BG71" s="35">
        <v>0</v>
      </c>
      <c r="BH71" s="35"/>
      <c r="BI71" s="35">
        <v>0</v>
      </c>
      <c r="BJ71" s="35"/>
      <c r="BK71" s="35">
        <v>0</v>
      </c>
      <c r="BL71" s="35"/>
      <c r="BM71" s="35">
        <f t="shared" si="15"/>
        <v>0</v>
      </c>
      <c r="BN71" s="54" t="s">
        <v>347</v>
      </c>
    </row>
    <row r="72" spans="1:67" ht="12.75" hidden="1" customHeight="1">
      <c r="A72" s="35" t="s">
        <v>96</v>
      </c>
      <c r="C72" s="35" t="s">
        <v>97</v>
      </c>
      <c r="D72" s="35"/>
      <c r="E72" s="35">
        <f t="shared" si="0"/>
        <v>0</v>
      </c>
      <c r="F72" s="35"/>
      <c r="G72" s="35">
        <v>0</v>
      </c>
      <c r="H72" s="35"/>
      <c r="I72" s="35">
        <v>0</v>
      </c>
      <c r="J72" s="35"/>
      <c r="K72" s="35">
        <f t="shared" si="1"/>
        <v>0</v>
      </c>
      <c r="L72" s="35"/>
      <c r="M72" s="35">
        <v>0</v>
      </c>
      <c r="N72" s="35"/>
      <c r="O72" s="35">
        <v>0</v>
      </c>
      <c r="P72" s="35"/>
      <c r="Q72" s="35">
        <v>0</v>
      </c>
      <c r="R72" s="35"/>
      <c r="S72" s="35">
        <v>0</v>
      </c>
      <c r="T72" s="35"/>
      <c r="U72" s="35">
        <v>0</v>
      </c>
      <c r="V72" s="35"/>
      <c r="W72" s="35">
        <f t="shared" si="11"/>
        <v>0</v>
      </c>
      <c r="X72" s="35"/>
      <c r="Y72" s="35" t="s">
        <v>96</v>
      </c>
      <c r="Z72" s="55"/>
      <c r="AA72" s="35" t="s">
        <v>97</v>
      </c>
      <c r="AB72" s="35"/>
      <c r="AC72" s="35">
        <v>0</v>
      </c>
      <c r="AD72" s="35"/>
      <c r="AE72" s="35">
        <v>0</v>
      </c>
      <c r="AF72" s="35"/>
      <c r="AG72" s="35">
        <v>0</v>
      </c>
      <c r="AH72" s="35"/>
      <c r="AI72" s="45">
        <f t="shared" si="16"/>
        <v>0</v>
      </c>
      <c r="AJ72" s="45"/>
      <c r="AK72" s="35">
        <v>0</v>
      </c>
      <c r="AL72" s="35"/>
      <c r="AM72" s="35">
        <v>0</v>
      </c>
      <c r="AN72" s="35"/>
      <c r="AO72" s="35">
        <v>0</v>
      </c>
      <c r="AP72" s="35"/>
      <c r="AQ72" s="35">
        <v>0</v>
      </c>
      <c r="AR72" s="35"/>
      <c r="AS72" s="45">
        <f t="shared" si="17"/>
        <v>0</v>
      </c>
      <c r="AT72" s="45"/>
      <c r="AU72" s="35">
        <v>0</v>
      </c>
      <c r="AV72" s="35"/>
      <c r="AW72" s="35">
        <v>0</v>
      </c>
      <c r="AX72" s="35"/>
      <c r="AY72" s="35">
        <f t="shared" si="13"/>
        <v>0</v>
      </c>
      <c r="AZ72" s="35"/>
      <c r="BA72" s="35" t="s">
        <v>96</v>
      </c>
      <c r="BB72" s="55"/>
      <c r="BC72" s="35" t="s">
        <v>97</v>
      </c>
      <c r="BD72" s="35"/>
      <c r="BE72" s="35">
        <v>0</v>
      </c>
      <c r="BF72" s="35"/>
      <c r="BG72" s="35">
        <v>0</v>
      </c>
      <c r="BH72" s="35"/>
      <c r="BI72" s="35">
        <v>0</v>
      </c>
      <c r="BJ72" s="35"/>
      <c r="BK72" s="35">
        <v>0</v>
      </c>
      <c r="BL72" s="35"/>
      <c r="BM72" s="35">
        <f t="shared" si="15"/>
        <v>0</v>
      </c>
      <c r="BN72" s="54" t="s">
        <v>347</v>
      </c>
    </row>
    <row r="73" spans="1:67" ht="12.75" hidden="1" customHeight="1">
      <c r="A73" s="35" t="s">
        <v>98</v>
      </c>
      <c r="C73" s="35" t="s">
        <v>17</v>
      </c>
      <c r="D73" s="35"/>
      <c r="E73" s="35">
        <f t="shared" si="0"/>
        <v>0</v>
      </c>
      <c r="F73" s="35"/>
      <c r="G73" s="35">
        <v>0</v>
      </c>
      <c r="H73" s="35"/>
      <c r="I73" s="35">
        <v>0</v>
      </c>
      <c r="J73" s="35"/>
      <c r="K73" s="35">
        <f t="shared" si="1"/>
        <v>0</v>
      </c>
      <c r="L73" s="35"/>
      <c r="M73" s="35">
        <v>0</v>
      </c>
      <c r="N73" s="35"/>
      <c r="O73" s="35">
        <v>0</v>
      </c>
      <c r="P73" s="35"/>
      <c r="Q73" s="35">
        <v>0</v>
      </c>
      <c r="R73" s="35"/>
      <c r="S73" s="35">
        <v>0</v>
      </c>
      <c r="T73" s="35"/>
      <c r="U73" s="35">
        <v>0</v>
      </c>
      <c r="V73" s="35"/>
      <c r="W73" s="35">
        <v>0</v>
      </c>
      <c r="X73" s="35"/>
      <c r="Y73" s="35" t="s">
        <v>98</v>
      </c>
      <c r="Z73" s="55"/>
      <c r="AA73" s="35" t="s">
        <v>17</v>
      </c>
      <c r="AB73" s="35"/>
      <c r="AC73" s="35">
        <v>0</v>
      </c>
      <c r="AD73" s="35"/>
      <c r="AE73" s="35">
        <v>0</v>
      </c>
      <c r="AF73" s="35"/>
      <c r="AG73" s="35">
        <v>0</v>
      </c>
      <c r="AH73" s="35"/>
      <c r="AI73" s="45">
        <f t="shared" si="16"/>
        <v>0</v>
      </c>
      <c r="AJ73" s="45"/>
      <c r="AK73" s="35">
        <v>0</v>
      </c>
      <c r="AL73" s="35"/>
      <c r="AM73" s="35">
        <v>0</v>
      </c>
      <c r="AN73" s="35"/>
      <c r="AO73" s="35">
        <v>0</v>
      </c>
      <c r="AP73" s="35"/>
      <c r="AQ73" s="35">
        <v>0</v>
      </c>
      <c r="AR73" s="35"/>
      <c r="AS73" s="45">
        <f t="shared" si="17"/>
        <v>0</v>
      </c>
      <c r="AT73" s="45"/>
      <c r="AU73" s="35">
        <v>0</v>
      </c>
      <c r="AV73" s="35"/>
      <c r="AW73" s="35">
        <v>0</v>
      </c>
      <c r="AX73" s="35"/>
      <c r="AY73" s="35">
        <f t="shared" si="13"/>
        <v>0</v>
      </c>
      <c r="AZ73" s="35"/>
      <c r="BA73" s="35" t="s">
        <v>98</v>
      </c>
      <c r="BB73" s="55"/>
      <c r="BC73" s="35" t="s">
        <v>17</v>
      </c>
      <c r="BD73" s="35"/>
      <c r="BE73" s="35">
        <v>0</v>
      </c>
      <c r="BF73" s="35"/>
      <c r="BG73" s="35">
        <v>0</v>
      </c>
      <c r="BH73" s="35"/>
      <c r="BI73" s="35">
        <v>0</v>
      </c>
      <c r="BJ73" s="35"/>
      <c r="BK73" s="35">
        <v>0</v>
      </c>
      <c r="BL73" s="35"/>
      <c r="BM73" s="35">
        <f t="shared" si="15"/>
        <v>0</v>
      </c>
      <c r="BN73" s="54" t="s">
        <v>347</v>
      </c>
    </row>
    <row r="74" spans="1:67" ht="12.75" hidden="1" customHeight="1">
      <c r="A74" s="35" t="s">
        <v>99</v>
      </c>
      <c r="C74" s="35" t="s">
        <v>66</v>
      </c>
      <c r="D74" s="35"/>
      <c r="E74" s="35">
        <f t="shared" si="0"/>
        <v>0</v>
      </c>
      <c r="F74" s="35"/>
      <c r="G74" s="35">
        <v>0</v>
      </c>
      <c r="H74" s="35"/>
      <c r="I74" s="35">
        <v>0</v>
      </c>
      <c r="J74" s="35"/>
      <c r="K74" s="35">
        <f t="shared" si="1"/>
        <v>0</v>
      </c>
      <c r="L74" s="35"/>
      <c r="M74" s="35">
        <v>0</v>
      </c>
      <c r="N74" s="35"/>
      <c r="O74" s="35">
        <v>0</v>
      </c>
      <c r="P74" s="35"/>
      <c r="Q74" s="35">
        <v>0</v>
      </c>
      <c r="R74" s="35"/>
      <c r="S74" s="35">
        <v>0</v>
      </c>
      <c r="T74" s="35"/>
      <c r="U74" s="35">
        <v>0</v>
      </c>
      <c r="V74" s="35"/>
      <c r="W74" s="35">
        <f t="shared" ref="W74:W106" si="18">SUM(Q74:U74)</f>
        <v>0</v>
      </c>
      <c r="X74" s="35"/>
      <c r="Y74" s="35" t="s">
        <v>99</v>
      </c>
      <c r="Z74" s="55"/>
      <c r="AA74" s="35" t="s">
        <v>66</v>
      </c>
      <c r="AB74" s="35"/>
      <c r="AC74" s="35">
        <v>0</v>
      </c>
      <c r="AD74" s="35"/>
      <c r="AE74" s="35">
        <v>0</v>
      </c>
      <c r="AF74" s="35"/>
      <c r="AG74" s="35">
        <v>0</v>
      </c>
      <c r="AH74" s="35"/>
      <c r="AI74" s="45">
        <f t="shared" si="16"/>
        <v>0</v>
      </c>
      <c r="AJ74" s="45"/>
      <c r="AK74" s="35">
        <v>0</v>
      </c>
      <c r="AL74" s="35"/>
      <c r="AM74" s="35">
        <v>0</v>
      </c>
      <c r="AN74" s="35"/>
      <c r="AO74" s="35">
        <v>0</v>
      </c>
      <c r="AP74" s="35"/>
      <c r="AQ74" s="35">
        <v>0</v>
      </c>
      <c r="AR74" s="35"/>
      <c r="AS74" s="45">
        <f t="shared" si="17"/>
        <v>0</v>
      </c>
      <c r="AT74" s="45"/>
      <c r="AU74" s="35">
        <v>0</v>
      </c>
      <c r="AV74" s="35"/>
      <c r="AW74" s="35">
        <v>0</v>
      </c>
      <c r="AX74" s="35"/>
      <c r="AY74" s="35">
        <f t="shared" si="13"/>
        <v>0</v>
      </c>
      <c r="AZ74" s="35"/>
      <c r="BA74" s="35" t="s">
        <v>99</v>
      </c>
      <c r="BB74" s="55"/>
      <c r="BC74" s="35" t="s">
        <v>66</v>
      </c>
      <c r="BD74" s="35"/>
      <c r="BE74" s="35">
        <v>0</v>
      </c>
      <c r="BF74" s="35"/>
      <c r="BG74" s="35">
        <v>0</v>
      </c>
      <c r="BH74" s="35"/>
      <c r="BI74" s="35">
        <v>0</v>
      </c>
      <c r="BJ74" s="35"/>
      <c r="BK74" s="35">
        <v>0</v>
      </c>
      <c r="BL74" s="35"/>
      <c r="BM74" s="35">
        <f t="shared" si="15"/>
        <v>0</v>
      </c>
      <c r="BN74" s="54" t="s">
        <v>347</v>
      </c>
    </row>
    <row r="75" spans="1:67" ht="12.75" hidden="1" customHeight="1">
      <c r="A75" s="35" t="s">
        <v>100</v>
      </c>
      <c r="C75" s="35" t="s">
        <v>27</v>
      </c>
      <c r="D75" s="35"/>
      <c r="E75" s="35">
        <f t="shared" ref="E75:E139" si="19">I75-G75</f>
        <v>0</v>
      </c>
      <c r="F75" s="35"/>
      <c r="G75" s="35">
        <v>0</v>
      </c>
      <c r="H75" s="35"/>
      <c r="I75" s="35">
        <v>0</v>
      </c>
      <c r="J75" s="35"/>
      <c r="K75" s="35">
        <f t="shared" ref="K75:K139" si="20">O75-M75</f>
        <v>0</v>
      </c>
      <c r="L75" s="35"/>
      <c r="M75" s="35">
        <v>0</v>
      </c>
      <c r="N75" s="35"/>
      <c r="O75" s="35">
        <v>0</v>
      </c>
      <c r="P75" s="35"/>
      <c r="Q75" s="35">
        <v>0</v>
      </c>
      <c r="R75" s="35"/>
      <c r="S75" s="35">
        <v>0</v>
      </c>
      <c r="T75" s="35"/>
      <c r="U75" s="35">
        <v>0</v>
      </c>
      <c r="V75" s="35"/>
      <c r="W75" s="35">
        <f t="shared" si="18"/>
        <v>0</v>
      </c>
      <c r="X75" s="35"/>
      <c r="Y75" s="35" t="s">
        <v>100</v>
      </c>
      <c r="Z75" s="55"/>
      <c r="AA75" s="35" t="s">
        <v>27</v>
      </c>
      <c r="AB75" s="35"/>
      <c r="AC75" s="35">
        <v>0</v>
      </c>
      <c r="AD75" s="35"/>
      <c r="AE75" s="35">
        <v>0</v>
      </c>
      <c r="AF75" s="35"/>
      <c r="AG75" s="35">
        <v>0</v>
      </c>
      <c r="AH75" s="35"/>
      <c r="AI75" s="45">
        <f t="shared" si="16"/>
        <v>0</v>
      </c>
      <c r="AJ75" s="45"/>
      <c r="AK75" s="35">
        <v>0</v>
      </c>
      <c r="AL75" s="35"/>
      <c r="AM75" s="35">
        <v>0</v>
      </c>
      <c r="AN75" s="35"/>
      <c r="AO75" s="35">
        <v>0</v>
      </c>
      <c r="AP75" s="35"/>
      <c r="AQ75" s="35">
        <v>0</v>
      </c>
      <c r="AR75" s="35"/>
      <c r="AS75" s="45">
        <f t="shared" si="17"/>
        <v>0</v>
      </c>
      <c r="AT75" s="45"/>
      <c r="AU75" s="35">
        <v>0</v>
      </c>
      <c r="AV75" s="35"/>
      <c r="AW75" s="35">
        <v>0</v>
      </c>
      <c r="AX75" s="35"/>
      <c r="AY75" s="35">
        <f t="shared" ref="AY75:AY108" si="21">+E75-K75</f>
        <v>0</v>
      </c>
      <c r="AZ75" s="35"/>
      <c r="BA75" s="35" t="s">
        <v>100</v>
      </c>
      <c r="BB75" s="55"/>
      <c r="BC75" s="35" t="s">
        <v>27</v>
      </c>
      <c r="BD75" s="35"/>
      <c r="BE75" s="35">
        <v>0</v>
      </c>
      <c r="BF75" s="35"/>
      <c r="BG75" s="35">
        <v>0</v>
      </c>
      <c r="BH75" s="35"/>
      <c r="BI75" s="35">
        <v>0</v>
      </c>
      <c r="BJ75" s="35"/>
      <c r="BK75" s="35">
        <v>0</v>
      </c>
      <c r="BL75" s="35"/>
      <c r="BM75" s="35">
        <f t="shared" si="15"/>
        <v>0</v>
      </c>
      <c r="BN75" s="54" t="s">
        <v>347</v>
      </c>
    </row>
    <row r="76" spans="1:67" ht="12.75" hidden="1" customHeight="1">
      <c r="A76" s="35" t="s">
        <v>101</v>
      </c>
      <c r="C76" s="35" t="s">
        <v>30</v>
      </c>
      <c r="D76" s="35"/>
      <c r="E76" s="35">
        <f t="shared" si="19"/>
        <v>0</v>
      </c>
      <c r="F76" s="35"/>
      <c r="G76" s="35">
        <v>0</v>
      </c>
      <c r="H76" s="35"/>
      <c r="I76" s="35">
        <v>0</v>
      </c>
      <c r="J76" s="35"/>
      <c r="K76" s="35">
        <f t="shared" si="20"/>
        <v>0</v>
      </c>
      <c r="L76" s="35"/>
      <c r="M76" s="35">
        <v>0</v>
      </c>
      <c r="N76" s="35"/>
      <c r="O76" s="35">
        <v>0</v>
      </c>
      <c r="P76" s="35"/>
      <c r="Q76" s="35">
        <v>0</v>
      </c>
      <c r="R76" s="35"/>
      <c r="S76" s="35">
        <v>0</v>
      </c>
      <c r="T76" s="35"/>
      <c r="U76" s="35">
        <v>0</v>
      </c>
      <c r="V76" s="35"/>
      <c r="W76" s="35">
        <f t="shared" si="18"/>
        <v>0</v>
      </c>
      <c r="X76" s="35"/>
      <c r="Y76" s="35" t="s">
        <v>101</v>
      </c>
      <c r="Z76" s="55"/>
      <c r="AA76" s="35" t="s">
        <v>30</v>
      </c>
      <c r="AB76" s="35"/>
      <c r="AC76" s="35">
        <v>0</v>
      </c>
      <c r="AD76" s="35"/>
      <c r="AE76" s="35">
        <v>0</v>
      </c>
      <c r="AF76" s="35"/>
      <c r="AG76" s="35">
        <v>0</v>
      </c>
      <c r="AH76" s="35"/>
      <c r="AI76" s="45">
        <f t="shared" si="16"/>
        <v>0</v>
      </c>
      <c r="AJ76" s="45"/>
      <c r="AK76" s="35">
        <v>0</v>
      </c>
      <c r="AL76" s="35"/>
      <c r="AM76" s="35">
        <v>0</v>
      </c>
      <c r="AN76" s="35"/>
      <c r="AO76" s="35">
        <v>0</v>
      </c>
      <c r="AP76" s="35"/>
      <c r="AQ76" s="35">
        <v>0</v>
      </c>
      <c r="AR76" s="35"/>
      <c r="AS76" s="45">
        <f t="shared" si="17"/>
        <v>0</v>
      </c>
      <c r="AT76" s="45"/>
      <c r="AU76" s="35">
        <v>0</v>
      </c>
      <c r="AV76" s="35"/>
      <c r="AW76" s="35">
        <v>0</v>
      </c>
      <c r="AX76" s="35"/>
      <c r="AY76" s="35">
        <f t="shared" si="21"/>
        <v>0</v>
      </c>
      <c r="AZ76" s="35"/>
      <c r="BA76" s="35" t="s">
        <v>101</v>
      </c>
      <c r="BB76" s="55"/>
      <c r="BC76" s="35" t="s">
        <v>30</v>
      </c>
      <c r="BD76" s="35"/>
      <c r="BE76" s="35">
        <v>0</v>
      </c>
      <c r="BF76" s="35"/>
      <c r="BG76" s="35">
        <v>0</v>
      </c>
      <c r="BH76" s="35"/>
      <c r="BI76" s="35">
        <v>0</v>
      </c>
      <c r="BJ76" s="35"/>
      <c r="BK76" s="35">
        <v>0</v>
      </c>
      <c r="BL76" s="35"/>
      <c r="BM76" s="35">
        <f t="shared" si="15"/>
        <v>0</v>
      </c>
      <c r="BN76" s="54" t="s">
        <v>347</v>
      </c>
    </row>
    <row r="77" spans="1:67" ht="12.75" hidden="1" customHeight="1">
      <c r="A77" s="35" t="s">
        <v>102</v>
      </c>
      <c r="C77" s="35" t="s">
        <v>103</v>
      </c>
      <c r="D77" s="35"/>
      <c r="E77" s="35">
        <f t="shared" si="19"/>
        <v>0</v>
      </c>
      <c r="F77" s="35"/>
      <c r="G77" s="35">
        <v>0</v>
      </c>
      <c r="H77" s="35"/>
      <c r="I77" s="35">
        <v>0</v>
      </c>
      <c r="J77" s="35"/>
      <c r="K77" s="35">
        <f t="shared" si="20"/>
        <v>0</v>
      </c>
      <c r="L77" s="35"/>
      <c r="M77" s="35">
        <v>0</v>
      </c>
      <c r="N77" s="35"/>
      <c r="O77" s="35">
        <v>0</v>
      </c>
      <c r="P77" s="35"/>
      <c r="Q77" s="35">
        <v>0</v>
      </c>
      <c r="R77" s="35"/>
      <c r="S77" s="35">
        <v>0</v>
      </c>
      <c r="T77" s="35"/>
      <c r="U77" s="35">
        <v>0</v>
      </c>
      <c r="V77" s="35"/>
      <c r="W77" s="35">
        <f t="shared" si="18"/>
        <v>0</v>
      </c>
      <c r="X77" s="35"/>
      <c r="Y77" s="35" t="s">
        <v>102</v>
      </c>
      <c r="Z77" s="55"/>
      <c r="AA77" s="35" t="s">
        <v>103</v>
      </c>
      <c r="AB77" s="35"/>
      <c r="AC77" s="35">
        <v>0</v>
      </c>
      <c r="AD77" s="35"/>
      <c r="AE77" s="35">
        <v>0</v>
      </c>
      <c r="AF77" s="35"/>
      <c r="AG77" s="35">
        <v>0</v>
      </c>
      <c r="AH77" s="35"/>
      <c r="AI77" s="45">
        <v>0</v>
      </c>
      <c r="AJ77" s="45"/>
      <c r="AK77" s="35">
        <v>0</v>
      </c>
      <c r="AL77" s="35"/>
      <c r="AM77" s="35">
        <v>0</v>
      </c>
      <c r="AN77" s="35"/>
      <c r="AO77" s="35">
        <v>0</v>
      </c>
      <c r="AP77" s="35"/>
      <c r="AQ77" s="35">
        <v>0</v>
      </c>
      <c r="AR77" s="35"/>
      <c r="AS77" s="45">
        <f t="shared" si="17"/>
        <v>0</v>
      </c>
      <c r="AT77" s="45"/>
      <c r="AU77" s="35">
        <v>0</v>
      </c>
      <c r="AV77" s="35"/>
      <c r="AW77" s="35">
        <v>0</v>
      </c>
      <c r="AX77" s="35"/>
      <c r="AY77" s="35">
        <f t="shared" si="21"/>
        <v>0</v>
      </c>
      <c r="AZ77" s="35"/>
      <c r="BA77" s="35" t="s">
        <v>102</v>
      </c>
      <c r="BB77" s="55"/>
      <c r="BC77" s="35" t="s">
        <v>103</v>
      </c>
      <c r="BD77" s="35"/>
      <c r="BE77" s="35">
        <v>0</v>
      </c>
      <c r="BF77" s="35"/>
      <c r="BG77" s="35">
        <v>0</v>
      </c>
      <c r="BH77" s="35"/>
      <c r="BI77" s="35">
        <v>0</v>
      </c>
      <c r="BJ77" s="35"/>
      <c r="BK77" s="35">
        <v>0</v>
      </c>
      <c r="BL77" s="35"/>
      <c r="BM77" s="35">
        <f t="shared" si="15"/>
        <v>0</v>
      </c>
      <c r="BN77" s="54" t="s">
        <v>347</v>
      </c>
    </row>
    <row r="78" spans="1:67" ht="12.75" hidden="1" customHeight="1">
      <c r="A78" s="35" t="s">
        <v>104</v>
      </c>
      <c r="C78" s="35" t="s">
        <v>13</v>
      </c>
      <c r="D78" s="35"/>
      <c r="E78" s="35">
        <f t="shared" si="19"/>
        <v>0</v>
      </c>
      <c r="F78" s="35"/>
      <c r="G78" s="35">
        <v>0</v>
      </c>
      <c r="H78" s="35"/>
      <c r="I78" s="35">
        <v>0</v>
      </c>
      <c r="J78" s="35"/>
      <c r="K78" s="35">
        <f t="shared" si="20"/>
        <v>0</v>
      </c>
      <c r="L78" s="35"/>
      <c r="M78" s="35">
        <v>0</v>
      </c>
      <c r="N78" s="35"/>
      <c r="O78" s="35">
        <v>0</v>
      </c>
      <c r="P78" s="35"/>
      <c r="Q78" s="35">
        <v>0</v>
      </c>
      <c r="R78" s="35"/>
      <c r="S78" s="35">
        <v>0</v>
      </c>
      <c r="T78" s="35"/>
      <c r="U78" s="35">
        <v>0</v>
      </c>
      <c r="V78" s="35"/>
      <c r="W78" s="35">
        <f t="shared" si="18"/>
        <v>0</v>
      </c>
      <c r="X78" s="35"/>
      <c r="Y78" s="35" t="s">
        <v>104</v>
      </c>
      <c r="Z78" s="55"/>
      <c r="AA78" s="35" t="s">
        <v>13</v>
      </c>
      <c r="AB78" s="35"/>
      <c r="AC78" s="35">
        <v>0</v>
      </c>
      <c r="AD78" s="35"/>
      <c r="AE78" s="35">
        <v>0</v>
      </c>
      <c r="AF78" s="35"/>
      <c r="AG78" s="35">
        <v>0</v>
      </c>
      <c r="AH78" s="35"/>
      <c r="AI78" s="45">
        <f t="shared" ref="AI78:AI84" si="22">+AC78-AE78-AG78</f>
        <v>0</v>
      </c>
      <c r="AJ78" s="45"/>
      <c r="AK78" s="35">
        <v>0</v>
      </c>
      <c r="AL78" s="35"/>
      <c r="AM78" s="35">
        <v>0</v>
      </c>
      <c r="AN78" s="35"/>
      <c r="AO78" s="35">
        <v>0</v>
      </c>
      <c r="AP78" s="35"/>
      <c r="AQ78" s="35">
        <v>0</v>
      </c>
      <c r="AR78" s="35"/>
      <c r="AS78" s="45">
        <f t="shared" si="17"/>
        <v>0</v>
      </c>
      <c r="AT78" s="45"/>
      <c r="AU78" s="35">
        <v>0</v>
      </c>
      <c r="AV78" s="35"/>
      <c r="AW78" s="35">
        <v>0</v>
      </c>
      <c r="AX78" s="35"/>
      <c r="AY78" s="35">
        <f t="shared" si="21"/>
        <v>0</v>
      </c>
      <c r="AZ78" s="35"/>
      <c r="BA78" s="35" t="s">
        <v>104</v>
      </c>
      <c r="BB78" s="55"/>
      <c r="BC78" s="35" t="s">
        <v>13</v>
      </c>
      <c r="BD78" s="35"/>
      <c r="BE78" s="35">
        <v>0</v>
      </c>
      <c r="BF78" s="35"/>
      <c r="BG78" s="35">
        <v>0</v>
      </c>
      <c r="BH78" s="35"/>
      <c r="BI78" s="35">
        <v>0</v>
      </c>
      <c r="BJ78" s="35"/>
      <c r="BK78" s="35">
        <v>0</v>
      </c>
      <c r="BL78" s="35"/>
      <c r="BM78" s="35">
        <f t="shared" si="15"/>
        <v>0</v>
      </c>
      <c r="BN78" s="54" t="s">
        <v>347</v>
      </c>
    </row>
    <row r="79" spans="1:67" ht="12.75" hidden="1" customHeight="1">
      <c r="A79" s="35" t="s">
        <v>105</v>
      </c>
      <c r="C79" s="35" t="s">
        <v>27</v>
      </c>
      <c r="D79" s="35"/>
      <c r="E79" s="35">
        <f t="shared" si="19"/>
        <v>0</v>
      </c>
      <c r="F79" s="35"/>
      <c r="G79" s="35">
        <v>0</v>
      </c>
      <c r="H79" s="35"/>
      <c r="I79" s="35">
        <v>0</v>
      </c>
      <c r="J79" s="35"/>
      <c r="K79" s="35">
        <f t="shared" si="20"/>
        <v>0</v>
      </c>
      <c r="L79" s="35"/>
      <c r="M79" s="35">
        <v>0</v>
      </c>
      <c r="N79" s="35"/>
      <c r="O79" s="35">
        <v>0</v>
      </c>
      <c r="P79" s="35"/>
      <c r="Q79" s="35">
        <v>0</v>
      </c>
      <c r="R79" s="35"/>
      <c r="S79" s="35">
        <v>0</v>
      </c>
      <c r="T79" s="35"/>
      <c r="U79" s="35">
        <v>0</v>
      </c>
      <c r="V79" s="35"/>
      <c r="W79" s="35">
        <f t="shared" si="18"/>
        <v>0</v>
      </c>
      <c r="X79" s="35"/>
      <c r="Y79" s="35" t="s">
        <v>105</v>
      </c>
      <c r="Z79" s="55"/>
      <c r="AA79" s="35" t="s">
        <v>27</v>
      </c>
      <c r="AB79" s="35"/>
      <c r="AC79" s="35">
        <v>0</v>
      </c>
      <c r="AD79" s="35"/>
      <c r="AE79" s="35">
        <v>0</v>
      </c>
      <c r="AF79" s="35"/>
      <c r="AG79" s="35">
        <v>0</v>
      </c>
      <c r="AH79" s="35"/>
      <c r="AI79" s="45">
        <f t="shared" si="22"/>
        <v>0</v>
      </c>
      <c r="AJ79" s="45"/>
      <c r="AK79" s="35">
        <v>0</v>
      </c>
      <c r="AL79" s="35"/>
      <c r="AM79" s="35">
        <v>0</v>
      </c>
      <c r="AN79" s="35"/>
      <c r="AO79" s="35">
        <v>0</v>
      </c>
      <c r="AP79" s="35"/>
      <c r="AQ79" s="35">
        <v>0</v>
      </c>
      <c r="AR79" s="35"/>
      <c r="AS79" s="45">
        <f t="shared" si="17"/>
        <v>0</v>
      </c>
      <c r="AT79" s="45"/>
      <c r="AU79" s="35">
        <v>0</v>
      </c>
      <c r="AV79" s="35"/>
      <c r="AW79" s="35">
        <v>0</v>
      </c>
      <c r="AX79" s="35"/>
      <c r="AY79" s="35">
        <f t="shared" si="21"/>
        <v>0</v>
      </c>
      <c r="AZ79" s="35"/>
      <c r="BA79" s="35" t="s">
        <v>105</v>
      </c>
      <c r="BB79" s="55"/>
      <c r="BC79" s="35" t="s">
        <v>27</v>
      </c>
      <c r="BD79" s="35"/>
      <c r="BE79" s="35">
        <v>0</v>
      </c>
      <c r="BF79" s="35"/>
      <c r="BG79" s="35">
        <v>0</v>
      </c>
      <c r="BH79" s="35"/>
      <c r="BI79" s="35">
        <v>0</v>
      </c>
      <c r="BJ79" s="35"/>
      <c r="BK79" s="35">
        <v>0</v>
      </c>
      <c r="BL79" s="35"/>
      <c r="BM79" s="35">
        <f t="shared" si="15"/>
        <v>0</v>
      </c>
      <c r="BN79" s="54" t="s">
        <v>347</v>
      </c>
    </row>
    <row r="80" spans="1:67" ht="12.75" hidden="1" customHeight="1">
      <c r="A80" s="35" t="s">
        <v>106</v>
      </c>
      <c r="C80" s="35" t="s">
        <v>107</v>
      </c>
      <c r="D80" s="35"/>
      <c r="E80" s="35">
        <f t="shared" si="19"/>
        <v>0</v>
      </c>
      <c r="F80" s="35"/>
      <c r="G80" s="35">
        <v>0</v>
      </c>
      <c r="H80" s="35"/>
      <c r="I80" s="35">
        <v>0</v>
      </c>
      <c r="J80" s="35"/>
      <c r="K80" s="35">
        <f t="shared" si="20"/>
        <v>0</v>
      </c>
      <c r="L80" s="35"/>
      <c r="M80" s="35">
        <v>0</v>
      </c>
      <c r="N80" s="35"/>
      <c r="O80" s="35">
        <v>0</v>
      </c>
      <c r="P80" s="35"/>
      <c r="Q80" s="35">
        <v>0</v>
      </c>
      <c r="R80" s="35"/>
      <c r="S80" s="35">
        <v>0</v>
      </c>
      <c r="T80" s="35"/>
      <c r="U80" s="35">
        <v>0</v>
      </c>
      <c r="V80" s="35"/>
      <c r="W80" s="35">
        <f t="shared" si="18"/>
        <v>0</v>
      </c>
      <c r="X80" s="35"/>
      <c r="Y80" s="35" t="s">
        <v>106</v>
      </c>
      <c r="Z80" s="55"/>
      <c r="AA80" s="35" t="s">
        <v>107</v>
      </c>
      <c r="AB80" s="35"/>
      <c r="AC80" s="35">
        <v>0</v>
      </c>
      <c r="AD80" s="35"/>
      <c r="AE80" s="35">
        <v>0</v>
      </c>
      <c r="AF80" s="35"/>
      <c r="AG80" s="35">
        <v>0</v>
      </c>
      <c r="AH80" s="35"/>
      <c r="AI80" s="45">
        <f t="shared" si="22"/>
        <v>0</v>
      </c>
      <c r="AJ80" s="45"/>
      <c r="AK80" s="35">
        <v>0</v>
      </c>
      <c r="AL80" s="35"/>
      <c r="AM80" s="35">
        <v>0</v>
      </c>
      <c r="AN80" s="35"/>
      <c r="AO80" s="35">
        <v>0</v>
      </c>
      <c r="AP80" s="35"/>
      <c r="AQ80" s="35">
        <v>0</v>
      </c>
      <c r="AR80" s="35"/>
      <c r="AS80" s="45">
        <f t="shared" si="17"/>
        <v>0</v>
      </c>
      <c r="AT80" s="45"/>
      <c r="AU80" s="35">
        <v>0</v>
      </c>
      <c r="AV80" s="35"/>
      <c r="AW80" s="35">
        <v>0</v>
      </c>
      <c r="AX80" s="35"/>
      <c r="AY80" s="35">
        <f t="shared" si="21"/>
        <v>0</v>
      </c>
      <c r="AZ80" s="35"/>
      <c r="BA80" s="35" t="s">
        <v>106</v>
      </c>
      <c r="BB80" s="55"/>
      <c r="BC80" s="35" t="s">
        <v>107</v>
      </c>
      <c r="BD80" s="35"/>
      <c r="BE80" s="35">
        <v>0</v>
      </c>
      <c r="BF80" s="35"/>
      <c r="BG80" s="35">
        <v>0</v>
      </c>
      <c r="BH80" s="35"/>
      <c r="BI80" s="35">
        <v>0</v>
      </c>
      <c r="BJ80" s="35"/>
      <c r="BK80" s="35">
        <v>0</v>
      </c>
      <c r="BL80" s="35"/>
      <c r="BM80" s="35">
        <f t="shared" si="15"/>
        <v>0</v>
      </c>
      <c r="BN80" s="54" t="s">
        <v>347</v>
      </c>
    </row>
    <row r="81" spans="1:67" ht="12.75" hidden="1" customHeight="1">
      <c r="A81" s="35" t="s">
        <v>108</v>
      </c>
      <c r="C81" s="35" t="s">
        <v>45</v>
      </c>
      <c r="D81" s="35"/>
      <c r="E81" s="35">
        <f t="shared" si="19"/>
        <v>0</v>
      </c>
      <c r="F81" s="35"/>
      <c r="G81" s="35">
        <v>0</v>
      </c>
      <c r="H81" s="35"/>
      <c r="I81" s="35">
        <v>0</v>
      </c>
      <c r="J81" s="35"/>
      <c r="K81" s="35">
        <f t="shared" si="20"/>
        <v>0</v>
      </c>
      <c r="L81" s="35"/>
      <c r="M81" s="35">
        <v>0</v>
      </c>
      <c r="N81" s="35"/>
      <c r="O81" s="35">
        <v>0</v>
      </c>
      <c r="P81" s="35"/>
      <c r="Q81" s="35">
        <v>0</v>
      </c>
      <c r="R81" s="35"/>
      <c r="S81" s="35">
        <v>0</v>
      </c>
      <c r="T81" s="35"/>
      <c r="U81" s="35">
        <v>0</v>
      </c>
      <c r="V81" s="35"/>
      <c r="W81" s="35">
        <f t="shared" si="18"/>
        <v>0</v>
      </c>
      <c r="X81" s="35"/>
      <c r="Y81" s="35" t="s">
        <v>108</v>
      </c>
      <c r="Z81" s="55"/>
      <c r="AA81" s="35" t="s">
        <v>45</v>
      </c>
      <c r="AB81" s="35"/>
      <c r="AC81" s="35">
        <v>0</v>
      </c>
      <c r="AD81" s="35"/>
      <c r="AE81" s="35">
        <v>0</v>
      </c>
      <c r="AF81" s="35"/>
      <c r="AG81" s="35">
        <v>0</v>
      </c>
      <c r="AH81" s="35"/>
      <c r="AI81" s="45">
        <f t="shared" si="22"/>
        <v>0</v>
      </c>
      <c r="AJ81" s="45"/>
      <c r="AK81" s="35">
        <v>0</v>
      </c>
      <c r="AL81" s="35"/>
      <c r="AM81" s="35">
        <v>0</v>
      </c>
      <c r="AN81" s="35"/>
      <c r="AO81" s="35">
        <v>0</v>
      </c>
      <c r="AP81" s="35"/>
      <c r="AQ81" s="35">
        <v>0</v>
      </c>
      <c r="AR81" s="35"/>
      <c r="AS81" s="45">
        <f t="shared" si="17"/>
        <v>0</v>
      </c>
      <c r="AT81" s="45"/>
      <c r="AU81" s="35">
        <v>0</v>
      </c>
      <c r="AV81" s="35"/>
      <c r="AW81" s="35">
        <v>0</v>
      </c>
      <c r="AX81" s="35"/>
      <c r="AY81" s="35">
        <f t="shared" si="21"/>
        <v>0</v>
      </c>
      <c r="AZ81" s="35"/>
      <c r="BA81" s="35" t="s">
        <v>108</v>
      </c>
      <c r="BB81" s="55"/>
      <c r="BC81" s="35" t="s">
        <v>45</v>
      </c>
      <c r="BD81" s="35"/>
      <c r="BE81" s="35">
        <v>0</v>
      </c>
      <c r="BF81" s="35"/>
      <c r="BG81" s="35">
        <v>0</v>
      </c>
      <c r="BH81" s="35"/>
      <c r="BI81" s="35">
        <v>0</v>
      </c>
      <c r="BJ81" s="35"/>
      <c r="BK81" s="35">
        <v>0</v>
      </c>
      <c r="BL81" s="35"/>
      <c r="BM81" s="35">
        <f t="shared" si="15"/>
        <v>0</v>
      </c>
      <c r="BN81" s="54" t="s">
        <v>347</v>
      </c>
    </row>
    <row r="82" spans="1:67" ht="12.75" hidden="1" customHeight="1">
      <c r="A82" s="35" t="s">
        <v>109</v>
      </c>
      <c r="C82" s="35" t="s">
        <v>110</v>
      </c>
      <c r="D82" s="35"/>
      <c r="E82" s="35">
        <f t="shared" si="19"/>
        <v>0</v>
      </c>
      <c r="F82" s="35"/>
      <c r="G82" s="35">
        <v>0</v>
      </c>
      <c r="H82" s="35"/>
      <c r="I82" s="35">
        <v>0</v>
      </c>
      <c r="J82" s="35"/>
      <c r="K82" s="35">
        <f t="shared" si="20"/>
        <v>0</v>
      </c>
      <c r="L82" s="35"/>
      <c r="M82" s="35">
        <v>0</v>
      </c>
      <c r="N82" s="35"/>
      <c r="O82" s="35">
        <v>0</v>
      </c>
      <c r="P82" s="35"/>
      <c r="Q82" s="35">
        <v>0</v>
      </c>
      <c r="R82" s="35"/>
      <c r="S82" s="35">
        <v>0</v>
      </c>
      <c r="T82" s="35"/>
      <c r="U82" s="35">
        <v>0</v>
      </c>
      <c r="V82" s="35"/>
      <c r="W82" s="35">
        <f t="shared" si="18"/>
        <v>0</v>
      </c>
      <c r="X82" s="35"/>
      <c r="Y82" s="35" t="s">
        <v>109</v>
      </c>
      <c r="Z82" s="55"/>
      <c r="AA82" s="35" t="s">
        <v>110</v>
      </c>
      <c r="AB82" s="35"/>
      <c r="AC82" s="35">
        <v>0</v>
      </c>
      <c r="AD82" s="35"/>
      <c r="AE82" s="35">
        <v>0</v>
      </c>
      <c r="AF82" s="35"/>
      <c r="AG82" s="35">
        <v>0</v>
      </c>
      <c r="AH82" s="35"/>
      <c r="AI82" s="45">
        <f t="shared" si="22"/>
        <v>0</v>
      </c>
      <c r="AJ82" s="45"/>
      <c r="AK82" s="35">
        <v>0</v>
      </c>
      <c r="AL82" s="35"/>
      <c r="AM82" s="35">
        <v>0</v>
      </c>
      <c r="AN82" s="35"/>
      <c r="AO82" s="35">
        <v>0</v>
      </c>
      <c r="AP82" s="35"/>
      <c r="AQ82" s="35">
        <v>0</v>
      </c>
      <c r="AR82" s="35"/>
      <c r="AS82" s="45">
        <f t="shared" si="17"/>
        <v>0</v>
      </c>
      <c r="AT82" s="45"/>
      <c r="AU82" s="35">
        <v>0</v>
      </c>
      <c r="AV82" s="35"/>
      <c r="AW82" s="35">
        <v>0</v>
      </c>
      <c r="AX82" s="35"/>
      <c r="AY82" s="35">
        <f t="shared" si="21"/>
        <v>0</v>
      </c>
      <c r="AZ82" s="35"/>
      <c r="BA82" s="35" t="s">
        <v>109</v>
      </c>
      <c r="BB82" s="55"/>
      <c r="BC82" s="35" t="s">
        <v>110</v>
      </c>
      <c r="BD82" s="35"/>
      <c r="BE82" s="35">
        <v>0</v>
      </c>
      <c r="BF82" s="35"/>
      <c r="BG82" s="35">
        <v>0</v>
      </c>
      <c r="BH82" s="35"/>
      <c r="BI82" s="35">
        <v>0</v>
      </c>
      <c r="BJ82" s="35"/>
      <c r="BK82" s="35">
        <v>0</v>
      </c>
      <c r="BL82" s="35"/>
      <c r="BM82" s="35">
        <f t="shared" si="15"/>
        <v>0</v>
      </c>
      <c r="BN82" s="54" t="s">
        <v>347</v>
      </c>
    </row>
    <row r="83" spans="1:67" ht="12.75" hidden="1" customHeight="1">
      <c r="A83" s="35" t="s">
        <v>43</v>
      </c>
      <c r="C83" s="35" t="s">
        <v>111</v>
      </c>
      <c r="D83" s="35"/>
      <c r="E83" s="35">
        <f t="shared" si="19"/>
        <v>0</v>
      </c>
      <c r="F83" s="35"/>
      <c r="G83" s="35">
        <v>0</v>
      </c>
      <c r="H83" s="35"/>
      <c r="I83" s="35">
        <v>0</v>
      </c>
      <c r="J83" s="35"/>
      <c r="K83" s="35">
        <f t="shared" si="20"/>
        <v>0</v>
      </c>
      <c r="L83" s="35"/>
      <c r="M83" s="35">
        <v>0</v>
      </c>
      <c r="N83" s="35"/>
      <c r="O83" s="35">
        <v>0</v>
      </c>
      <c r="P83" s="35"/>
      <c r="Q83" s="35">
        <v>0</v>
      </c>
      <c r="R83" s="35"/>
      <c r="S83" s="35">
        <v>0</v>
      </c>
      <c r="T83" s="35"/>
      <c r="U83" s="35">
        <v>0</v>
      </c>
      <c r="V83" s="35"/>
      <c r="W83" s="35">
        <f t="shared" si="18"/>
        <v>0</v>
      </c>
      <c r="X83" s="35"/>
      <c r="Y83" s="35" t="s">
        <v>43</v>
      </c>
      <c r="Z83" s="55"/>
      <c r="AA83" s="35" t="s">
        <v>111</v>
      </c>
      <c r="AB83" s="35"/>
      <c r="AC83" s="35">
        <v>0</v>
      </c>
      <c r="AD83" s="35"/>
      <c r="AE83" s="35">
        <v>0</v>
      </c>
      <c r="AF83" s="35"/>
      <c r="AG83" s="35">
        <v>0</v>
      </c>
      <c r="AH83" s="35"/>
      <c r="AI83" s="45">
        <f t="shared" si="22"/>
        <v>0</v>
      </c>
      <c r="AJ83" s="45"/>
      <c r="AK83" s="35">
        <v>0</v>
      </c>
      <c r="AL83" s="35"/>
      <c r="AM83" s="35">
        <v>0</v>
      </c>
      <c r="AN83" s="35"/>
      <c r="AO83" s="35">
        <v>0</v>
      </c>
      <c r="AP83" s="35"/>
      <c r="AQ83" s="35">
        <v>0</v>
      </c>
      <c r="AR83" s="35"/>
      <c r="AS83" s="45">
        <f t="shared" si="17"/>
        <v>0</v>
      </c>
      <c r="AT83" s="45"/>
      <c r="AU83" s="35">
        <v>0</v>
      </c>
      <c r="AV83" s="35"/>
      <c r="AW83" s="35">
        <v>0</v>
      </c>
      <c r="AX83" s="35"/>
      <c r="AY83" s="35">
        <f t="shared" si="21"/>
        <v>0</v>
      </c>
      <c r="AZ83" s="35"/>
      <c r="BA83" s="35" t="s">
        <v>43</v>
      </c>
      <c r="BB83" s="55"/>
      <c r="BC83" s="35" t="s">
        <v>111</v>
      </c>
      <c r="BD83" s="35"/>
      <c r="BE83" s="35">
        <v>0</v>
      </c>
      <c r="BF83" s="35"/>
      <c r="BG83" s="35">
        <v>0</v>
      </c>
      <c r="BH83" s="35"/>
      <c r="BI83" s="35">
        <v>0</v>
      </c>
      <c r="BJ83" s="35"/>
      <c r="BK83" s="35">
        <v>0</v>
      </c>
      <c r="BL83" s="35"/>
      <c r="BM83" s="35">
        <f t="shared" si="15"/>
        <v>0</v>
      </c>
      <c r="BN83" s="54" t="s">
        <v>347</v>
      </c>
    </row>
    <row r="84" spans="1:67" ht="12.75" hidden="1" customHeight="1">
      <c r="A84" s="35" t="s">
        <v>112</v>
      </c>
      <c r="C84" s="35" t="s">
        <v>76</v>
      </c>
      <c r="D84" s="35"/>
      <c r="E84" s="35">
        <f t="shared" si="19"/>
        <v>0</v>
      </c>
      <c r="F84" s="35"/>
      <c r="G84" s="35">
        <v>0</v>
      </c>
      <c r="H84" s="35"/>
      <c r="I84" s="35">
        <v>0</v>
      </c>
      <c r="J84" s="35"/>
      <c r="K84" s="35">
        <f t="shared" si="20"/>
        <v>0</v>
      </c>
      <c r="L84" s="35"/>
      <c r="M84" s="35">
        <v>0</v>
      </c>
      <c r="N84" s="35"/>
      <c r="O84" s="35">
        <v>0</v>
      </c>
      <c r="P84" s="35"/>
      <c r="Q84" s="35">
        <v>0</v>
      </c>
      <c r="R84" s="35"/>
      <c r="S84" s="35">
        <v>0</v>
      </c>
      <c r="T84" s="35"/>
      <c r="U84" s="35">
        <v>0</v>
      </c>
      <c r="V84" s="35"/>
      <c r="W84" s="35">
        <f t="shared" si="18"/>
        <v>0</v>
      </c>
      <c r="X84" s="35"/>
      <c r="Y84" s="35" t="s">
        <v>112</v>
      </c>
      <c r="Z84" s="55"/>
      <c r="AA84" s="35" t="s">
        <v>76</v>
      </c>
      <c r="AB84" s="35"/>
      <c r="AC84" s="35">
        <v>0</v>
      </c>
      <c r="AD84" s="35"/>
      <c r="AE84" s="35">
        <v>0</v>
      </c>
      <c r="AF84" s="35"/>
      <c r="AG84" s="35">
        <v>0</v>
      </c>
      <c r="AH84" s="35"/>
      <c r="AI84" s="45">
        <f t="shared" si="22"/>
        <v>0</v>
      </c>
      <c r="AJ84" s="45"/>
      <c r="AK84" s="35">
        <v>0</v>
      </c>
      <c r="AL84" s="35"/>
      <c r="AM84" s="35">
        <v>0</v>
      </c>
      <c r="AN84" s="35"/>
      <c r="AO84" s="35">
        <v>0</v>
      </c>
      <c r="AP84" s="35"/>
      <c r="AQ84" s="35">
        <v>0</v>
      </c>
      <c r="AR84" s="35"/>
      <c r="AS84" s="45">
        <f t="shared" si="17"/>
        <v>0</v>
      </c>
      <c r="AT84" s="45"/>
      <c r="AU84" s="35">
        <v>0</v>
      </c>
      <c r="AV84" s="35"/>
      <c r="AW84" s="35">
        <v>0</v>
      </c>
      <c r="AX84" s="35"/>
      <c r="AY84" s="35">
        <f t="shared" si="21"/>
        <v>0</v>
      </c>
      <c r="AZ84" s="35"/>
      <c r="BA84" s="35" t="s">
        <v>112</v>
      </c>
      <c r="BB84" s="55"/>
      <c r="BC84" s="35" t="s">
        <v>76</v>
      </c>
      <c r="BD84" s="35"/>
      <c r="BE84" s="35">
        <v>0</v>
      </c>
      <c r="BF84" s="35"/>
      <c r="BG84" s="35">
        <v>0</v>
      </c>
      <c r="BH84" s="35"/>
      <c r="BI84" s="35">
        <v>0</v>
      </c>
      <c r="BJ84" s="35"/>
      <c r="BK84" s="35">
        <v>0</v>
      </c>
      <c r="BL84" s="35"/>
      <c r="BM84" s="35">
        <f t="shared" si="15"/>
        <v>0</v>
      </c>
      <c r="BN84" s="54" t="s">
        <v>347</v>
      </c>
    </row>
    <row r="85" spans="1:67" ht="12.75" hidden="1" customHeight="1">
      <c r="A85" s="35" t="s">
        <v>113</v>
      </c>
      <c r="C85" s="35" t="s">
        <v>43</v>
      </c>
      <c r="D85" s="35"/>
      <c r="E85" s="35">
        <f t="shared" si="19"/>
        <v>0</v>
      </c>
      <c r="F85" s="35"/>
      <c r="G85" s="35">
        <v>0</v>
      </c>
      <c r="H85" s="35"/>
      <c r="I85" s="35">
        <v>0</v>
      </c>
      <c r="J85" s="35"/>
      <c r="K85" s="35">
        <f t="shared" si="20"/>
        <v>0</v>
      </c>
      <c r="L85" s="35"/>
      <c r="M85" s="35">
        <v>0</v>
      </c>
      <c r="N85" s="35"/>
      <c r="O85" s="35">
        <v>0</v>
      </c>
      <c r="P85" s="35"/>
      <c r="Q85" s="35">
        <v>0</v>
      </c>
      <c r="R85" s="35"/>
      <c r="S85" s="35">
        <v>0</v>
      </c>
      <c r="T85" s="35"/>
      <c r="U85" s="35">
        <v>0</v>
      </c>
      <c r="V85" s="35"/>
      <c r="W85" s="35">
        <f t="shared" si="18"/>
        <v>0</v>
      </c>
      <c r="X85" s="35"/>
      <c r="Y85" s="35" t="s">
        <v>113</v>
      </c>
      <c r="Z85" s="55"/>
      <c r="AA85" s="35" t="s">
        <v>43</v>
      </c>
      <c r="AB85" s="35"/>
      <c r="AC85" s="35">
        <v>0</v>
      </c>
      <c r="AD85" s="35"/>
      <c r="AE85" s="35">
        <v>0</v>
      </c>
      <c r="AF85" s="35"/>
      <c r="AG85" s="35">
        <v>0</v>
      </c>
      <c r="AH85" s="35"/>
      <c r="AI85" s="45">
        <v>0</v>
      </c>
      <c r="AJ85" s="45"/>
      <c r="AK85" s="35">
        <v>0</v>
      </c>
      <c r="AL85" s="35"/>
      <c r="AM85" s="35">
        <v>0</v>
      </c>
      <c r="AN85" s="35"/>
      <c r="AO85" s="35">
        <v>0</v>
      </c>
      <c r="AP85" s="35"/>
      <c r="AQ85" s="35">
        <v>0</v>
      </c>
      <c r="AR85" s="35"/>
      <c r="AS85" s="45">
        <f t="shared" si="17"/>
        <v>0</v>
      </c>
      <c r="AT85" s="45"/>
      <c r="AU85" s="35">
        <v>0</v>
      </c>
      <c r="AV85" s="35"/>
      <c r="AW85" s="35">
        <v>0</v>
      </c>
      <c r="AX85" s="35"/>
      <c r="AY85" s="35">
        <f t="shared" si="21"/>
        <v>0</v>
      </c>
      <c r="AZ85" s="35"/>
      <c r="BA85" s="35" t="s">
        <v>113</v>
      </c>
      <c r="BB85" s="55"/>
      <c r="BC85" s="35" t="s">
        <v>43</v>
      </c>
      <c r="BD85" s="35"/>
      <c r="BE85" s="35">
        <v>0</v>
      </c>
      <c r="BF85" s="35"/>
      <c r="BG85" s="35">
        <v>0</v>
      </c>
      <c r="BH85" s="35"/>
      <c r="BI85" s="35">
        <v>0</v>
      </c>
      <c r="BJ85" s="35"/>
      <c r="BK85" s="35">
        <v>0</v>
      </c>
      <c r="BL85" s="35"/>
      <c r="BM85" s="35">
        <f t="shared" si="15"/>
        <v>0</v>
      </c>
      <c r="BN85" s="54" t="s">
        <v>347</v>
      </c>
    </row>
    <row r="86" spans="1:67" ht="12.75" customHeight="1">
      <c r="A86" s="44" t="s">
        <v>489</v>
      </c>
      <c r="C86" s="35" t="s">
        <v>57</v>
      </c>
      <c r="D86" s="35"/>
      <c r="E86" s="35">
        <f>I86-G86</f>
        <v>10734794</v>
      </c>
      <c r="F86" s="35"/>
      <c r="G86" s="35">
        <v>7688157</v>
      </c>
      <c r="H86" s="35"/>
      <c r="I86" s="35">
        <v>18422951</v>
      </c>
      <c r="J86" s="35"/>
      <c r="K86" s="35">
        <f>O86-M86</f>
        <v>1703549</v>
      </c>
      <c r="L86" s="35"/>
      <c r="M86" s="35">
        <v>9789329</v>
      </c>
      <c r="N86" s="35"/>
      <c r="O86" s="35">
        <v>11492878</v>
      </c>
      <c r="P86" s="35"/>
      <c r="Q86" s="35">
        <v>125474</v>
      </c>
      <c r="R86" s="35"/>
      <c r="S86" s="35">
        <v>0</v>
      </c>
      <c r="T86" s="35"/>
      <c r="U86" s="35">
        <v>5904599</v>
      </c>
      <c r="V86" s="35"/>
      <c r="W86" s="35">
        <f>SUM(Q86:U86)</f>
        <v>6030073</v>
      </c>
      <c r="X86" s="35"/>
      <c r="Y86" s="44" t="s">
        <v>489</v>
      </c>
      <c r="Z86" s="55"/>
      <c r="AA86" s="35" t="s">
        <v>57</v>
      </c>
      <c r="AB86" s="35"/>
      <c r="AC86" s="35">
        <v>11386181</v>
      </c>
      <c r="AD86" s="35"/>
      <c r="AE86" s="35">
        <f>10083056-190387</f>
        <v>9892669</v>
      </c>
      <c r="AF86" s="35"/>
      <c r="AG86" s="35">
        <v>190387</v>
      </c>
      <c r="AH86" s="35"/>
      <c r="AI86" s="45">
        <f>+AC86-AE86-AG86</f>
        <v>1303125</v>
      </c>
      <c r="AJ86" s="45"/>
      <c r="AK86" s="35">
        <v>-795640</v>
      </c>
      <c r="AL86" s="35"/>
      <c r="AM86" s="35">
        <v>0</v>
      </c>
      <c r="AN86" s="35"/>
      <c r="AO86" s="35">
        <v>0</v>
      </c>
      <c r="AP86" s="35"/>
      <c r="AQ86" s="35">
        <v>0</v>
      </c>
      <c r="AR86" s="35"/>
      <c r="AS86" s="45">
        <f>+AI86+AK86+AM86-AO86+AQ86</f>
        <v>507485</v>
      </c>
      <c r="AT86" s="45"/>
      <c r="AU86" s="35">
        <v>0</v>
      </c>
      <c r="AV86" s="35"/>
      <c r="AW86" s="35">
        <v>0</v>
      </c>
      <c r="AX86" s="35"/>
      <c r="AY86" s="35">
        <f>+E86-K86</f>
        <v>9031245</v>
      </c>
      <c r="AZ86" s="35"/>
      <c r="BA86" s="44" t="s">
        <v>489</v>
      </c>
      <c r="BB86" s="55"/>
      <c r="BC86" s="35" t="s">
        <v>57</v>
      </c>
      <c r="BD86" s="35"/>
      <c r="BE86" s="35">
        <f>7788000+443000</f>
        <v>8231000</v>
      </c>
      <c r="BF86" s="35"/>
      <c r="BG86" s="35">
        <v>0</v>
      </c>
      <c r="BH86" s="35"/>
      <c r="BI86" s="35">
        <f>1703137+127831</f>
        <v>1830968</v>
      </c>
      <c r="BJ86" s="35"/>
      <c r="BK86" s="35">
        <f>115633+182559</f>
        <v>298192</v>
      </c>
      <c r="BL86" s="35"/>
      <c r="BM86" s="35">
        <f>SUM(BE86:BK86)</f>
        <v>10360160</v>
      </c>
      <c r="BN86" s="54" t="s">
        <v>347</v>
      </c>
      <c r="BO86" s="55" t="s">
        <v>315</v>
      </c>
    </row>
    <row r="87" spans="1:67" ht="12.75" hidden="1" customHeight="1">
      <c r="A87" s="35" t="s">
        <v>114</v>
      </c>
      <c r="C87" s="35" t="s">
        <v>27</v>
      </c>
      <c r="D87" s="35"/>
      <c r="E87" s="35">
        <f t="shared" si="19"/>
        <v>0</v>
      </c>
      <c r="F87" s="35"/>
      <c r="G87" s="35">
        <v>0</v>
      </c>
      <c r="H87" s="35"/>
      <c r="I87" s="35">
        <v>0</v>
      </c>
      <c r="J87" s="35"/>
      <c r="K87" s="35">
        <f t="shared" si="20"/>
        <v>0</v>
      </c>
      <c r="L87" s="35"/>
      <c r="M87" s="35">
        <v>0</v>
      </c>
      <c r="N87" s="35"/>
      <c r="O87" s="35">
        <v>0</v>
      </c>
      <c r="P87" s="35"/>
      <c r="Q87" s="35">
        <v>0</v>
      </c>
      <c r="R87" s="35"/>
      <c r="S87" s="35">
        <v>0</v>
      </c>
      <c r="T87" s="35"/>
      <c r="U87" s="35">
        <v>0</v>
      </c>
      <c r="V87" s="35"/>
      <c r="W87" s="35">
        <f t="shared" si="18"/>
        <v>0</v>
      </c>
      <c r="X87" s="35"/>
      <c r="Y87" s="35" t="s">
        <v>114</v>
      </c>
      <c r="Z87" s="55"/>
      <c r="AA87" s="35" t="s">
        <v>27</v>
      </c>
      <c r="AB87" s="35"/>
      <c r="AC87" s="35">
        <v>0</v>
      </c>
      <c r="AD87" s="35"/>
      <c r="AE87" s="35">
        <v>0</v>
      </c>
      <c r="AF87" s="35"/>
      <c r="AG87" s="35">
        <v>0</v>
      </c>
      <c r="AH87" s="35"/>
      <c r="AI87" s="45">
        <f t="shared" ref="AI87:AI103" si="23">+AC87-AE87-AG87</f>
        <v>0</v>
      </c>
      <c r="AJ87" s="45"/>
      <c r="AK87" s="35">
        <v>0</v>
      </c>
      <c r="AL87" s="35"/>
      <c r="AM87" s="35">
        <v>0</v>
      </c>
      <c r="AN87" s="35"/>
      <c r="AO87" s="35">
        <v>0</v>
      </c>
      <c r="AP87" s="35"/>
      <c r="AQ87" s="35">
        <v>0</v>
      </c>
      <c r="AR87" s="35"/>
      <c r="AS87" s="45">
        <f t="shared" si="17"/>
        <v>0</v>
      </c>
      <c r="AT87" s="45"/>
      <c r="AU87" s="35">
        <v>0</v>
      </c>
      <c r="AV87" s="35"/>
      <c r="AW87" s="35">
        <v>0</v>
      </c>
      <c r="AX87" s="35"/>
      <c r="AY87" s="35">
        <f t="shared" si="21"/>
        <v>0</v>
      </c>
      <c r="AZ87" s="35"/>
      <c r="BA87" s="35" t="s">
        <v>114</v>
      </c>
      <c r="BB87" s="55"/>
      <c r="BC87" s="35" t="s">
        <v>27</v>
      </c>
      <c r="BD87" s="35"/>
      <c r="BE87" s="35">
        <v>0</v>
      </c>
      <c r="BF87" s="35"/>
      <c r="BG87" s="35">
        <v>0</v>
      </c>
      <c r="BH87" s="35"/>
      <c r="BI87" s="35">
        <v>0</v>
      </c>
      <c r="BJ87" s="35"/>
      <c r="BK87" s="35">
        <v>0</v>
      </c>
      <c r="BL87" s="35"/>
      <c r="BM87" s="35">
        <f t="shared" si="15"/>
        <v>0</v>
      </c>
      <c r="BN87" s="54" t="s">
        <v>347</v>
      </c>
    </row>
    <row r="88" spans="1:67" ht="12.75" hidden="1" customHeight="1">
      <c r="A88" s="35" t="s">
        <v>115</v>
      </c>
      <c r="C88" s="35" t="s">
        <v>19</v>
      </c>
      <c r="D88" s="35"/>
      <c r="E88" s="35">
        <f t="shared" si="19"/>
        <v>0</v>
      </c>
      <c r="F88" s="35"/>
      <c r="G88" s="35">
        <v>0</v>
      </c>
      <c r="H88" s="35"/>
      <c r="I88" s="35">
        <v>0</v>
      </c>
      <c r="J88" s="35"/>
      <c r="K88" s="35">
        <f t="shared" si="20"/>
        <v>0</v>
      </c>
      <c r="L88" s="35"/>
      <c r="M88" s="35">
        <v>0</v>
      </c>
      <c r="N88" s="35"/>
      <c r="O88" s="35">
        <v>0</v>
      </c>
      <c r="P88" s="35"/>
      <c r="Q88" s="35">
        <v>0</v>
      </c>
      <c r="R88" s="35"/>
      <c r="S88" s="35">
        <v>0</v>
      </c>
      <c r="T88" s="35"/>
      <c r="U88" s="35">
        <v>0</v>
      </c>
      <c r="V88" s="35"/>
      <c r="W88" s="35">
        <f t="shared" si="18"/>
        <v>0</v>
      </c>
      <c r="X88" s="35"/>
      <c r="Y88" s="35" t="s">
        <v>115</v>
      </c>
      <c r="Z88" s="55"/>
      <c r="AA88" s="35" t="s">
        <v>19</v>
      </c>
      <c r="AB88" s="35"/>
      <c r="AC88" s="35">
        <v>0</v>
      </c>
      <c r="AD88" s="35"/>
      <c r="AE88" s="35">
        <v>0</v>
      </c>
      <c r="AF88" s="35"/>
      <c r="AG88" s="35">
        <v>0</v>
      </c>
      <c r="AH88" s="35"/>
      <c r="AI88" s="45">
        <f t="shared" si="23"/>
        <v>0</v>
      </c>
      <c r="AJ88" s="45"/>
      <c r="AK88" s="35">
        <v>0</v>
      </c>
      <c r="AL88" s="35"/>
      <c r="AM88" s="35">
        <v>0</v>
      </c>
      <c r="AN88" s="35"/>
      <c r="AO88" s="35">
        <v>0</v>
      </c>
      <c r="AP88" s="35"/>
      <c r="AQ88" s="35">
        <v>0</v>
      </c>
      <c r="AR88" s="35"/>
      <c r="AS88" s="45">
        <f t="shared" si="17"/>
        <v>0</v>
      </c>
      <c r="AT88" s="45"/>
      <c r="AU88" s="35">
        <v>0</v>
      </c>
      <c r="AV88" s="35"/>
      <c r="AW88" s="35">
        <v>0</v>
      </c>
      <c r="AX88" s="35"/>
      <c r="AY88" s="35">
        <f t="shared" si="21"/>
        <v>0</v>
      </c>
      <c r="AZ88" s="35"/>
      <c r="BA88" s="35" t="s">
        <v>115</v>
      </c>
      <c r="BB88" s="55"/>
      <c r="BC88" s="35" t="s">
        <v>19</v>
      </c>
      <c r="BD88" s="35"/>
      <c r="BE88" s="35">
        <v>0</v>
      </c>
      <c r="BF88" s="35"/>
      <c r="BG88" s="35">
        <v>0</v>
      </c>
      <c r="BH88" s="35"/>
      <c r="BI88" s="35">
        <v>0</v>
      </c>
      <c r="BJ88" s="35"/>
      <c r="BK88" s="35">
        <v>0</v>
      </c>
      <c r="BL88" s="35"/>
      <c r="BM88" s="35">
        <f t="shared" si="15"/>
        <v>0</v>
      </c>
      <c r="BN88" s="54" t="s">
        <v>347</v>
      </c>
    </row>
    <row r="89" spans="1:67" ht="12.75" hidden="1" customHeight="1">
      <c r="A89" s="35" t="s">
        <v>116</v>
      </c>
      <c r="C89" s="35" t="s">
        <v>80</v>
      </c>
      <c r="D89" s="35"/>
      <c r="E89" s="35">
        <f t="shared" si="19"/>
        <v>0</v>
      </c>
      <c r="F89" s="35"/>
      <c r="G89" s="35">
        <v>0</v>
      </c>
      <c r="H89" s="35"/>
      <c r="I89" s="35">
        <v>0</v>
      </c>
      <c r="J89" s="35"/>
      <c r="K89" s="35">
        <f t="shared" si="20"/>
        <v>0</v>
      </c>
      <c r="L89" s="35"/>
      <c r="M89" s="35">
        <v>0</v>
      </c>
      <c r="N89" s="35"/>
      <c r="O89" s="35">
        <v>0</v>
      </c>
      <c r="P89" s="35"/>
      <c r="Q89" s="35">
        <v>0</v>
      </c>
      <c r="R89" s="35"/>
      <c r="S89" s="35">
        <v>0</v>
      </c>
      <c r="T89" s="35"/>
      <c r="U89" s="35">
        <v>0</v>
      </c>
      <c r="V89" s="35"/>
      <c r="W89" s="35">
        <f t="shared" si="18"/>
        <v>0</v>
      </c>
      <c r="X89" s="35"/>
      <c r="Y89" s="35" t="s">
        <v>116</v>
      </c>
      <c r="Z89" s="55"/>
      <c r="AA89" s="35" t="s">
        <v>80</v>
      </c>
      <c r="AB89" s="35"/>
      <c r="AC89" s="35">
        <v>0</v>
      </c>
      <c r="AD89" s="35"/>
      <c r="AE89" s="35">
        <v>0</v>
      </c>
      <c r="AF89" s="35"/>
      <c r="AG89" s="35">
        <v>0</v>
      </c>
      <c r="AH89" s="35"/>
      <c r="AI89" s="45">
        <f t="shared" si="23"/>
        <v>0</v>
      </c>
      <c r="AJ89" s="45"/>
      <c r="AK89" s="35">
        <v>0</v>
      </c>
      <c r="AL89" s="35"/>
      <c r="AM89" s="35">
        <v>0</v>
      </c>
      <c r="AN89" s="35"/>
      <c r="AO89" s="35">
        <v>0</v>
      </c>
      <c r="AP89" s="35"/>
      <c r="AQ89" s="35">
        <v>0</v>
      </c>
      <c r="AR89" s="35"/>
      <c r="AS89" s="45">
        <f t="shared" si="17"/>
        <v>0</v>
      </c>
      <c r="AT89" s="45"/>
      <c r="AU89" s="35">
        <v>0</v>
      </c>
      <c r="AV89" s="35"/>
      <c r="AW89" s="35">
        <v>0</v>
      </c>
      <c r="AX89" s="35"/>
      <c r="AY89" s="35">
        <f t="shared" si="21"/>
        <v>0</v>
      </c>
      <c r="AZ89" s="35"/>
      <c r="BA89" s="35" t="s">
        <v>116</v>
      </c>
      <c r="BB89" s="55"/>
      <c r="BC89" s="35" t="s">
        <v>80</v>
      </c>
      <c r="BD89" s="35"/>
      <c r="BE89" s="35">
        <v>0</v>
      </c>
      <c r="BF89" s="35"/>
      <c r="BG89" s="35">
        <v>0</v>
      </c>
      <c r="BH89" s="35"/>
      <c r="BI89" s="35">
        <v>0</v>
      </c>
      <c r="BJ89" s="35"/>
      <c r="BK89" s="35">
        <v>0</v>
      </c>
      <c r="BL89" s="35"/>
      <c r="BM89" s="35">
        <f t="shared" si="15"/>
        <v>0</v>
      </c>
      <c r="BN89" s="54" t="s">
        <v>347</v>
      </c>
    </row>
    <row r="90" spans="1:67" ht="12.75" hidden="1" customHeight="1">
      <c r="A90" s="44" t="s">
        <v>117</v>
      </c>
      <c r="C90" s="35" t="s">
        <v>43</v>
      </c>
      <c r="D90" s="35"/>
      <c r="E90" s="35">
        <f t="shared" si="19"/>
        <v>0</v>
      </c>
      <c r="F90" s="35"/>
      <c r="G90" s="35">
        <v>0</v>
      </c>
      <c r="H90" s="35"/>
      <c r="I90" s="35">
        <v>0</v>
      </c>
      <c r="J90" s="35"/>
      <c r="K90" s="35">
        <f t="shared" si="20"/>
        <v>0</v>
      </c>
      <c r="L90" s="35"/>
      <c r="M90" s="35">
        <v>0</v>
      </c>
      <c r="N90" s="35"/>
      <c r="O90" s="35">
        <v>0</v>
      </c>
      <c r="P90" s="35"/>
      <c r="Q90" s="35">
        <v>0</v>
      </c>
      <c r="R90" s="35"/>
      <c r="S90" s="35">
        <v>0</v>
      </c>
      <c r="T90" s="35"/>
      <c r="U90" s="35">
        <v>0</v>
      </c>
      <c r="V90" s="35"/>
      <c r="W90" s="35">
        <f t="shared" si="18"/>
        <v>0</v>
      </c>
      <c r="X90" s="35"/>
      <c r="Y90" s="44" t="s">
        <v>117</v>
      </c>
      <c r="Z90" s="55"/>
      <c r="AA90" s="35" t="s">
        <v>43</v>
      </c>
      <c r="AB90" s="35"/>
      <c r="AC90" s="35">
        <v>0</v>
      </c>
      <c r="AD90" s="35"/>
      <c r="AE90" s="35">
        <v>0</v>
      </c>
      <c r="AF90" s="35"/>
      <c r="AG90" s="35">
        <v>0</v>
      </c>
      <c r="AH90" s="35"/>
      <c r="AI90" s="45">
        <f t="shared" si="23"/>
        <v>0</v>
      </c>
      <c r="AJ90" s="45"/>
      <c r="AK90" s="35">
        <v>0</v>
      </c>
      <c r="AL90" s="35"/>
      <c r="AM90" s="35">
        <v>0</v>
      </c>
      <c r="AN90" s="35"/>
      <c r="AO90" s="35">
        <v>0</v>
      </c>
      <c r="AP90" s="35"/>
      <c r="AQ90" s="35">
        <v>0</v>
      </c>
      <c r="AR90" s="35"/>
      <c r="AS90" s="45">
        <f t="shared" si="17"/>
        <v>0</v>
      </c>
      <c r="AT90" s="45"/>
      <c r="AU90" s="35">
        <v>0</v>
      </c>
      <c r="AV90" s="35"/>
      <c r="AW90" s="35">
        <v>0</v>
      </c>
      <c r="AX90" s="35"/>
      <c r="AY90" s="35">
        <f t="shared" si="21"/>
        <v>0</v>
      </c>
      <c r="AZ90" s="35"/>
      <c r="BA90" s="44" t="s">
        <v>117</v>
      </c>
      <c r="BB90" s="55"/>
      <c r="BC90" s="35" t="s">
        <v>43</v>
      </c>
      <c r="BD90" s="35"/>
      <c r="BE90" s="35">
        <v>0</v>
      </c>
      <c r="BF90" s="35"/>
      <c r="BG90" s="35">
        <v>0</v>
      </c>
      <c r="BH90" s="35"/>
      <c r="BI90" s="35">
        <v>0</v>
      </c>
      <c r="BJ90" s="35"/>
      <c r="BK90" s="35">
        <v>0</v>
      </c>
      <c r="BL90" s="35"/>
      <c r="BM90" s="35">
        <f t="shared" si="15"/>
        <v>0</v>
      </c>
      <c r="BN90" s="54" t="s">
        <v>347</v>
      </c>
    </row>
    <row r="91" spans="1:67" ht="12.75" hidden="1" customHeight="1">
      <c r="A91" s="35" t="s">
        <v>118</v>
      </c>
      <c r="C91" s="35" t="s">
        <v>13</v>
      </c>
      <c r="D91" s="35"/>
      <c r="E91" s="35">
        <f t="shared" si="19"/>
        <v>0</v>
      </c>
      <c r="F91" s="35"/>
      <c r="G91" s="35">
        <v>0</v>
      </c>
      <c r="H91" s="35"/>
      <c r="I91" s="35">
        <v>0</v>
      </c>
      <c r="J91" s="35"/>
      <c r="K91" s="35">
        <f t="shared" si="20"/>
        <v>0</v>
      </c>
      <c r="L91" s="35"/>
      <c r="M91" s="35">
        <v>0</v>
      </c>
      <c r="N91" s="35"/>
      <c r="O91" s="35">
        <v>0</v>
      </c>
      <c r="P91" s="35"/>
      <c r="Q91" s="35">
        <v>0</v>
      </c>
      <c r="R91" s="35"/>
      <c r="S91" s="35">
        <v>0</v>
      </c>
      <c r="T91" s="35"/>
      <c r="U91" s="35">
        <v>0</v>
      </c>
      <c r="V91" s="35"/>
      <c r="W91" s="35">
        <f t="shared" si="18"/>
        <v>0</v>
      </c>
      <c r="X91" s="35"/>
      <c r="Y91" s="35" t="s">
        <v>118</v>
      </c>
      <c r="Z91" s="55"/>
      <c r="AA91" s="35" t="s">
        <v>13</v>
      </c>
      <c r="AB91" s="35"/>
      <c r="AC91" s="35">
        <v>0</v>
      </c>
      <c r="AD91" s="35"/>
      <c r="AE91" s="35">
        <v>0</v>
      </c>
      <c r="AF91" s="35"/>
      <c r="AG91" s="35">
        <v>0</v>
      </c>
      <c r="AH91" s="35"/>
      <c r="AI91" s="45">
        <f t="shared" si="23"/>
        <v>0</v>
      </c>
      <c r="AJ91" s="45"/>
      <c r="AK91" s="35">
        <v>0</v>
      </c>
      <c r="AL91" s="35"/>
      <c r="AM91" s="35">
        <v>0</v>
      </c>
      <c r="AN91" s="35"/>
      <c r="AO91" s="35">
        <v>0</v>
      </c>
      <c r="AP91" s="35"/>
      <c r="AQ91" s="35">
        <v>0</v>
      </c>
      <c r="AR91" s="35"/>
      <c r="AS91" s="45">
        <f t="shared" si="17"/>
        <v>0</v>
      </c>
      <c r="AT91" s="45"/>
      <c r="AU91" s="35">
        <v>0</v>
      </c>
      <c r="AV91" s="35"/>
      <c r="AW91" s="35">
        <v>0</v>
      </c>
      <c r="AX91" s="35"/>
      <c r="AY91" s="35">
        <f t="shared" si="21"/>
        <v>0</v>
      </c>
      <c r="AZ91" s="35"/>
      <c r="BA91" s="35" t="s">
        <v>118</v>
      </c>
      <c r="BB91" s="55"/>
      <c r="BC91" s="35" t="s">
        <v>13</v>
      </c>
      <c r="BD91" s="35"/>
      <c r="BE91" s="35">
        <v>0</v>
      </c>
      <c r="BF91" s="35"/>
      <c r="BG91" s="35">
        <v>0</v>
      </c>
      <c r="BH91" s="35"/>
      <c r="BI91" s="35">
        <v>0</v>
      </c>
      <c r="BJ91" s="35"/>
      <c r="BK91" s="35">
        <v>0</v>
      </c>
      <c r="BL91" s="35"/>
      <c r="BM91" s="35">
        <f t="shared" si="15"/>
        <v>0</v>
      </c>
      <c r="BN91" s="54" t="s">
        <v>347</v>
      </c>
    </row>
    <row r="92" spans="1:67" ht="12.75" hidden="1" customHeight="1">
      <c r="A92" s="35" t="s">
        <v>120</v>
      </c>
      <c r="C92" s="35" t="s">
        <v>121</v>
      </c>
      <c r="D92" s="35"/>
      <c r="E92" s="35">
        <f t="shared" si="19"/>
        <v>0</v>
      </c>
      <c r="F92" s="35"/>
      <c r="G92" s="35">
        <v>0</v>
      </c>
      <c r="H92" s="35"/>
      <c r="I92" s="35">
        <v>0</v>
      </c>
      <c r="J92" s="35"/>
      <c r="K92" s="35">
        <f t="shared" si="20"/>
        <v>0</v>
      </c>
      <c r="L92" s="35"/>
      <c r="M92" s="35">
        <v>0</v>
      </c>
      <c r="N92" s="35"/>
      <c r="O92" s="35">
        <v>0</v>
      </c>
      <c r="P92" s="35"/>
      <c r="Q92" s="35">
        <v>0</v>
      </c>
      <c r="R92" s="35"/>
      <c r="S92" s="35">
        <v>0</v>
      </c>
      <c r="T92" s="35"/>
      <c r="U92" s="35">
        <v>0</v>
      </c>
      <c r="V92" s="35"/>
      <c r="W92" s="35">
        <f t="shared" si="18"/>
        <v>0</v>
      </c>
      <c r="X92" s="35"/>
      <c r="Y92" s="35" t="s">
        <v>120</v>
      </c>
      <c r="Z92" s="55"/>
      <c r="AA92" s="35" t="s">
        <v>121</v>
      </c>
      <c r="AB92" s="35"/>
      <c r="AC92" s="35">
        <v>0</v>
      </c>
      <c r="AD92" s="35"/>
      <c r="AE92" s="35">
        <v>0</v>
      </c>
      <c r="AF92" s="35"/>
      <c r="AG92" s="35">
        <v>0</v>
      </c>
      <c r="AH92" s="35"/>
      <c r="AI92" s="45">
        <f t="shared" si="23"/>
        <v>0</v>
      </c>
      <c r="AJ92" s="45"/>
      <c r="AK92" s="35">
        <v>0</v>
      </c>
      <c r="AL92" s="35"/>
      <c r="AM92" s="35">
        <v>0</v>
      </c>
      <c r="AN92" s="35"/>
      <c r="AO92" s="35">
        <v>0</v>
      </c>
      <c r="AP92" s="35"/>
      <c r="AQ92" s="35">
        <v>0</v>
      </c>
      <c r="AR92" s="35"/>
      <c r="AS92" s="45">
        <f t="shared" si="17"/>
        <v>0</v>
      </c>
      <c r="AT92" s="45"/>
      <c r="AU92" s="35">
        <v>0</v>
      </c>
      <c r="AV92" s="35"/>
      <c r="AW92" s="35">
        <v>0</v>
      </c>
      <c r="AX92" s="35"/>
      <c r="AY92" s="35">
        <f t="shared" si="21"/>
        <v>0</v>
      </c>
      <c r="AZ92" s="35"/>
      <c r="BA92" s="35" t="s">
        <v>120</v>
      </c>
      <c r="BB92" s="55"/>
      <c r="BC92" s="35" t="s">
        <v>121</v>
      </c>
      <c r="BD92" s="35"/>
      <c r="BE92" s="35">
        <v>0</v>
      </c>
      <c r="BF92" s="35"/>
      <c r="BG92" s="35">
        <v>0</v>
      </c>
      <c r="BH92" s="35"/>
      <c r="BI92" s="35">
        <v>0</v>
      </c>
      <c r="BJ92" s="35"/>
      <c r="BK92" s="35">
        <v>0</v>
      </c>
      <c r="BL92" s="35"/>
      <c r="BM92" s="35">
        <f t="shared" si="15"/>
        <v>0</v>
      </c>
      <c r="BN92" s="54" t="s">
        <v>347</v>
      </c>
      <c r="BO92" s="55" t="s">
        <v>371</v>
      </c>
    </row>
    <row r="93" spans="1:67" ht="12.75" hidden="1" customHeight="1">
      <c r="A93" s="35" t="s">
        <v>122</v>
      </c>
      <c r="C93" s="35" t="s">
        <v>43</v>
      </c>
      <c r="D93" s="35"/>
      <c r="E93" s="35">
        <f t="shared" si="19"/>
        <v>0</v>
      </c>
      <c r="F93" s="35"/>
      <c r="G93" s="35">
        <v>0</v>
      </c>
      <c r="H93" s="35"/>
      <c r="I93" s="35">
        <v>0</v>
      </c>
      <c r="J93" s="35"/>
      <c r="K93" s="35">
        <f t="shared" si="20"/>
        <v>0</v>
      </c>
      <c r="L93" s="35"/>
      <c r="M93" s="35">
        <v>0</v>
      </c>
      <c r="N93" s="35"/>
      <c r="O93" s="35">
        <v>0</v>
      </c>
      <c r="P93" s="35"/>
      <c r="Q93" s="35">
        <v>0</v>
      </c>
      <c r="R93" s="35"/>
      <c r="S93" s="35">
        <v>0</v>
      </c>
      <c r="T93" s="35"/>
      <c r="U93" s="35">
        <v>0</v>
      </c>
      <c r="V93" s="35"/>
      <c r="W93" s="35">
        <f t="shared" si="18"/>
        <v>0</v>
      </c>
      <c r="X93" s="35"/>
      <c r="Y93" s="35" t="s">
        <v>122</v>
      </c>
      <c r="Z93" s="55"/>
      <c r="AA93" s="35" t="s">
        <v>43</v>
      </c>
      <c r="AB93" s="35"/>
      <c r="AC93" s="35">
        <v>0</v>
      </c>
      <c r="AD93" s="35"/>
      <c r="AE93" s="35">
        <v>0</v>
      </c>
      <c r="AF93" s="35"/>
      <c r="AG93" s="35">
        <v>0</v>
      </c>
      <c r="AH93" s="35"/>
      <c r="AI93" s="45">
        <f t="shared" si="23"/>
        <v>0</v>
      </c>
      <c r="AJ93" s="45"/>
      <c r="AK93" s="35">
        <v>0</v>
      </c>
      <c r="AL93" s="35"/>
      <c r="AM93" s="35">
        <v>0</v>
      </c>
      <c r="AN93" s="35"/>
      <c r="AO93" s="35">
        <v>0</v>
      </c>
      <c r="AP93" s="35"/>
      <c r="AQ93" s="35">
        <v>0</v>
      </c>
      <c r="AR93" s="35"/>
      <c r="AS93" s="45">
        <f t="shared" si="17"/>
        <v>0</v>
      </c>
      <c r="AT93" s="45"/>
      <c r="AU93" s="35">
        <v>0</v>
      </c>
      <c r="AV93" s="35"/>
      <c r="AW93" s="35">
        <v>0</v>
      </c>
      <c r="AX93" s="35"/>
      <c r="AY93" s="35">
        <f t="shared" si="21"/>
        <v>0</v>
      </c>
      <c r="AZ93" s="35"/>
      <c r="BA93" s="35" t="s">
        <v>122</v>
      </c>
      <c r="BB93" s="55"/>
      <c r="BC93" s="35" t="s">
        <v>43</v>
      </c>
      <c r="BD93" s="35"/>
      <c r="BE93" s="35">
        <v>0</v>
      </c>
      <c r="BF93" s="35"/>
      <c r="BG93" s="35">
        <v>0</v>
      </c>
      <c r="BH93" s="35"/>
      <c r="BI93" s="35">
        <v>0</v>
      </c>
      <c r="BJ93" s="35"/>
      <c r="BK93" s="35">
        <v>0</v>
      </c>
      <c r="BL93" s="35"/>
      <c r="BM93" s="35">
        <f t="shared" si="15"/>
        <v>0</v>
      </c>
      <c r="BN93" s="54" t="s">
        <v>347</v>
      </c>
    </row>
    <row r="94" spans="1:67" ht="12.75" customHeight="1">
      <c r="A94" s="44" t="s">
        <v>45</v>
      </c>
      <c r="C94" s="35" t="s">
        <v>103</v>
      </c>
      <c r="D94" s="35"/>
      <c r="E94" s="35">
        <f t="shared" si="19"/>
        <v>49749810</v>
      </c>
      <c r="F94" s="35"/>
      <c r="G94" s="35">
        <v>136639179</v>
      </c>
      <c r="H94" s="35"/>
      <c r="I94" s="35">
        <v>186388989</v>
      </c>
      <c r="J94" s="35"/>
      <c r="K94" s="35">
        <f t="shared" si="20"/>
        <v>15892322</v>
      </c>
      <c r="L94" s="35"/>
      <c r="M94" s="35">
        <v>163982396</v>
      </c>
      <c r="N94" s="35"/>
      <c r="O94" s="35">
        <v>179874718</v>
      </c>
      <c r="P94" s="35"/>
      <c r="Q94" s="35">
        <v>-23334866</v>
      </c>
      <c r="R94" s="35"/>
      <c r="S94" s="35">
        <f>6198717+4000000</f>
        <v>10198717</v>
      </c>
      <c r="T94" s="35"/>
      <c r="U94" s="35">
        <v>19650420</v>
      </c>
      <c r="V94" s="35"/>
      <c r="W94" s="35">
        <f t="shared" si="18"/>
        <v>6514271</v>
      </c>
      <c r="X94" s="35"/>
      <c r="Y94" s="44" t="s">
        <v>45</v>
      </c>
      <c r="Z94" s="55"/>
      <c r="AA94" s="35" t="s">
        <v>103</v>
      </c>
      <c r="AB94" s="35"/>
      <c r="AC94" s="35">
        <v>61177918</v>
      </c>
      <c r="AD94" s="35"/>
      <c r="AE94" s="35">
        <f>49745565-10454987</f>
        <v>39290578</v>
      </c>
      <c r="AF94" s="35"/>
      <c r="AG94" s="35">
        <v>10454987</v>
      </c>
      <c r="AH94" s="35"/>
      <c r="AI94" s="45">
        <f t="shared" si="23"/>
        <v>11432353</v>
      </c>
      <c r="AJ94" s="45"/>
      <c r="AK94" s="35">
        <v>-8078598</v>
      </c>
      <c r="AL94" s="35"/>
      <c r="AM94" s="35">
        <v>0</v>
      </c>
      <c r="AN94" s="35"/>
      <c r="AO94" s="35">
        <v>182500</v>
      </c>
      <c r="AP94" s="35"/>
      <c r="AQ94" s="35">
        <v>0</v>
      </c>
      <c r="AR94" s="35"/>
      <c r="AS94" s="45">
        <f t="shared" si="17"/>
        <v>3171255</v>
      </c>
      <c r="AT94" s="45"/>
      <c r="AU94" s="35">
        <v>0</v>
      </c>
      <c r="AV94" s="35"/>
      <c r="AW94" s="35">
        <v>0</v>
      </c>
      <c r="AX94" s="35"/>
      <c r="AY94" s="35">
        <f t="shared" si="21"/>
        <v>33857488</v>
      </c>
      <c r="AZ94" s="35"/>
      <c r="BA94" s="44" t="s">
        <v>45</v>
      </c>
      <c r="BB94" s="55"/>
      <c r="BC94" s="35" t="s">
        <v>103</v>
      </c>
      <c r="BD94" s="35"/>
      <c r="BE94" s="35">
        <v>0</v>
      </c>
      <c r="BF94" s="35"/>
      <c r="BG94" s="35">
        <f>162584333+10125000</f>
        <v>172709333</v>
      </c>
      <c r="BH94" s="35"/>
      <c r="BI94" s="35">
        <v>0</v>
      </c>
      <c r="BJ94" s="35"/>
      <c r="BK94" s="35">
        <f>1312897+1098063</f>
        <v>2410960</v>
      </c>
      <c r="BL94" s="35"/>
      <c r="BM94" s="35">
        <f t="shared" si="15"/>
        <v>175120293</v>
      </c>
      <c r="BN94" s="54" t="s">
        <v>347</v>
      </c>
      <c r="BO94" s="55" t="s">
        <v>315</v>
      </c>
    </row>
    <row r="95" spans="1:67" ht="12.75" hidden="1" customHeight="1">
      <c r="A95" s="44" t="s">
        <v>123</v>
      </c>
      <c r="C95" s="35" t="s">
        <v>45</v>
      </c>
      <c r="D95" s="35"/>
      <c r="E95" s="35">
        <f t="shared" si="19"/>
        <v>0</v>
      </c>
      <c r="F95" s="35"/>
      <c r="G95" s="35">
        <v>0</v>
      </c>
      <c r="H95" s="35"/>
      <c r="I95" s="35">
        <v>0</v>
      </c>
      <c r="J95" s="35"/>
      <c r="K95" s="35">
        <f t="shared" si="20"/>
        <v>0</v>
      </c>
      <c r="L95" s="35"/>
      <c r="M95" s="35">
        <v>0</v>
      </c>
      <c r="N95" s="35"/>
      <c r="O95" s="35">
        <v>0</v>
      </c>
      <c r="P95" s="35"/>
      <c r="Q95" s="35">
        <v>0</v>
      </c>
      <c r="R95" s="35"/>
      <c r="S95" s="35">
        <v>0</v>
      </c>
      <c r="T95" s="35"/>
      <c r="U95" s="35">
        <v>0</v>
      </c>
      <c r="V95" s="35"/>
      <c r="W95" s="35">
        <f t="shared" si="18"/>
        <v>0</v>
      </c>
      <c r="X95" s="35"/>
      <c r="Y95" s="44" t="s">
        <v>123</v>
      </c>
      <c r="Z95" s="55"/>
      <c r="AA95" s="35" t="s">
        <v>45</v>
      </c>
      <c r="AB95" s="35"/>
      <c r="AC95" s="35">
        <v>0</v>
      </c>
      <c r="AD95" s="35"/>
      <c r="AE95" s="35">
        <v>0</v>
      </c>
      <c r="AF95" s="35"/>
      <c r="AG95" s="35">
        <v>0</v>
      </c>
      <c r="AH95" s="35"/>
      <c r="AI95" s="45">
        <f t="shared" si="23"/>
        <v>0</v>
      </c>
      <c r="AJ95" s="45"/>
      <c r="AK95" s="35">
        <v>0</v>
      </c>
      <c r="AL95" s="35"/>
      <c r="AM95" s="35">
        <v>0</v>
      </c>
      <c r="AN95" s="35"/>
      <c r="AO95" s="35">
        <v>0</v>
      </c>
      <c r="AP95" s="35"/>
      <c r="AQ95" s="35">
        <v>0</v>
      </c>
      <c r="AR95" s="35"/>
      <c r="AS95" s="45">
        <f t="shared" si="17"/>
        <v>0</v>
      </c>
      <c r="AT95" s="45"/>
      <c r="AU95" s="35">
        <v>0</v>
      </c>
      <c r="AV95" s="35"/>
      <c r="AW95" s="35">
        <v>0</v>
      </c>
      <c r="AX95" s="35"/>
      <c r="AY95" s="35">
        <f t="shared" si="21"/>
        <v>0</v>
      </c>
      <c r="AZ95" s="35"/>
      <c r="BA95" s="44" t="s">
        <v>123</v>
      </c>
      <c r="BB95" s="55"/>
      <c r="BC95" s="35" t="s">
        <v>45</v>
      </c>
      <c r="BD95" s="35"/>
      <c r="BE95" s="35">
        <v>0</v>
      </c>
      <c r="BF95" s="35"/>
      <c r="BG95" s="35">
        <v>0</v>
      </c>
      <c r="BH95" s="35"/>
      <c r="BI95" s="35">
        <v>0</v>
      </c>
      <c r="BJ95" s="35"/>
      <c r="BK95" s="35">
        <v>0</v>
      </c>
      <c r="BL95" s="35"/>
      <c r="BM95" s="35">
        <f t="shared" si="15"/>
        <v>0</v>
      </c>
      <c r="BN95" s="54" t="s">
        <v>347</v>
      </c>
    </row>
    <row r="96" spans="1:67" ht="12.75" hidden="1" customHeight="1">
      <c r="A96" s="35" t="s">
        <v>124</v>
      </c>
      <c r="C96" s="35" t="s">
        <v>125</v>
      </c>
      <c r="D96" s="35"/>
      <c r="E96" s="35">
        <f t="shared" si="19"/>
        <v>0</v>
      </c>
      <c r="F96" s="35"/>
      <c r="G96" s="35">
        <v>0</v>
      </c>
      <c r="H96" s="35"/>
      <c r="I96" s="35">
        <v>0</v>
      </c>
      <c r="J96" s="35"/>
      <c r="K96" s="35">
        <f t="shared" si="20"/>
        <v>0</v>
      </c>
      <c r="L96" s="35"/>
      <c r="M96" s="35">
        <v>0</v>
      </c>
      <c r="N96" s="35"/>
      <c r="O96" s="35">
        <v>0</v>
      </c>
      <c r="P96" s="35"/>
      <c r="Q96" s="35">
        <v>0</v>
      </c>
      <c r="R96" s="35"/>
      <c r="S96" s="35">
        <v>0</v>
      </c>
      <c r="T96" s="35"/>
      <c r="U96" s="35">
        <v>0</v>
      </c>
      <c r="V96" s="35"/>
      <c r="W96" s="35">
        <f t="shared" si="18"/>
        <v>0</v>
      </c>
      <c r="X96" s="35"/>
      <c r="Y96" s="35" t="s">
        <v>124</v>
      </c>
      <c r="Z96" s="55"/>
      <c r="AA96" s="35" t="s">
        <v>125</v>
      </c>
      <c r="AB96" s="35"/>
      <c r="AC96" s="35">
        <v>0</v>
      </c>
      <c r="AD96" s="35"/>
      <c r="AE96" s="35">
        <v>0</v>
      </c>
      <c r="AF96" s="35"/>
      <c r="AG96" s="35">
        <v>0</v>
      </c>
      <c r="AH96" s="35"/>
      <c r="AI96" s="45">
        <f t="shared" si="23"/>
        <v>0</v>
      </c>
      <c r="AJ96" s="45"/>
      <c r="AK96" s="35">
        <v>0</v>
      </c>
      <c r="AL96" s="35"/>
      <c r="AM96" s="35">
        <v>0</v>
      </c>
      <c r="AN96" s="35"/>
      <c r="AO96" s="35">
        <v>0</v>
      </c>
      <c r="AP96" s="35"/>
      <c r="AQ96" s="35">
        <v>0</v>
      </c>
      <c r="AR96" s="35"/>
      <c r="AS96" s="45">
        <f t="shared" si="17"/>
        <v>0</v>
      </c>
      <c r="AT96" s="45"/>
      <c r="AU96" s="35">
        <v>0</v>
      </c>
      <c r="AV96" s="35"/>
      <c r="AW96" s="35">
        <v>0</v>
      </c>
      <c r="AX96" s="35"/>
      <c r="AY96" s="35">
        <f t="shared" si="21"/>
        <v>0</v>
      </c>
      <c r="AZ96" s="35"/>
      <c r="BA96" s="35" t="s">
        <v>124</v>
      </c>
      <c r="BB96" s="55"/>
      <c r="BC96" s="35" t="s">
        <v>125</v>
      </c>
      <c r="BD96" s="35"/>
      <c r="BE96" s="35">
        <v>0</v>
      </c>
      <c r="BF96" s="35"/>
      <c r="BG96" s="35">
        <v>0</v>
      </c>
      <c r="BH96" s="35"/>
      <c r="BI96" s="35">
        <v>0</v>
      </c>
      <c r="BJ96" s="35"/>
      <c r="BK96" s="35">
        <v>0</v>
      </c>
      <c r="BL96" s="35"/>
      <c r="BM96" s="35">
        <f t="shared" si="15"/>
        <v>0</v>
      </c>
      <c r="BN96" s="54" t="s">
        <v>347</v>
      </c>
    </row>
    <row r="97" spans="1:67" ht="12.75" hidden="1" customHeight="1">
      <c r="A97" s="35" t="s">
        <v>126</v>
      </c>
      <c r="C97" s="35" t="s">
        <v>27</v>
      </c>
      <c r="D97" s="35"/>
      <c r="E97" s="35">
        <f t="shared" si="19"/>
        <v>0</v>
      </c>
      <c r="F97" s="35"/>
      <c r="G97" s="35">
        <v>0</v>
      </c>
      <c r="H97" s="35"/>
      <c r="I97" s="35">
        <v>0</v>
      </c>
      <c r="J97" s="35"/>
      <c r="K97" s="35">
        <f t="shared" si="20"/>
        <v>0</v>
      </c>
      <c r="L97" s="35"/>
      <c r="M97" s="35">
        <v>0</v>
      </c>
      <c r="N97" s="35"/>
      <c r="O97" s="35">
        <v>0</v>
      </c>
      <c r="P97" s="35"/>
      <c r="Q97" s="35">
        <v>0</v>
      </c>
      <c r="R97" s="35"/>
      <c r="S97" s="35">
        <v>0</v>
      </c>
      <c r="T97" s="35"/>
      <c r="U97" s="35">
        <v>0</v>
      </c>
      <c r="V97" s="35"/>
      <c r="W97" s="35">
        <f t="shared" si="18"/>
        <v>0</v>
      </c>
      <c r="X97" s="35"/>
      <c r="Y97" s="35" t="s">
        <v>126</v>
      </c>
      <c r="Z97" s="55"/>
      <c r="AA97" s="35" t="s">
        <v>27</v>
      </c>
      <c r="AB97" s="35"/>
      <c r="AC97" s="35">
        <v>0</v>
      </c>
      <c r="AD97" s="35"/>
      <c r="AE97" s="35">
        <v>0</v>
      </c>
      <c r="AF97" s="35"/>
      <c r="AG97" s="35">
        <v>0</v>
      </c>
      <c r="AH97" s="35"/>
      <c r="AI97" s="45">
        <f t="shared" si="23"/>
        <v>0</v>
      </c>
      <c r="AJ97" s="45"/>
      <c r="AK97" s="35">
        <v>0</v>
      </c>
      <c r="AL97" s="35"/>
      <c r="AM97" s="35">
        <v>0</v>
      </c>
      <c r="AN97" s="35"/>
      <c r="AO97" s="35">
        <v>0</v>
      </c>
      <c r="AP97" s="35"/>
      <c r="AQ97" s="35">
        <v>0</v>
      </c>
      <c r="AR97" s="35"/>
      <c r="AS97" s="45">
        <f t="shared" si="17"/>
        <v>0</v>
      </c>
      <c r="AT97" s="45"/>
      <c r="AU97" s="35">
        <v>0</v>
      </c>
      <c r="AV97" s="35"/>
      <c r="AW97" s="35">
        <v>0</v>
      </c>
      <c r="AX97" s="35"/>
      <c r="AY97" s="35">
        <f t="shared" si="21"/>
        <v>0</v>
      </c>
      <c r="AZ97" s="35"/>
      <c r="BA97" s="35" t="s">
        <v>126</v>
      </c>
      <c r="BB97" s="55"/>
      <c r="BC97" s="35" t="s">
        <v>27</v>
      </c>
      <c r="BD97" s="35"/>
      <c r="BE97" s="35">
        <v>0</v>
      </c>
      <c r="BF97" s="35"/>
      <c r="BG97" s="35">
        <v>0</v>
      </c>
      <c r="BH97" s="35"/>
      <c r="BI97" s="35">
        <v>0</v>
      </c>
      <c r="BJ97" s="35"/>
      <c r="BK97" s="35">
        <v>0</v>
      </c>
      <c r="BL97" s="35"/>
      <c r="BM97" s="35">
        <f t="shared" si="15"/>
        <v>0</v>
      </c>
      <c r="BN97" s="54" t="s">
        <v>347</v>
      </c>
    </row>
    <row r="98" spans="1:67" ht="12.75" hidden="1" customHeight="1">
      <c r="A98" s="35" t="s">
        <v>127</v>
      </c>
      <c r="C98" s="35" t="s">
        <v>43</v>
      </c>
      <c r="D98" s="35"/>
      <c r="E98" s="35">
        <f t="shared" si="19"/>
        <v>0</v>
      </c>
      <c r="F98" s="35"/>
      <c r="G98" s="35">
        <v>0</v>
      </c>
      <c r="H98" s="35"/>
      <c r="I98" s="35">
        <v>0</v>
      </c>
      <c r="J98" s="35"/>
      <c r="K98" s="35">
        <f t="shared" si="20"/>
        <v>0</v>
      </c>
      <c r="L98" s="35"/>
      <c r="M98" s="35">
        <v>0</v>
      </c>
      <c r="N98" s="35"/>
      <c r="O98" s="35">
        <v>0</v>
      </c>
      <c r="P98" s="35"/>
      <c r="Q98" s="35">
        <v>0</v>
      </c>
      <c r="R98" s="35"/>
      <c r="S98" s="35">
        <v>0</v>
      </c>
      <c r="T98" s="35"/>
      <c r="U98" s="35">
        <v>0</v>
      </c>
      <c r="V98" s="35"/>
      <c r="W98" s="35">
        <f t="shared" si="18"/>
        <v>0</v>
      </c>
      <c r="X98" s="35"/>
      <c r="Y98" s="35" t="s">
        <v>127</v>
      </c>
      <c r="Z98" s="55"/>
      <c r="AA98" s="35" t="s">
        <v>43</v>
      </c>
      <c r="AB98" s="35"/>
      <c r="AC98" s="35">
        <v>0</v>
      </c>
      <c r="AD98" s="35"/>
      <c r="AE98" s="35">
        <v>0</v>
      </c>
      <c r="AF98" s="35"/>
      <c r="AG98" s="35">
        <v>0</v>
      </c>
      <c r="AH98" s="35"/>
      <c r="AI98" s="45">
        <f t="shared" si="23"/>
        <v>0</v>
      </c>
      <c r="AJ98" s="45"/>
      <c r="AK98" s="35">
        <v>0</v>
      </c>
      <c r="AL98" s="35"/>
      <c r="AM98" s="35">
        <v>0</v>
      </c>
      <c r="AN98" s="35"/>
      <c r="AO98" s="35">
        <v>0</v>
      </c>
      <c r="AP98" s="35"/>
      <c r="AQ98" s="35">
        <v>0</v>
      </c>
      <c r="AR98" s="35"/>
      <c r="AS98" s="45">
        <f t="shared" si="17"/>
        <v>0</v>
      </c>
      <c r="AT98" s="45"/>
      <c r="AU98" s="35">
        <v>0</v>
      </c>
      <c r="AV98" s="35"/>
      <c r="AW98" s="35">
        <v>0</v>
      </c>
      <c r="AX98" s="35"/>
      <c r="AY98" s="35">
        <f t="shared" si="21"/>
        <v>0</v>
      </c>
      <c r="AZ98" s="35"/>
      <c r="BA98" s="35" t="s">
        <v>127</v>
      </c>
      <c r="BB98" s="55"/>
      <c r="BC98" s="35" t="s">
        <v>43</v>
      </c>
      <c r="BD98" s="35"/>
      <c r="BE98" s="35">
        <v>0</v>
      </c>
      <c r="BF98" s="35"/>
      <c r="BG98" s="35">
        <v>0</v>
      </c>
      <c r="BH98" s="35"/>
      <c r="BI98" s="35">
        <v>0</v>
      </c>
      <c r="BJ98" s="35"/>
      <c r="BK98" s="35">
        <v>0</v>
      </c>
      <c r="BL98" s="35"/>
      <c r="BM98" s="35">
        <f t="shared" ref="BM98:BM129" si="24">SUM(BE98:BK98)</f>
        <v>0</v>
      </c>
      <c r="BN98" s="54" t="s">
        <v>347</v>
      </c>
    </row>
    <row r="99" spans="1:67" ht="12.75" hidden="1" customHeight="1">
      <c r="A99" s="35" t="s">
        <v>128</v>
      </c>
      <c r="C99" s="35" t="s">
        <v>119</v>
      </c>
      <c r="D99" s="35"/>
      <c r="E99" s="35">
        <f t="shared" si="19"/>
        <v>0</v>
      </c>
      <c r="F99" s="35"/>
      <c r="G99" s="35">
        <v>0</v>
      </c>
      <c r="H99" s="35"/>
      <c r="I99" s="35">
        <v>0</v>
      </c>
      <c r="J99" s="35"/>
      <c r="K99" s="35">
        <f t="shared" si="20"/>
        <v>0</v>
      </c>
      <c r="L99" s="35"/>
      <c r="M99" s="35">
        <v>0</v>
      </c>
      <c r="N99" s="35"/>
      <c r="O99" s="35">
        <v>0</v>
      </c>
      <c r="P99" s="35"/>
      <c r="Q99" s="35">
        <v>0</v>
      </c>
      <c r="R99" s="35"/>
      <c r="S99" s="35">
        <v>0</v>
      </c>
      <c r="T99" s="35"/>
      <c r="U99" s="35">
        <v>0</v>
      </c>
      <c r="V99" s="35"/>
      <c r="W99" s="35">
        <f t="shared" si="18"/>
        <v>0</v>
      </c>
      <c r="X99" s="35"/>
      <c r="Y99" s="35" t="s">
        <v>128</v>
      </c>
      <c r="Z99" s="55"/>
      <c r="AA99" s="35" t="s">
        <v>119</v>
      </c>
      <c r="AB99" s="35"/>
      <c r="AC99" s="35">
        <v>0</v>
      </c>
      <c r="AD99" s="35"/>
      <c r="AE99" s="35">
        <v>0</v>
      </c>
      <c r="AF99" s="35"/>
      <c r="AG99" s="35">
        <v>0</v>
      </c>
      <c r="AH99" s="35"/>
      <c r="AI99" s="45">
        <f t="shared" si="23"/>
        <v>0</v>
      </c>
      <c r="AJ99" s="45"/>
      <c r="AK99" s="35">
        <v>0</v>
      </c>
      <c r="AL99" s="35"/>
      <c r="AM99" s="35">
        <v>0</v>
      </c>
      <c r="AN99" s="35"/>
      <c r="AO99" s="35">
        <v>0</v>
      </c>
      <c r="AP99" s="35"/>
      <c r="AQ99" s="35">
        <v>0</v>
      </c>
      <c r="AR99" s="35"/>
      <c r="AS99" s="45">
        <f t="shared" si="17"/>
        <v>0</v>
      </c>
      <c r="AT99" s="45"/>
      <c r="AU99" s="35">
        <v>0</v>
      </c>
      <c r="AV99" s="35"/>
      <c r="AW99" s="35">
        <v>0</v>
      </c>
      <c r="AX99" s="35"/>
      <c r="AY99" s="35">
        <f t="shared" si="21"/>
        <v>0</v>
      </c>
      <c r="AZ99" s="35"/>
      <c r="BA99" s="35" t="s">
        <v>128</v>
      </c>
      <c r="BB99" s="55"/>
      <c r="BC99" s="35" t="s">
        <v>119</v>
      </c>
      <c r="BD99" s="35"/>
      <c r="BE99" s="35">
        <v>0</v>
      </c>
      <c r="BF99" s="35"/>
      <c r="BG99" s="35">
        <v>0</v>
      </c>
      <c r="BH99" s="35"/>
      <c r="BI99" s="35">
        <v>0</v>
      </c>
      <c r="BJ99" s="35"/>
      <c r="BK99" s="35">
        <v>0</v>
      </c>
      <c r="BL99" s="35"/>
      <c r="BM99" s="35">
        <f t="shared" si="24"/>
        <v>0</v>
      </c>
      <c r="BN99" s="54" t="s">
        <v>347</v>
      </c>
    </row>
    <row r="100" spans="1:67" ht="12.75" customHeight="1">
      <c r="A100" s="35" t="s">
        <v>129</v>
      </c>
      <c r="B100" s="55"/>
      <c r="C100" s="35" t="s">
        <v>80</v>
      </c>
      <c r="D100" s="35"/>
      <c r="E100" s="35">
        <f t="shared" si="19"/>
        <v>4565575</v>
      </c>
      <c r="F100" s="35"/>
      <c r="G100" s="35">
        <v>3030724</v>
      </c>
      <c r="H100" s="35"/>
      <c r="I100" s="35">
        <v>7596299</v>
      </c>
      <c r="J100" s="35"/>
      <c r="K100" s="35">
        <f t="shared" si="20"/>
        <v>2387366</v>
      </c>
      <c r="L100" s="35"/>
      <c r="M100" s="35">
        <v>64398</v>
      </c>
      <c r="N100" s="35"/>
      <c r="O100" s="35">
        <v>2451764</v>
      </c>
      <c r="P100" s="35"/>
      <c r="Q100" s="35">
        <v>851978</v>
      </c>
      <c r="R100" s="35"/>
      <c r="S100" s="35">
        <v>0</v>
      </c>
      <c r="T100" s="35"/>
      <c r="U100" s="35">
        <v>4292557</v>
      </c>
      <c r="V100" s="35"/>
      <c r="W100" s="35">
        <f t="shared" si="18"/>
        <v>5144535</v>
      </c>
      <c r="X100" s="35"/>
      <c r="Y100" s="35" t="s">
        <v>129</v>
      </c>
      <c r="Z100" s="55"/>
      <c r="AA100" s="35" t="s">
        <v>80</v>
      </c>
      <c r="AB100" s="35"/>
      <c r="AC100" s="35">
        <v>5800983</v>
      </c>
      <c r="AD100" s="35"/>
      <c r="AE100" s="35">
        <f>5621612-306803</f>
        <v>5314809</v>
      </c>
      <c r="AF100" s="35"/>
      <c r="AG100" s="35">
        <v>306803</v>
      </c>
      <c r="AH100" s="35"/>
      <c r="AI100" s="45">
        <f t="shared" si="23"/>
        <v>179371</v>
      </c>
      <c r="AJ100" s="45"/>
      <c r="AK100" s="35">
        <v>-199438</v>
      </c>
      <c r="AL100" s="35"/>
      <c r="AM100" s="35">
        <v>0</v>
      </c>
      <c r="AN100" s="35"/>
      <c r="AO100" s="35">
        <v>0</v>
      </c>
      <c r="AP100" s="35"/>
      <c r="AQ100" s="35">
        <v>0</v>
      </c>
      <c r="AR100" s="35"/>
      <c r="AS100" s="45">
        <f t="shared" si="17"/>
        <v>-20067</v>
      </c>
      <c r="AT100" s="45"/>
      <c r="AU100" s="35">
        <v>0</v>
      </c>
      <c r="AV100" s="35"/>
      <c r="AW100" s="35">
        <v>0</v>
      </c>
      <c r="AX100" s="35"/>
      <c r="AY100" s="35">
        <f t="shared" si="21"/>
        <v>2178209</v>
      </c>
      <c r="AZ100" s="35"/>
      <c r="BA100" s="35" t="s">
        <v>129</v>
      </c>
      <c r="BB100" s="55"/>
      <c r="BC100" s="35" t="s">
        <v>80</v>
      </c>
      <c r="BD100" s="35"/>
      <c r="BE100" s="35">
        <v>0</v>
      </c>
      <c r="BF100" s="35"/>
      <c r="BG100" s="35">
        <v>0</v>
      </c>
      <c r="BH100" s="35"/>
      <c r="BI100" s="35">
        <v>0</v>
      </c>
      <c r="BJ100" s="35"/>
      <c r="BK100" s="35">
        <f>64398+36024</f>
        <v>100422</v>
      </c>
      <c r="BL100" s="35"/>
      <c r="BM100" s="35">
        <f t="shared" si="24"/>
        <v>100422</v>
      </c>
      <c r="BN100" s="54" t="s">
        <v>347</v>
      </c>
    </row>
    <row r="101" spans="1:67" ht="12.75" hidden="1" customHeight="1">
      <c r="A101" s="35" t="s">
        <v>130</v>
      </c>
      <c r="C101" s="35" t="s">
        <v>66</v>
      </c>
      <c r="D101" s="35"/>
      <c r="E101" s="35">
        <f t="shared" si="19"/>
        <v>0</v>
      </c>
      <c r="F101" s="35"/>
      <c r="G101" s="35">
        <v>0</v>
      </c>
      <c r="H101" s="35"/>
      <c r="I101" s="35">
        <v>0</v>
      </c>
      <c r="J101" s="35"/>
      <c r="K101" s="35">
        <f t="shared" si="20"/>
        <v>0</v>
      </c>
      <c r="L101" s="35"/>
      <c r="M101" s="35">
        <v>0</v>
      </c>
      <c r="N101" s="35"/>
      <c r="O101" s="35">
        <v>0</v>
      </c>
      <c r="P101" s="35"/>
      <c r="Q101" s="35">
        <v>0</v>
      </c>
      <c r="R101" s="35"/>
      <c r="S101" s="35">
        <v>0</v>
      </c>
      <c r="T101" s="35"/>
      <c r="U101" s="35">
        <v>0</v>
      </c>
      <c r="V101" s="35"/>
      <c r="W101" s="35">
        <f t="shared" si="18"/>
        <v>0</v>
      </c>
      <c r="X101" s="35"/>
      <c r="Y101" s="35" t="s">
        <v>130</v>
      </c>
      <c r="Z101" s="55"/>
      <c r="AA101" s="35" t="s">
        <v>66</v>
      </c>
      <c r="AB101" s="35"/>
      <c r="AC101" s="35">
        <v>0</v>
      </c>
      <c r="AD101" s="35"/>
      <c r="AE101" s="35">
        <v>0</v>
      </c>
      <c r="AF101" s="35"/>
      <c r="AG101" s="35">
        <v>0</v>
      </c>
      <c r="AH101" s="35"/>
      <c r="AI101" s="45">
        <f t="shared" si="23"/>
        <v>0</v>
      </c>
      <c r="AJ101" s="45"/>
      <c r="AK101" s="35">
        <v>0</v>
      </c>
      <c r="AL101" s="35"/>
      <c r="AM101" s="35">
        <v>0</v>
      </c>
      <c r="AN101" s="35"/>
      <c r="AO101" s="35">
        <v>0</v>
      </c>
      <c r="AP101" s="35"/>
      <c r="AQ101" s="35">
        <v>0</v>
      </c>
      <c r="AR101" s="35"/>
      <c r="AS101" s="45">
        <f t="shared" si="17"/>
        <v>0</v>
      </c>
      <c r="AT101" s="45"/>
      <c r="AU101" s="35">
        <v>0</v>
      </c>
      <c r="AV101" s="35"/>
      <c r="AW101" s="35">
        <v>0</v>
      </c>
      <c r="AX101" s="35"/>
      <c r="AY101" s="35">
        <f t="shared" si="21"/>
        <v>0</v>
      </c>
      <c r="AZ101" s="35"/>
      <c r="BA101" s="35" t="s">
        <v>130</v>
      </c>
      <c r="BB101" s="55"/>
      <c r="BC101" s="35" t="s">
        <v>66</v>
      </c>
      <c r="BD101" s="35"/>
      <c r="BE101" s="35">
        <v>0</v>
      </c>
      <c r="BF101" s="35"/>
      <c r="BG101" s="35">
        <v>0</v>
      </c>
      <c r="BH101" s="35"/>
      <c r="BI101" s="35">
        <v>0</v>
      </c>
      <c r="BJ101" s="35"/>
      <c r="BK101" s="35">
        <v>0</v>
      </c>
      <c r="BL101" s="35"/>
      <c r="BM101" s="35">
        <f t="shared" si="24"/>
        <v>0</v>
      </c>
      <c r="BN101" s="54" t="s">
        <v>347</v>
      </c>
    </row>
    <row r="102" spans="1:67" ht="12.75" customHeight="1">
      <c r="A102" s="35" t="s">
        <v>131</v>
      </c>
      <c r="C102" s="35" t="s">
        <v>13</v>
      </c>
      <c r="D102" s="35"/>
      <c r="E102" s="35">
        <f t="shared" si="19"/>
        <v>21713175</v>
      </c>
      <c r="F102" s="35"/>
      <c r="G102" s="35">
        <v>8251081</v>
      </c>
      <c r="H102" s="35"/>
      <c r="I102" s="35">
        <v>29964256</v>
      </c>
      <c r="J102" s="35"/>
      <c r="K102" s="35">
        <f t="shared" si="20"/>
        <v>5269001</v>
      </c>
      <c r="L102" s="35"/>
      <c r="M102" s="35">
        <v>2861226</v>
      </c>
      <c r="N102" s="35"/>
      <c r="O102" s="35">
        <v>8130227</v>
      </c>
      <c r="P102" s="35"/>
      <c r="Q102" s="35">
        <v>3838066</v>
      </c>
      <c r="R102" s="35"/>
      <c r="S102" s="35">
        <v>0</v>
      </c>
      <c r="T102" s="35"/>
      <c r="U102" s="35">
        <v>17995963</v>
      </c>
      <c r="V102" s="35"/>
      <c r="W102" s="35">
        <f t="shared" si="18"/>
        <v>21834029</v>
      </c>
      <c r="X102" s="35"/>
      <c r="Y102" s="35" t="s">
        <v>131</v>
      </c>
      <c r="Z102" s="55"/>
      <c r="AA102" s="35" t="s">
        <v>13</v>
      </c>
      <c r="AB102" s="35"/>
      <c r="AC102" s="35">
        <v>18583056</v>
      </c>
      <c r="AD102" s="35"/>
      <c r="AE102" s="35">
        <f>17730863-405624</f>
        <v>17325239</v>
      </c>
      <c r="AF102" s="35"/>
      <c r="AG102" s="35">
        <v>405624</v>
      </c>
      <c r="AH102" s="35"/>
      <c r="AI102" s="45">
        <f t="shared" si="23"/>
        <v>852193</v>
      </c>
      <c r="AJ102" s="45"/>
      <c r="AK102" s="35">
        <v>-73674</v>
      </c>
      <c r="AL102" s="35"/>
      <c r="AM102" s="35">
        <v>14902</v>
      </c>
      <c r="AN102" s="35"/>
      <c r="AO102" s="35">
        <v>0</v>
      </c>
      <c r="AP102" s="35"/>
      <c r="AQ102" s="35">
        <v>0</v>
      </c>
      <c r="AR102" s="35"/>
      <c r="AS102" s="45">
        <f t="shared" si="17"/>
        <v>793421</v>
      </c>
      <c r="AT102" s="45"/>
      <c r="AU102" s="35">
        <v>0</v>
      </c>
      <c r="AV102" s="35"/>
      <c r="AW102" s="35">
        <v>0</v>
      </c>
      <c r="AX102" s="35"/>
      <c r="AY102" s="35">
        <f t="shared" si="21"/>
        <v>16444174</v>
      </c>
      <c r="AZ102" s="35"/>
      <c r="BA102" s="35" t="s">
        <v>131</v>
      </c>
      <c r="BB102" s="55"/>
      <c r="BC102" s="35" t="s">
        <v>13</v>
      </c>
      <c r="BD102" s="35"/>
      <c r="BE102" s="35">
        <f>2520000+115000</f>
        <v>2635000</v>
      </c>
      <c r="BF102" s="35"/>
      <c r="BG102" s="35">
        <v>0</v>
      </c>
      <c r="BH102" s="35"/>
      <c r="BI102" s="35">
        <v>0</v>
      </c>
      <c r="BJ102" s="35"/>
      <c r="BK102" s="35">
        <f>341226+229501</f>
        <v>570727</v>
      </c>
      <c r="BL102" s="35"/>
      <c r="BM102" s="35">
        <f t="shared" si="24"/>
        <v>3205727</v>
      </c>
      <c r="BN102" s="54" t="s">
        <v>347</v>
      </c>
    </row>
    <row r="103" spans="1:67" ht="12.75" hidden="1" customHeight="1">
      <c r="A103" s="35" t="s">
        <v>38</v>
      </c>
      <c r="C103" s="35" t="s">
        <v>132</v>
      </c>
      <c r="D103" s="35"/>
      <c r="E103" s="35">
        <f t="shared" si="19"/>
        <v>0</v>
      </c>
      <c r="F103" s="35"/>
      <c r="G103" s="35">
        <v>0</v>
      </c>
      <c r="H103" s="35"/>
      <c r="I103" s="35">
        <v>0</v>
      </c>
      <c r="J103" s="35"/>
      <c r="K103" s="35">
        <f t="shared" si="20"/>
        <v>0</v>
      </c>
      <c r="L103" s="35"/>
      <c r="M103" s="35">
        <v>0</v>
      </c>
      <c r="N103" s="35"/>
      <c r="O103" s="35">
        <v>0</v>
      </c>
      <c r="P103" s="35"/>
      <c r="Q103" s="35">
        <v>0</v>
      </c>
      <c r="R103" s="35"/>
      <c r="S103" s="35">
        <v>0</v>
      </c>
      <c r="T103" s="35"/>
      <c r="U103" s="35">
        <v>0</v>
      </c>
      <c r="V103" s="35"/>
      <c r="W103" s="35">
        <f t="shared" si="18"/>
        <v>0</v>
      </c>
      <c r="X103" s="35"/>
      <c r="Y103" s="35" t="s">
        <v>38</v>
      </c>
      <c r="Z103" s="55"/>
      <c r="AA103" s="35" t="s">
        <v>132</v>
      </c>
      <c r="AB103" s="35"/>
      <c r="AC103" s="35">
        <v>0</v>
      </c>
      <c r="AD103" s="35"/>
      <c r="AE103" s="35">
        <v>0</v>
      </c>
      <c r="AF103" s="35"/>
      <c r="AG103" s="35">
        <v>0</v>
      </c>
      <c r="AH103" s="35"/>
      <c r="AI103" s="45">
        <f t="shared" si="23"/>
        <v>0</v>
      </c>
      <c r="AJ103" s="45"/>
      <c r="AK103" s="35">
        <v>0</v>
      </c>
      <c r="AL103" s="35"/>
      <c r="AM103" s="35">
        <v>0</v>
      </c>
      <c r="AN103" s="35"/>
      <c r="AO103" s="35">
        <v>0</v>
      </c>
      <c r="AP103" s="35"/>
      <c r="AQ103" s="35">
        <v>0</v>
      </c>
      <c r="AR103" s="35"/>
      <c r="AS103" s="45">
        <f t="shared" ref="AS103:AS108" si="25">+AI103+AK103+AM103-AO103+AQ103</f>
        <v>0</v>
      </c>
      <c r="AT103" s="45"/>
      <c r="AU103" s="35">
        <v>0</v>
      </c>
      <c r="AV103" s="35"/>
      <c r="AW103" s="35">
        <v>0</v>
      </c>
      <c r="AX103" s="35"/>
      <c r="AY103" s="35">
        <f t="shared" si="21"/>
        <v>0</v>
      </c>
      <c r="AZ103" s="35"/>
      <c r="BA103" s="35" t="s">
        <v>38</v>
      </c>
      <c r="BB103" s="55"/>
      <c r="BC103" s="35" t="s">
        <v>132</v>
      </c>
      <c r="BD103" s="35"/>
      <c r="BE103" s="35">
        <v>0</v>
      </c>
      <c r="BF103" s="35"/>
      <c r="BG103" s="35">
        <v>0</v>
      </c>
      <c r="BH103" s="35"/>
      <c r="BI103" s="35">
        <v>0</v>
      </c>
      <c r="BJ103" s="35"/>
      <c r="BK103" s="35">
        <v>0</v>
      </c>
      <c r="BL103" s="35"/>
      <c r="BM103" s="35">
        <f t="shared" si="24"/>
        <v>0</v>
      </c>
      <c r="BN103" s="54" t="s">
        <v>347</v>
      </c>
    </row>
    <row r="104" spans="1:67" ht="12.75" hidden="1" customHeight="1">
      <c r="A104" s="35" t="s">
        <v>133</v>
      </c>
      <c r="C104" s="35" t="s">
        <v>27</v>
      </c>
      <c r="D104" s="35"/>
      <c r="E104" s="35">
        <f t="shared" si="19"/>
        <v>0</v>
      </c>
      <c r="F104" s="35"/>
      <c r="G104" s="35">
        <v>0</v>
      </c>
      <c r="H104" s="35"/>
      <c r="I104" s="35">
        <v>0</v>
      </c>
      <c r="J104" s="35"/>
      <c r="K104" s="35">
        <f t="shared" si="20"/>
        <v>0</v>
      </c>
      <c r="L104" s="35"/>
      <c r="M104" s="35">
        <v>0</v>
      </c>
      <c r="N104" s="35"/>
      <c r="O104" s="35">
        <v>0</v>
      </c>
      <c r="P104" s="35"/>
      <c r="Q104" s="35">
        <v>0</v>
      </c>
      <c r="R104" s="35"/>
      <c r="S104" s="35">
        <v>0</v>
      </c>
      <c r="T104" s="35"/>
      <c r="U104" s="35">
        <v>0</v>
      </c>
      <c r="V104" s="35"/>
      <c r="W104" s="35">
        <f t="shared" si="18"/>
        <v>0</v>
      </c>
      <c r="X104" s="35"/>
      <c r="Y104" s="35" t="s">
        <v>133</v>
      </c>
      <c r="Z104" s="55"/>
      <c r="AA104" s="35" t="s">
        <v>27</v>
      </c>
      <c r="AB104" s="35"/>
      <c r="AC104" s="35">
        <v>0</v>
      </c>
      <c r="AD104" s="35"/>
      <c r="AE104" s="35">
        <v>0</v>
      </c>
      <c r="AF104" s="35"/>
      <c r="AG104" s="35">
        <v>0</v>
      </c>
      <c r="AH104" s="35"/>
      <c r="AI104" s="45">
        <v>0</v>
      </c>
      <c r="AJ104" s="45"/>
      <c r="AK104" s="35">
        <v>0</v>
      </c>
      <c r="AL104" s="35"/>
      <c r="AM104" s="35">
        <v>0</v>
      </c>
      <c r="AN104" s="35"/>
      <c r="AO104" s="35">
        <v>0</v>
      </c>
      <c r="AP104" s="35"/>
      <c r="AQ104" s="35">
        <v>0</v>
      </c>
      <c r="AR104" s="35"/>
      <c r="AS104" s="45">
        <f t="shared" si="25"/>
        <v>0</v>
      </c>
      <c r="AT104" s="45"/>
      <c r="AU104" s="35">
        <v>0</v>
      </c>
      <c r="AV104" s="35"/>
      <c r="AW104" s="35">
        <v>0</v>
      </c>
      <c r="AX104" s="35"/>
      <c r="AY104" s="35">
        <f t="shared" si="21"/>
        <v>0</v>
      </c>
      <c r="AZ104" s="35"/>
      <c r="BA104" s="35" t="s">
        <v>133</v>
      </c>
      <c r="BB104" s="55"/>
      <c r="BC104" s="35" t="s">
        <v>27</v>
      </c>
      <c r="BD104" s="35"/>
      <c r="BE104" s="35">
        <v>0</v>
      </c>
      <c r="BF104" s="35"/>
      <c r="BG104" s="35">
        <v>0</v>
      </c>
      <c r="BH104" s="35"/>
      <c r="BI104" s="35">
        <v>0</v>
      </c>
      <c r="BJ104" s="35"/>
      <c r="BK104" s="35">
        <v>0</v>
      </c>
      <c r="BL104" s="35"/>
      <c r="BM104" s="35">
        <f t="shared" si="24"/>
        <v>0</v>
      </c>
      <c r="BN104" s="54" t="s">
        <v>347</v>
      </c>
    </row>
    <row r="105" spans="1:67" ht="12.75" hidden="1" customHeight="1">
      <c r="A105" s="35" t="s">
        <v>134</v>
      </c>
      <c r="C105" s="35" t="s">
        <v>135</v>
      </c>
      <c r="D105" s="35"/>
      <c r="E105" s="35">
        <f t="shared" si="19"/>
        <v>0</v>
      </c>
      <c r="F105" s="35"/>
      <c r="G105" s="35">
        <v>0</v>
      </c>
      <c r="H105" s="35"/>
      <c r="I105" s="35">
        <v>0</v>
      </c>
      <c r="J105" s="35"/>
      <c r="K105" s="35">
        <f t="shared" si="20"/>
        <v>0</v>
      </c>
      <c r="L105" s="35"/>
      <c r="M105" s="35">
        <v>0</v>
      </c>
      <c r="N105" s="35"/>
      <c r="O105" s="35">
        <v>0</v>
      </c>
      <c r="P105" s="35"/>
      <c r="Q105" s="35">
        <v>0</v>
      </c>
      <c r="R105" s="35"/>
      <c r="S105" s="35">
        <v>0</v>
      </c>
      <c r="T105" s="35"/>
      <c r="U105" s="35">
        <v>0</v>
      </c>
      <c r="V105" s="35"/>
      <c r="W105" s="35">
        <f t="shared" si="18"/>
        <v>0</v>
      </c>
      <c r="X105" s="35"/>
      <c r="Y105" s="35" t="s">
        <v>134</v>
      </c>
      <c r="Z105" s="55"/>
      <c r="AA105" s="35" t="s">
        <v>135</v>
      </c>
      <c r="AB105" s="35"/>
      <c r="AC105" s="35">
        <v>0</v>
      </c>
      <c r="AD105" s="35"/>
      <c r="AE105" s="35">
        <v>0</v>
      </c>
      <c r="AF105" s="35"/>
      <c r="AG105" s="35">
        <v>0</v>
      </c>
      <c r="AH105" s="35"/>
      <c r="AI105" s="45">
        <f>+AC105-AE105-AG105</f>
        <v>0</v>
      </c>
      <c r="AJ105" s="45"/>
      <c r="AK105" s="35">
        <v>0</v>
      </c>
      <c r="AL105" s="35"/>
      <c r="AM105" s="35">
        <v>0</v>
      </c>
      <c r="AN105" s="35"/>
      <c r="AO105" s="35">
        <v>0</v>
      </c>
      <c r="AP105" s="35"/>
      <c r="AQ105" s="35">
        <v>0</v>
      </c>
      <c r="AR105" s="35"/>
      <c r="AS105" s="45">
        <f t="shared" si="25"/>
        <v>0</v>
      </c>
      <c r="AT105" s="45"/>
      <c r="AU105" s="35">
        <v>0</v>
      </c>
      <c r="AV105" s="35"/>
      <c r="AW105" s="35">
        <v>0</v>
      </c>
      <c r="AX105" s="35"/>
      <c r="AY105" s="35">
        <f t="shared" si="21"/>
        <v>0</v>
      </c>
      <c r="AZ105" s="35"/>
      <c r="BA105" s="35" t="s">
        <v>134</v>
      </c>
      <c r="BB105" s="55"/>
      <c r="BC105" s="35" t="s">
        <v>135</v>
      </c>
      <c r="BD105" s="35"/>
      <c r="BE105" s="35">
        <v>0</v>
      </c>
      <c r="BF105" s="35"/>
      <c r="BG105" s="35">
        <v>0</v>
      </c>
      <c r="BH105" s="35"/>
      <c r="BI105" s="35">
        <v>0</v>
      </c>
      <c r="BJ105" s="35"/>
      <c r="BK105" s="35">
        <v>0</v>
      </c>
      <c r="BL105" s="35"/>
      <c r="BM105" s="35">
        <f t="shared" si="24"/>
        <v>0</v>
      </c>
      <c r="BN105" s="54" t="s">
        <v>347</v>
      </c>
    </row>
    <row r="106" spans="1:67" ht="12.75" customHeight="1">
      <c r="A106" s="35" t="s">
        <v>136</v>
      </c>
      <c r="C106" s="35" t="s">
        <v>136</v>
      </c>
      <c r="D106" s="35"/>
      <c r="E106" s="35">
        <f t="shared" si="19"/>
        <v>12576960</v>
      </c>
      <c r="F106" s="35"/>
      <c r="G106" s="35">
        <v>8839763</v>
      </c>
      <c r="H106" s="35"/>
      <c r="I106" s="35">
        <v>21416723</v>
      </c>
      <c r="J106" s="35"/>
      <c r="K106" s="35">
        <f t="shared" si="20"/>
        <v>534316</v>
      </c>
      <c r="L106" s="35"/>
      <c r="M106" s="35">
        <v>4622294</v>
      </c>
      <c r="N106" s="35"/>
      <c r="O106" s="35">
        <v>5156610</v>
      </c>
      <c r="P106" s="35"/>
      <c r="Q106" s="35">
        <v>3556439</v>
      </c>
      <c r="R106" s="35"/>
      <c r="S106" s="35">
        <v>0</v>
      </c>
      <c r="T106" s="35"/>
      <c r="U106" s="35">
        <v>12703674</v>
      </c>
      <c r="V106" s="35"/>
      <c r="W106" s="35">
        <f t="shared" si="18"/>
        <v>16260113</v>
      </c>
      <c r="X106" s="35"/>
      <c r="Y106" s="35" t="s">
        <v>136</v>
      </c>
      <c r="Z106" s="55"/>
      <c r="AA106" s="35" t="s">
        <v>136</v>
      </c>
      <c r="AB106" s="35"/>
      <c r="AC106" s="35">
        <v>17775630</v>
      </c>
      <c r="AD106" s="35"/>
      <c r="AE106" s="35">
        <f>13906679-260292</f>
        <v>13646387</v>
      </c>
      <c r="AF106" s="35"/>
      <c r="AG106" s="35">
        <v>260292</v>
      </c>
      <c r="AH106" s="35"/>
      <c r="AI106" s="45">
        <f>+AC106-AE106-AG106</f>
        <v>3868951</v>
      </c>
      <c r="AJ106" s="45"/>
      <c r="AK106" s="35">
        <v>-74639</v>
      </c>
      <c r="AL106" s="35"/>
      <c r="AM106" s="35">
        <v>0</v>
      </c>
      <c r="AN106" s="35"/>
      <c r="AO106" s="35">
        <v>0</v>
      </c>
      <c r="AP106" s="35"/>
      <c r="AQ106" s="35">
        <v>0</v>
      </c>
      <c r="AR106" s="35"/>
      <c r="AS106" s="45">
        <f t="shared" si="25"/>
        <v>3794312</v>
      </c>
      <c r="AT106" s="45"/>
      <c r="AU106" s="35">
        <v>0</v>
      </c>
      <c r="AV106" s="35"/>
      <c r="AW106" s="35">
        <v>0</v>
      </c>
      <c r="AX106" s="35"/>
      <c r="AY106" s="35">
        <f t="shared" si="21"/>
        <v>12042644</v>
      </c>
      <c r="AZ106" s="35"/>
      <c r="BA106" s="35" t="s">
        <v>136</v>
      </c>
      <c r="BB106" s="55"/>
      <c r="BC106" s="35" t="s">
        <v>136</v>
      </c>
      <c r="BD106" s="35"/>
      <c r="BE106" s="35">
        <v>0</v>
      </c>
      <c r="BF106" s="35"/>
      <c r="BG106" s="35">
        <f>4227000+290000</f>
        <v>4517000</v>
      </c>
      <c r="BH106" s="35"/>
      <c r="BI106" s="35">
        <v>0</v>
      </c>
      <c r="BJ106" s="35"/>
      <c r="BK106" s="35">
        <f>254412+140882+100000+57197</f>
        <v>552491</v>
      </c>
      <c r="BL106" s="35"/>
      <c r="BM106" s="35">
        <f t="shared" si="24"/>
        <v>5069491</v>
      </c>
      <c r="BN106" s="54" t="s">
        <v>347</v>
      </c>
    </row>
    <row r="107" spans="1:67" ht="12.75" hidden="1" customHeight="1">
      <c r="A107" s="35" t="s">
        <v>137</v>
      </c>
      <c r="C107" s="35" t="s">
        <v>22</v>
      </c>
      <c r="D107" s="35"/>
      <c r="E107" s="35">
        <f t="shared" si="19"/>
        <v>0</v>
      </c>
      <c r="F107" s="35"/>
      <c r="G107" s="35">
        <v>0</v>
      </c>
      <c r="H107" s="35"/>
      <c r="I107" s="35">
        <v>0</v>
      </c>
      <c r="J107" s="35"/>
      <c r="K107" s="35">
        <f t="shared" si="20"/>
        <v>0</v>
      </c>
      <c r="L107" s="35"/>
      <c r="M107" s="35">
        <v>0</v>
      </c>
      <c r="N107" s="35"/>
      <c r="O107" s="35">
        <v>0</v>
      </c>
      <c r="P107" s="35"/>
      <c r="Q107" s="35">
        <v>0</v>
      </c>
      <c r="R107" s="35"/>
      <c r="S107" s="35">
        <v>0</v>
      </c>
      <c r="T107" s="35"/>
      <c r="U107" s="35">
        <v>0</v>
      </c>
      <c r="V107" s="35"/>
      <c r="W107" s="35">
        <f t="shared" ref="W107:W138" si="26">SUM(Q107:U107)</f>
        <v>0</v>
      </c>
      <c r="X107" s="35"/>
      <c r="Y107" s="35" t="s">
        <v>137</v>
      </c>
      <c r="Z107" s="55"/>
      <c r="AA107" s="35" t="s">
        <v>22</v>
      </c>
      <c r="AB107" s="35"/>
      <c r="AC107" s="35">
        <v>0</v>
      </c>
      <c r="AD107" s="35"/>
      <c r="AE107" s="35">
        <v>0</v>
      </c>
      <c r="AF107" s="35"/>
      <c r="AG107" s="35">
        <v>0</v>
      </c>
      <c r="AH107" s="35"/>
      <c r="AI107" s="45">
        <v>0</v>
      </c>
      <c r="AJ107" s="45"/>
      <c r="AK107" s="35">
        <v>0</v>
      </c>
      <c r="AL107" s="35"/>
      <c r="AM107" s="35">
        <v>0</v>
      </c>
      <c r="AN107" s="35"/>
      <c r="AO107" s="35">
        <v>0</v>
      </c>
      <c r="AP107" s="35"/>
      <c r="AQ107" s="35">
        <v>0</v>
      </c>
      <c r="AR107" s="35"/>
      <c r="AS107" s="45">
        <f t="shared" si="25"/>
        <v>0</v>
      </c>
      <c r="AT107" s="45"/>
      <c r="AU107" s="35">
        <v>0</v>
      </c>
      <c r="AV107" s="35"/>
      <c r="AW107" s="35">
        <v>0</v>
      </c>
      <c r="AX107" s="35"/>
      <c r="AY107" s="35">
        <f t="shared" si="21"/>
        <v>0</v>
      </c>
      <c r="AZ107" s="35"/>
      <c r="BA107" s="35" t="s">
        <v>137</v>
      </c>
      <c r="BB107" s="55"/>
      <c r="BC107" s="35" t="s">
        <v>22</v>
      </c>
      <c r="BD107" s="35"/>
      <c r="BE107" s="35">
        <v>0</v>
      </c>
      <c r="BF107" s="35"/>
      <c r="BG107" s="35">
        <v>0</v>
      </c>
      <c r="BH107" s="35"/>
      <c r="BI107" s="35">
        <v>0</v>
      </c>
      <c r="BJ107" s="35"/>
      <c r="BK107" s="35">
        <v>0</v>
      </c>
      <c r="BL107" s="35"/>
      <c r="BM107" s="35">
        <f t="shared" si="24"/>
        <v>0</v>
      </c>
      <c r="BN107" s="54" t="s">
        <v>347</v>
      </c>
    </row>
    <row r="108" spans="1:67" ht="12.75" hidden="1" customHeight="1">
      <c r="A108" s="35" t="s">
        <v>138</v>
      </c>
      <c r="C108" s="35" t="s">
        <v>139</v>
      </c>
      <c r="D108" s="35"/>
      <c r="E108" s="35">
        <f t="shared" si="19"/>
        <v>0</v>
      </c>
      <c r="F108" s="35"/>
      <c r="G108" s="35">
        <v>0</v>
      </c>
      <c r="H108" s="35"/>
      <c r="I108" s="35">
        <v>0</v>
      </c>
      <c r="J108" s="35"/>
      <c r="K108" s="35">
        <f t="shared" si="20"/>
        <v>0</v>
      </c>
      <c r="L108" s="35"/>
      <c r="M108" s="35">
        <v>0</v>
      </c>
      <c r="N108" s="35"/>
      <c r="O108" s="35">
        <v>0</v>
      </c>
      <c r="P108" s="35"/>
      <c r="Q108" s="35">
        <v>0</v>
      </c>
      <c r="R108" s="35"/>
      <c r="S108" s="35">
        <v>0</v>
      </c>
      <c r="T108" s="35"/>
      <c r="U108" s="35">
        <v>0</v>
      </c>
      <c r="V108" s="35"/>
      <c r="W108" s="35">
        <f t="shared" si="26"/>
        <v>0</v>
      </c>
      <c r="X108" s="35"/>
      <c r="Y108" s="35" t="s">
        <v>138</v>
      </c>
      <c r="Z108" s="55"/>
      <c r="AA108" s="35" t="s">
        <v>139</v>
      </c>
      <c r="AB108" s="35"/>
      <c r="AC108" s="35">
        <v>0</v>
      </c>
      <c r="AD108" s="35"/>
      <c r="AE108" s="35">
        <v>0</v>
      </c>
      <c r="AF108" s="35"/>
      <c r="AG108" s="35">
        <v>0</v>
      </c>
      <c r="AH108" s="35"/>
      <c r="AI108" s="45">
        <f t="shared" ref="AI108:AI117" si="27">+AC108-AE108-AG108</f>
        <v>0</v>
      </c>
      <c r="AJ108" s="45"/>
      <c r="AK108" s="35">
        <v>0</v>
      </c>
      <c r="AL108" s="35"/>
      <c r="AM108" s="35">
        <v>0</v>
      </c>
      <c r="AN108" s="35"/>
      <c r="AO108" s="35">
        <v>0</v>
      </c>
      <c r="AP108" s="35"/>
      <c r="AQ108" s="35">
        <v>0</v>
      </c>
      <c r="AR108" s="35"/>
      <c r="AS108" s="45">
        <f t="shared" si="25"/>
        <v>0</v>
      </c>
      <c r="AT108" s="45"/>
      <c r="AU108" s="35">
        <v>0</v>
      </c>
      <c r="AV108" s="35"/>
      <c r="AW108" s="35">
        <v>0</v>
      </c>
      <c r="AX108" s="35"/>
      <c r="AY108" s="35">
        <f t="shared" si="21"/>
        <v>0</v>
      </c>
      <c r="AZ108" s="35"/>
      <c r="BA108" s="35" t="s">
        <v>138</v>
      </c>
      <c r="BB108" s="55"/>
      <c r="BC108" s="35" t="s">
        <v>139</v>
      </c>
      <c r="BD108" s="35"/>
      <c r="BE108" s="35">
        <v>0</v>
      </c>
      <c r="BF108" s="35"/>
      <c r="BG108" s="35">
        <v>0</v>
      </c>
      <c r="BH108" s="35"/>
      <c r="BI108" s="35">
        <v>0</v>
      </c>
      <c r="BJ108" s="35"/>
      <c r="BK108" s="35">
        <v>0</v>
      </c>
      <c r="BL108" s="35"/>
      <c r="BM108" s="35">
        <f t="shared" si="24"/>
        <v>0</v>
      </c>
      <c r="BN108" s="54" t="s">
        <v>347</v>
      </c>
    </row>
    <row r="109" spans="1:67" ht="12.75" hidden="1" customHeight="1">
      <c r="A109" s="35" t="s">
        <v>140</v>
      </c>
      <c r="C109" s="35" t="s">
        <v>66</v>
      </c>
      <c r="D109" s="35"/>
      <c r="E109" s="35">
        <f t="shared" si="19"/>
        <v>0</v>
      </c>
      <c r="F109" s="35"/>
      <c r="G109" s="35">
        <v>0</v>
      </c>
      <c r="H109" s="35"/>
      <c r="I109" s="35">
        <v>0</v>
      </c>
      <c r="J109" s="35"/>
      <c r="K109" s="35">
        <f t="shared" si="20"/>
        <v>0</v>
      </c>
      <c r="L109" s="35"/>
      <c r="M109" s="35">
        <v>0</v>
      </c>
      <c r="N109" s="35"/>
      <c r="O109" s="35">
        <v>0</v>
      </c>
      <c r="P109" s="35"/>
      <c r="Q109" s="35">
        <v>0</v>
      </c>
      <c r="R109" s="35"/>
      <c r="S109" s="35">
        <v>0</v>
      </c>
      <c r="T109" s="35"/>
      <c r="U109" s="35">
        <v>0</v>
      </c>
      <c r="V109" s="35"/>
      <c r="W109" s="35">
        <f t="shared" si="26"/>
        <v>0</v>
      </c>
      <c r="X109" s="35"/>
      <c r="Y109" s="35" t="s">
        <v>140</v>
      </c>
      <c r="Z109" s="55"/>
      <c r="AA109" s="35" t="s">
        <v>66</v>
      </c>
      <c r="AB109" s="35"/>
      <c r="AC109" s="35">
        <v>0</v>
      </c>
      <c r="AD109" s="35"/>
      <c r="AE109" s="35">
        <v>0</v>
      </c>
      <c r="AF109" s="35"/>
      <c r="AG109" s="35">
        <v>0</v>
      </c>
      <c r="AH109" s="35"/>
      <c r="AI109" s="45">
        <f t="shared" si="27"/>
        <v>0</v>
      </c>
      <c r="AJ109" s="45"/>
      <c r="AK109" s="35">
        <v>0</v>
      </c>
      <c r="AL109" s="35"/>
      <c r="AM109" s="35">
        <v>0</v>
      </c>
      <c r="AN109" s="35"/>
      <c r="AO109" s="35">
        <v>0</v>
      </c>
      <c r="AP109" s="35"/>
      <c r="AQ109" s="35">
        <v>0</v>
      </c>
      <c r="AR109" s="35"/>
      <c r="AS109" s="45">
        <v>0</v>
      </c>
      <c r="AT109" s="45"/>
      <c r="AU109" s="35">
        <v>0</v>
      </c>
      <c r="AV109" s="35"/>
      <c r="AW109" s="35">
        <v>0</v>
      </c>
      <c r="AX109" s="35"/>
      <c r="AY109" s="35">
        <v>0</v>
      </c>
      <c r="AZ109" s="35"/>
      <c r="BA109" s="35" t="s">
        <v>140</v>
      </c>
      <c r="BB109" s="55"/>
      <c r="BC109" s="35" t="s">
        <v>66</v>
      </c>
      <c r="BD109" s="35"/>
      <c r="BE109" s="35">
        <v>0</v>
      </c>
      <c r="BF109" s="35"/>
      <c r="BG109" s="35">
        <v>0</v>
      </c>
      <c r="BH109" s="35"/>
      <c r="BI109" s="35">
        <v>0</v>
      </c>
      <c r="BJ109" s="35"/>
      <c r="BK109" s="35">
        <v>0</v>
      </c>
      <c r="BL109" s="35"/>
      <c r="BM109" s="35">
        <f t="shared" si="24"/>
        <v>0</v>
      </c>
      <c r="BN109" s="54" t="s">
        <v>347</v>
      </c>
    </row>
    <row r="110" spans="1:67" ht="12.75" hidden="1" customHeight="1">
      <c r="A110" s="35" t="s">
        <v>141</v>
      </c>
      <c r="C110" s="35" t="s">
        <v>27</v>
      </c>
      <c r="D110" s="35"/>
      <c r="E110" s="35">
        <f t="shared" si="19"/>
        <v>0</v>
      </c>
      <c r="F110" s="35"/>
      <c r="G110" s="35">
        <v>0</v>
      </c>
      <c r="H110" s="35"/>
      <c r="I110" s="35">
        <v>0</v>
      </c>
      <c r="J110" s="35"/>
      <c r="K110" s="35">
        <f t="shared" si="20"/>
        <v>0</v>
      </c>
      <c r="L110" s="35"/>
      <c r="M110" s="35">
        <v>0</v>
      </c>
      <c r="N110" s="35"/>
      <c r="O110" s="35">
        <v>0</v>
      </c>
      <c r="P110" s="35"/>
      <c r="Q110" s="35">
        <v>0</v>
      </c>
      <c r="R110" s="35"/>
      <c r="S110" s="35">
        <v>0</v>
      </c>
      <c r="T110" s="35"/>
      <c r="U110" s="35">
        <v>0</v>
      </c>
      <c r="V110" s="35"/>
      <c r="W110" s="35">
        <f t="shared" si="26"/>
        <v>0</v>
      </c>
      <c r="X110" s="35"/>
      <c r="Y110" s="35" t="s">
        <v>141</v>
      </c>
      <c r="Z110" s="55"/>
      <c r="AA110" s="35" t="s">
        <v>27</v>
      </c>
      <c r="AB110" s="35"/>
      <c r="AC110" s="35">
        <v>0</v>
      </c>
      <c r="AD110" s="35"/>
      <c r="AE110" s="35">
        <v>0</v>
      </c>
      <c r="AF110" s="35"/>
      <c r="AG110" s="35">
        <v>0</v>
      </c>
      <c r="AH110" s="35"/>
      <c r="AI110" s="45">
        <f t="shared" si="27"/>
        <v>0</v>
      </c>
      <c r="AJ110" s="45"/>
      <c r="AK110" s="35">
        <v>0</v>
      </c>
      <c r="AL110" s="35"/>
      <c r="AM110" s="35">
        <v>0</v>
      </c>
      <c r="AN110" s="35"/>
      <c r="AO110" s="35">
        <v>0</v>
      </c>
      <c r="AP110" s="35"/>
      <c r="AQ110" s="35">
        <v>0</v>
      </c>
      <c r="AR110" s="35"/>
      <c r="AS110" s="45">
        <f t="shared" ref="AS110:AS141" si="28">+AI110+AK110+AM110-AO110+AQ110</f>
        <v>0</v>
      </c>
      <c r="AT110" s="45"/>
      <c r="AU110" s="35">
        <v>0</v>
      </c>
      <c r="AV110" s="35"/>
      <c r="AW110" s="35">
        <v>0</v>
      </c>
      <c r="AX110" s="35"/>
      <c r="AY110" s="35">
        <f t="shared" ref="AY110:AY141" si="29">+E110-K110</f>
        <v>0</v>
      </c>
      <c r="AZ110" s="35"/>
      <c r="BA110" s="35" t="s">
        <v>141</v>
      </c>
      <c r="BB110" s="55"/>
      <c r="BC110" s="35" t="s">
        <v>27</v>
      </c>
      <c r="BD110" s="35"/>
      <c r="BE110" s="35">
        <v>0</v>
      </c>
      <c r="BF110" s="35"/>
      <c r="BG110" s="35">
        <v>0</v>
      </c>
      <c r="BH110" s="35"/>
      <c r="BI110" s="35">
        <v>0</v>
      </c>
      <c r="BJ110" s="35"/>
      <c r="BK110" s="35">
        <v>0</v>
      </c>
      <c r="BL110" s="35"/>
      <c r="BM110" s="35">
        <f t="shared" si="24"/>
        <v>0</v>
      </c>
      <c r="BN110" s="54" t="s">
        <v>347</v>
      </c>
      <c r="BO110" s="55" t="s">
        <v>372</v>
      </c>
    </row>
    <row r="111" spans="1:67" ht="12.75" hidden="1" customHeight="1">
      <c r="A111" s="35" t="s">
        <v>142</v>
      </c>
      <c r="C111" s="35" t="s">
        <v>102</v>
      </c>
      <c r="D111" s="35"/>
      <c r="E111" s="35">
        <f t="shared" si="19"/>
        <v>0</v>
      </c>
      <c r="F111" s="35"/>
      <c r="G111" s="35">
        <v>0</v>
      </c>
      <c r="H111" s="35"/>
      <c r="I111" s="35">
        <v>0</v>
      </c>
      <c r="J111" s="35"/>
      <c r="K111" s="35">
        <f t="shared" si="20"/>
        <v>0</v>
      </c>
      <c r="L111" s="35"/>
      <c r="M111" s="35">
        <v>0</v>
      </c>
      <c r="N111" s="35"/>
      <c r="O111" s="35">
        <v>0</v>
      </c>
      <c r="P111" s="35"/>
      <c r="Q111" s="35">
        <v>0</v>
      </c>
      <c r="R111" s="35"/>
      <c r="S111" s="35">
        <v>0</v>
      </c>
      <c r="T111" s="35"/>
      <c r="U111" s="35">
        <v>0</v>
      </c>
      <c r="V111" s="35"/>
      <c r="W111" s="35">
        <f t="shared" si="26"/>
        <v>0</v>
      </c>
      <c r="X111" s="35"/>
      <c r="Y111" s="35" t="s">
        <v>142</v>
      </c>
      <c r="Z111" s="55"/>
      <c r="AA111" s="35" t="s">
        <v>102</v>
      </c>
      <c r="AB111" s="35"/>
      <c r="AC111" s="35">
        <v>0</v>
      </c>
      <c r="AD111" s="35"/>
      <c r="AE111" s="35">
        <v>0</v>
      </c>
      <c r="AF111" s="35"/>
      <c r="AG111" s="35">
        <v>0</v>
      </c>
      <c r="AH111" s="35"/>
      <c r="AI111" s="45">
        <f t="shared" si="27"/>
        <v>0</v>
      </c>
      <c r="AJ111" s="45"/>
      <c r="AK111" s="35">
        <v>0</v>
      </c>
      <c r="AL111" s="35"/>
      <c r="AM111" s="35">
        <v>0</v>
      </c>
      <c r="AN111" s="35"/>
      <c r="AO111" s="35">
        <v>0</v>
      </c>
      <c r="AP111" s="35"/>
      <c r="AQ111" s="35">
        <v>0</v>
      </c>
      <c r="AR111" s="35"/>
      <c r="AS111" s="45">
        <f t="shared" si="28"/>
        <v>0</v>
      </c>
      <c r="AT111" s="45"/>
      <c r="AU111" s="35">
        <v>0</v>
      </c>
      <c r="AV111" s="35"/>
      <c r="AW111" s="35">
        <v>0</v>
      </c>
      <c r="AX111" s="35"/>
      <c r="AY111" s="35">
        <f t="shared" si="29"/>
        <v>0</v>
      </c>
      <c r="AZ111" s="35"/>
      <c r="BA111" s="35" t="s">
        <v>142</v>
      </c>
      <c r="BB111" s="55"/>
      <c r="BC111" s="35" t="s">
        <v>102</v>
      </c>
      <c r="BD111" s="35"/>
      <c r="BE111" s="35">
        <v>0</v>
      </c>
      <c r="BF111" s="35"/>
      <c r="BG111" s="35">
        <v>0</v>
      </c>
      <c r="BH111" s="35"/>
      <c r="BI111" s="35">
        <v>0</v>
      </c>
      <c r="BJ111" s="35"/>
      <c r="BK111" s="35">
        <v>0</v>
      </c>
      <c r="BL111" s="35"/>
      <c r="BM111" s="35">
        <f t="shared" si="24"/>
        <v>0</v>
      </c>
      <c r="BN111" s="54" t="s">
        <v>347</v>
      </c>
      <c r="BO111" s="55" t="s">
        <v>372</v>
      </c>
    </row>
    <row r="112" spans="1:67" ht="12.75" customHeight="1">
      <c r="A112" s="35" t="s">
        <v>143</v>
      </c>
      <c r="C112" s="35" t="s">
        <v>111</v>
      </c>
      <c r="D112" s="35"/>
      <c r="E112" s="35">
        <f t="shared" si="19"/>
        <v>18830365</v>
      </c>
      <c r="F112" s="35"/>
      <c r="G112" s="35">
        <v>21131399</v>
      </c>
      <c r="H112" s="35"/>
      <c r="I112" s="35">
        <v>39961764</v>
      </c>
      <c r="J112" s="35"/>
      <c r="K112" s="35">
        <f t="shared" si="20"/>
        <v>1540899</v>
      </c>
      <c r="L112" s="35"/>
      <c r="M112" s="35">
        <v>17107214</v>
      </c>
      <c r="N112" s="35"/>
      <c r="O112" s="35">
        <v>18648113</v>
      </c>
      <c r="P112" s="35"/>
      <c r="Q112" s="35">
        <v>-1046989</v>
      </c>
      <c r="R112" s="35"/>
      <c r="S112" s="35">
        <f>492500+4687965</f>
        <v>5180465</v>
      </c>
      <c r="T112" s="35"/>
      <c r="U112" s="35">
        <v>17180175</v>
      </c>
      <c r="V112" s="35"/>
      <c r="W112" s="35">
        <f t="shared" si="26"/>
        <v>21313651</v>
      </c>
      <c r="X112" s="35"/>
      <c r="Y112" s="35" t="s">
        <v>143</v>
      </c>
      <c r="Z112" s="55"/>
      <c r="AA112" s="35" t="s">
        <v>111</v>
      </c>
      <c r="AB112" s="35"/>
      <c r="AC112" s="35">
        <v>28875708</v>
      </c>
      <c r="AD112" s="35"/>
      <c r="AE112" s="35">
        <f>25246939-1167311</f>
        <v>24079628</v>
      </c>
      <c r="AF112" s="35"/>
      <c r="AG112" s="35">
        <v>1167311</v>
      </c>
      <c r="AH112" s="35"/>
      <c r="AI112" s="45">
        <f t="shared" si="27"/>
        <v>3628769</v>
      </c>
      <c r="AJ112" s="45"/>
      <c r="AK112" s="35">
        <v>-446038</v>
      </c>
      <c r="AL112" s="35"/>
      <c r="AM112" s="35">
        <v>61043</v>
      </c>
      <c r="AN112" s="35"/>
      <c r="AO112" s="35">
        <v>21820</v>
      </c>
      <c r="AP112" s="35"/>
      <c r="AQ112" s="35">
        <v>105649</v>
      </c>
      <c r="AR112" s="35"/>
      <c r="AS112" s="45">
        <f t="shared" si="28"/>
        <v>3327603</v>
      </c>
      <c r="AT112" s="45"/>
      <c r="AU112" s="35">
        <v>0</v>
      </c>
      <c r="AV112" s="35"/>
      <c r="AW112" s="35">
        <v>0</v>
      </c>
      <c r="AX112" s="35"/>
      <c r="AY112" s="35">
        <f t="shared" si="29"/>
        <v>17289466</v>
      </c>
      <c r="AZ112" s="35"/>
      <c r="BA112" s="35" t="s">
        <v>143</v>
      </c>
      <c r="BB112" s="55"/>
      <c r="BC112" s="35" t="s">
        <v>111</v>
      </c>
      <c r="BD112" s="35"/>
      <c r="BE112" s="35">
        <v>0</v>
      </c>
      <c r="BF112" s="35"/>
      <c r="BG112" s="35">
        <f>16554721+1235000</f>
        <v>17789721</v>
      </c>
      <c r="BH112" s="35"/>
      <c r="BI112" s="35">
        <v>0</v>
      </c>
      <c r="BJ112" s="35"/>
      <c r="BK112" s="35">
        <f>443202+109291+39380</f>
        <v>591873</v>
      </c>
      <c r="BL112" s="35"/>
      <c r="BM112" s="35">
        <f t="shared" si="24"/>
        <v>18381594</v>
      </c>
      <c r="BN112" s="54" t="s">
        <v>347</v>
      </c>
      <c r="BO112" s="55" t="s">
        <v>315</v>
      </c>
    </row>
    <row r="113" spans="1:66" ht="12.75" hidden="1" customHeight="1">
      <c r="A113" s="35" t="s">
        <v>144</v>
      </c>
      <c r="C113" s="35" t="s">
        <v>88</v>
      </c>
      <c r="D113" s="35"/>
      <c r="E113" s="35">
        <f t="shared" si="19"/>
        <v>0</v>
      </c>
      <c r="F113" s="35"/>
      <c r="G113" s="35">
        <v>0</v>
      </c>
      <c r="H113" s="35"/>
      <c r="I113" s="35">
        <v>0</v>
      </c>
      <c r="J113" s="35"/>
      <c r="K113" s="35">
        <f t="shared" si="20"/>
        <v>0</v>
      </c>
      <c r="L113" s="35"/>
      <c r="M113" s="35">
        <v>0</v>
      </c>
      <c r="N113" s="35"/>
      <c r="O113" s="35">
        <v>0</v>
      </c>
      <c r="P113" s="35"/>
      <c r="Q113" s="35">
        <v>0</v>
      </c>
      <c r="R113" s="35"/>
      <c r="S113" s="35">
        <v>0</v>
      </c>
      <c r="T113" s="35"/>
      <c r="U113" s="35">
        <v>0</v>
      </c>
      <c r="V113" s="35"/>
      <c r="W113" s="35">
        <f t="shared" si="26"/>
        <v>0</v>
      </c>
      <c r="X113" s="35"/>
      <c r="Y113" s="35" t="s">
        <v>144</v>
      </c>
      <c r="Z113" s="55"/>
      <c r="AA113" s="35" t="s">
        <v>88</v>
      </c>
      <c r="AB113" s="35"/>
      <c r="AC113" s="35">
        <v>0</v>
      </c>
      <c r="AD113" s="35"/>
      <c r="AE113" s="35">
        <v>0</v>
      </c>
      <c r="AF113" s="35"/>
      <c r="AG113" s="35">
        <v>0</v>
      </c>
      <c r="AH113" s="35"/>
      <c r="AI113" s="45">
        <f t="shared" si="27"/>
        <v>0</v>
      </c>
      <c r="AJ113" s="45"/>
      <c r="AK113" s="35">
        <v>0</v>
      </c>
      <c r="AL113" s="35"/>
      <c r="AM113" s="35">
        <v>0</v>
      </c>
      <c r="AN113" s="35"/>
      <c r="AO113" s="35">
        <v>0</v>
      </c>
      <c r="AP113" s="35"/>
      <c r="AQ113" s="35">
        <v>0</v>
      </c>
      <c r="AR113" s="35"/>
      <c r="AS113" s="45">
        <f t="shared" si="28"/>
        <v>0</v>
      </c>
      <c r="AT113" s="45"/>
      <c r="AU113" s="35">
        <v>0</v>
      </c>
      <c r="AV113" s="35"/>
      <c r="AW113" s="35">
        <v>0</v>
      </c>
      <c r="AX113" s="35"/>
      <c r="AY113" s="35">
        <f t="shared" si="29"/>
        <v>0</v>
      </c>
      <c r="AZ113" s="35"/>
      <c r="BA113" s="35" t="s">
        <v>144</v>
      </c>
      <c r="BB113" s="55"/>
      <c r="BC113" s="35" t="s">
        <v>88</v>
      </c>
      <c r="BD113" s="35"/>
      <c r="BE113" s="35">
        <v>0</v>
      </c>
      <c r="BF113" s="35"/>
      <c r="BG113" s="35">
        <v>0</v>
      </c>
      <c r="BH113" s="35"/>
      <c r="BI113" s="35">
        <v>0</v>
      </c>
      <c r="BJ113" s="35"/>
      <c r="BK113" s="35">
        <v>0</v>
      </c>
      <c r="BL113" s="35"/>
      <c r="BM113" s="35">
        <f t="shared" si="24"/>
        <v>0</v>
      </c>
      <c r="BN113" s="54" t="s">
        <v>347</v>
      </c>
    </row>
    <row r="114" spans="1:66" ht="12.75" hidden="1" customHeight="1">
      <c r="A114" s="35" t="s">
        <v>36</v>
      </c>
      <c r="C114" s="35" t="s">
        <v>145</v>
      </c>
      <c r="D114" s="35"/>
      <c r="E114" s="35">
        <f t="shared" si="19"/>
        <v>0</v>
      </c>
      <c r="F114" s="35"/>
      <c r="G114" s="35">
        <v>0</v>
      </c>
      <c r="H114" s="35"/>
      <c r="I114" s="35">
        <v>0</v>
      </c>
      <c r="J114" s="35"/>
      <c r="K114" s="35">
        <f t="shared" si="20"/>
        <v>0</v>
      </c>
      <c r="L114" s="35"/>
      <c r="M114" s="35">
        <v>0</v>
      </c>
      <c r="N114" s="35"/>
      <c r="O114" s="35">
        <v>0</v>
      </c>
      <c r="P114" s="35"/>
      <c r="Q114" s="35">
        <v>0</v>
      </c>
      <c r="R114" s="35"/>
      <c r="S114" s="35">
        <v>0</v>
      </c>
      <c r="T114" s="35"/>
      <c r="U114" s="35">
        <v>0</v>
      </c>
      <c r="V114" s="35"/>
      <c r="W114" s="35">
        <f t="shared" si="26"/>
        <v>0</v>
      </c>
      <c r="X114" s="35"/>
      <c r="Y114" s="35" t="s">
        <v>36</v>
      </c>
      <c r="Z114" s="55"/>
      <c r="AA114" s="35" t="s">
        <v>145</v>
      </c>
      <c r="AB114" s="35"/>
      <c r="AC114" s="35">
        <v>0</v>
      </c>
      <c r="AD114" s="35"/>
      <c r="AE114" s="35">
        <v>0</v>
      </c>
      <c r="AF114" s="35"/>
      <c r="AG114" s="35">
        <v>0</v>
      </c>
      <c r="AH114" s="35"/>
      <c r="AI114" s="45">
        <f t="shared" si="27"/>
        <v>0</v>
      </c>
      <c r="AJ114" s="45"/>
      <c r="AK114" s="35">
        <v>0</v>
      </c>
      <c r="AL114" s="35"/>
      <c r="AM114" s="35">
        <v>0</v>
      </c>
      <c r="AN114" s="35"/>
      <c r="AO114" s="35">
        <v>0</v>
      </c>
      <c r="AP114" s="35"/>
      <c r="AQ114" s="35">
        <v>0</v>
      </c>
      <c r="AR114" s="35"/>
      <c r="AS114" s="45">
        <f t="shared" si="28"/>
        <v>0</v>
      </c>
      <c r="AT114" s="45"/>
      <c r="AU114" s="35">
        <v>0</v>
      </c>
      <c r="AV114" s="35"/>
      <c r="AW114" s="35">
        <v>0</v>
      </c>
      <c r="AX114" s="35"/>
      <c r="AY114" s="35">
        <f t="shared" si="29"/>
        <v>0</v>
      </c>
      <c r="AZ114" s="35"/>
      <c r="BA114" s="35" t="s">
        <v>36</v>
      </c>
      <c r="BB114" s="55"/>
      <c r="BC114" s="35" t="s">
        <v>145</v>
      </c>
      <c r="BD114" s="35"/>
      <c r="BE114" s="35">
        <v>0</v>
      </c>
      <c r="BF114" s="35"/>
      <c r="BG114" s="35">
        <v>0</v>
      </c>
      <c r="BH114" s="35"/>
      <c r="BI114" s="35">
        <v>0</v>
      </c>
      <c r="BJ114" s="35"/>
      <c r="BK114" s="35">
        <v>0</v>
      </c>
      <c r="BL114" s="35"/>
      <c r="BM114" s="35">
        <f t="shared" si="24"/>
        <v>0</v>
      </c>
      <c r="BN114" s="54" t="s">
        <v>347</v>
      </c>
    </row>
    <row r="115" spans="1:66" ht="12.75" hidden="1" customHeight="1">
      <c r="A115" s="35" t="s">
        <v>146</v>
      </c>
      <c r="C115" s="35" t="s">
        <v>147</v>
      </c>
      <c r="D115" s="35"/>
      <c r="E115" s="35">
        <f t="shared" si="19"/>
        <v>0</v>
      </c>
      <c r="F115" s="35"/>
      <c r="G115" s="35">
        <v>0</v>
      </c>
      <c r="H115" s="35"/>
      <c r="I115" s="35">
        <v>0</v>
      </c>
      <c r="J115" s="35"/>
      <c r="K115" s="35">
        <f t="shared" si="20"/>
        <v>0</v>
      </c>
      <c r="L115" s="35"/>
      <c r="M115" s="35">
        <v>0</v>
      </c>
      <c r="N115" s="35"/>
      <c r="O115" s="35">
        <v>0</v>
      </c>
      <c r="P115" s="35"/>
      <c r="Q115" s="35">
        <v>0</v>
      </c>
      <c r="R115" s="35"/>
      <c r="S115" s="35">
        <v>0</v>
      </c>
      <c r="T115" s="35"/>
      <c r="U115" s="35">
        <v>0</v>
      </c>
      <c r="V115" s="35"/>
      <c r="W115" s="35">
        <f t="shared" si="26"/>
        <v>0</v>
      </c>
      <c r="X115" s="35"/>
      <c r="Y115" s="35" t="s">
        <v>146</v>
      </c>
      <c r="Z115" s="55"/>
      <c r="AA115" s="35" t="s">
        <v>147</v>
      </c>
      <c r="AB115" s="35"/>
      <c r="AC115" s="35">
        <v>0</v>
      </c>
      <c r="AD115" s="35"/>
      <c r="AE115" s="35">
        <v>0</v>
      </c>
      <c r="AF115" s="35"/>
      <c r="AG115" s="35">
        <v>0</v>
      </c>
      <c r="AH115" s="35"/>
      <c r="AI115" s="45">
        <f t="shared" si="27"/>
        <v>0</v>
      </c>
      <c r="AJ115" s="45"/>
      <c r="AK115" s="35">
        <v>0</v>
      </c>
      <c r="AL115" s="35"/>
      <c r="AM115" s="35">
        <v>0</v>
      </c>
      <c r="AN115" s="35"/>
      <c r="AO115" s="35">
        <v>0</v>
      </c>
      <c r="AP115" s="35"/>
      <c r="AQ115" s="35">
        <v>0</v>
      </c>
      <c r="AR115" s="35"/>
      <c r="AS115" s="45">
        <f t="shared" si="28"/>
        <v>0</v>
      </c>
      <c r="AT115" s="45"/>
      <c r="AU115" s="35">
        <v>0</v>
      </c>
      <c r="AV115" s="35"/>
      <c r="AW115" s="35">
        <v>0</v>
      </c>
      <c r="AX115" s="35"/>
      <c r="AY115" s="35">
        <f t="shared" si="29"/>
        <v>0</v>
      </c>
      <c r="AZ115" s="35"/>
      <c r="BA115" s="35" t="s">
        <v>146</v>
      </c>
      <c r="BB115" s="55"/>
      <c r="BC115" s="35" t="s">
        <v>147</v>
      </c>
      <c r="BD115" s="35"/>
      <c r="BE115" s="35">
        <v>0</v>
      </c>
      <c r="BF115" s="35"/>
      <c r="BG115" s="35">
        <v>0</v>
      </c>
      <c r="BH115" s="35"/>
      <c r="BI115" s="35">
        <v>0</v>
      </c>
      <c r="BJ115" s="35"/>
      <c r="BK115" s="35">
        <v>0</v>
      </c>
      <c r="BL115" s="35"/>
      <c r="BM115" s="35">
        <f t="shared" si="24"/>
        <v>0</v>
      </c>
      <c r="BN115" s="54" t="s">
        <v>347</v>
      </c>
    </row>
    <row r="116" spans="1:66" ht="12.75" hidden="1" customHeight="1">
      <c r="A116" s="35" t="s">
        <v>17</v>
      </c>
      <c r="C116" s="35" t="s">
        <v>17</v>
      </c>
      <c r="D116" s="35"/>
      <c r="E116" s="35">
        <f t="shared" si="19"/>
        <v>0</v>
      </c>
      <c r="F116" s="35"/>
      <c r="G116" s="35">
        <v>0</v>
      </c>
      <c r="H116" s="35"/>
      <c r="I116" s="35">
        <v>0</v>
      </c>
      <c r="J116" s="35"/>
      <c r="K116" s="35">
        <f t="shared" si="20"/>
        <v>0</v>
      </c>
      <c r="L116" s="35"/>
      <c r="M116" s="35">
        <v>0</v>
      </c>
      <c r="N116" s="35"/>
      <c r="O116" s="35">
        <v>0</v>
      </c>
      <c r="P116" s="35"/>
      <c r="Q116" s="35">
        <v>0</v>
      </c>
      <c r="R116" s="35"/>
      <c r="S116" s="35">
        <v>0</v>
      </c>
      <c r="T116" s="35"/>
      <c r="U116" s="35">
        <v>0</v>
      </c>
      <c r="V116" s="35"/>
      <c r="W116" s="35">
        <f t="shared" si="26"/>
        <v>0</v>
      </c>
      <c r="X116" s="35"/>
      <c r="Y116" s="35" t="s">
        <v>17</v>
      </c>
      <c r="Z116" s="55"/>
      <c r="AA116" s="35" t="s">
        <v>17</v>
      </c>
      <c r="AB116" s="35"/>
      <c r="AC116" s="35">
        <v>0</v>
      </c>
      <c r="AD116" s="35"/>
      <c r="AE116" s="35">
        <v>0</v>
      </c>
      <c r="AF116" s="35"/>
      <c r="AG116" s="35">
        <v>0</v>
      </c>
      <c r="AH116" s="35"/>
      <c r="AI116" s="45">
        <f t="shared" si="27"/>
        <v>0</v>
      </c>
      <c r="AJ116" s="45"/>
      <c r="AK116" s="35">
        <v>0</v>
      </c>
      <c r="AL116" s="35"/>
      <c r="AM116" s="35">
        <v>0</v>
      </c>
      <c r="AN116" s="35"/>
      <c r="AO116" s="35">
        <v>0</v>
      </c>
      <c r="AP116" s="35"/>
      <c r="AQ116" s="35">
        <v>0</v>
      </c>
      <c r="AR116" s="35"/>
      <c r="AS116" s="45">
        <f t="shared" si="28"/>
        <v>0</v>
      </c>
      <c r="AT116" s="45"/>
      <c r="AU116" s="35">
        <v>0</v>
      </c>
      <c r="AV116" s="35"/>
      <c r="AW116" s="35">
        <v>0</v>
      </c>
      <c r="AX116" s="35"/>
      <c r="AY116" s="35">
        <f t="shared" si="29"/>
        <v>0</v>
      </c>
      <c r="AZ116" s="35"/>
      <c r="BA116" s="35" t="s">
        <v>17</v>
      </c>
      <c r="BB116" s="55"/>
      <c r="BC116" s="35" t="s">
        <v>17</v>
      </c>
      <c r="BD116" s="35"/>
      <c r="BE116" s="35">
        <v>0</v>
      </c>
      <c r="BF116" s="35"/>
      <c r="BG116" s="35">
        <v>0</v>
      </c>
      <c r="BH116" s="35"/>
      <c r="BI116" s="35">
        <v>0</v>
      </c>
      <c r="BJ116" s="35"/>
      <c r="BK116" s="35">
        <v>0</v>
      </c>
      <c r="BL116" s="35"/>
      <c r="BM116" s="35">
        <f t="shared" si="24"/>
        <v>0</v>
      </c>
      <c r="BN116" s="54" t="s">
        <v>347</v>
      </c>
    </row>
    <row r="117" spans="1:66" ht="12.75" hidden="1" customHeight="1">
      <c r="A117" s="35" t="s">
        <v>148</v>
      </c>
      <c r="C117" s="35" t="s">
        <v>15</v>
      </c>
      <c r="D117" s="35"/>
      <c r="E117" s="35">
        <f t="shared" si="19"/>
        <v>0</v>
      </c>
      <c r="F117" s="35"/>
      <c r="G117" s="35">
        <v>0</v>
      </c>
      <c r="H117" s="35"/>
      <c r="I117" s="35">
        <v>0</v>
      </c>
      <c r="J117" s="35"/>
      <c r="K117" s="35">
        <f t="shared" si="20"/>
        <v>0</v>
      </c>
      <c r="L117" s="35"/>
      <c r="M117" s="35">
        <v>0</v>
      </c>
      <c r="N117" s="35"/>
      <c r="O117" s="35">
        <v>0</v>
      </c>
      <c r="P117" s="35"/>
      <c r="Q117" s="35">
        <v>0</v>
      </c>
      <c r="R117" s="35"/>
      <c r="S117" s="35">
        <v>0</v>
      </c>
      <c r="T117" s="35"/>
      <c r="U117" s="35">
        <v>0</v>
      </c>
      <c r="V117" s="35"/>
      <c r="W117" s="35">
        <f t="shared" si="26"/>
        <v>0</v>
      </c>
      <c r="X117" s="35"/>
      <c r="Y117" s="35" t="s">
        <v>148</v>
      </c>
      <c r="Z117" s="55"/>
      <c r="AA117" s="35" t="s">
        <v>15</v>
      </c>
      <c r="AB117" s="35"/>
      <c r="AC117" s="35">
        <v>0</v>
      </c>
      <c r="AD117" s="35"/>
      <c r="AE117" s="35">
        <v>0</v>
      </c>
      <c r="AF117" s="35"/>
      <c r="AG117" s="35">
        <v>0</v>
      </c>
      <c r="AH117" s="35"/>
      <c r="AI117" s="45">
        <f t="shared" si="27"/>
        <v>0</v>
      </c>
      <c r="AJ117" s="45"/>
      <c r="AK117" s="35">
        <v>0</v>
      </c>
      <c r="AL117" s="35"/>
      <c r="AM117" s="35">
        <v>0</v>
      </c>
      <c r="AN117" s="35"/>
      <c r="AO117" s="35">
        <v>0</v>
      </c>
      <c r="AP117" s="35"/>
      <c r="AQ117" s="35">
        <v>0</v>
      </c>
      <c r="AR117" s="35"/>
      <c r="AS117" s="45">
        <f t="shared" si="28"/>
        <v>0</v>
      </c>
      <c r="AT117" s="45"/>
      <c r="AU117" s="35">
        <v>0</v>
      </c>
      <c r="AV117" s="35"/>
      <c r="AW117" s="35">
        <v>0</v>
      </c>
      <c r="AX117" s="35"/>
      <c r="AY117" s="35">
        <f t="shared" si="29"/>
        <v>0</v>
      </c>
      <c r="AZ117" s="35"/>
      <c r="BA117" s="35" t="s">
        <v>148</v>
      </c>
      <c r="BB117" s="55"/>
      <c r="BC117" s="35" t="s">
        <v>15</v>
      </c>
      <c r="BD117" s="35"/>
      <c r="BE117" s="35">
        <v>0</v>
      </c>
      <c r="BF117" s="35"/>
      <c r="BG117" s="35">
        <v>0</v>
      </c>
      <c r="BH117" s="35"/>
      <c r="BI117" s="35">
        <v>0</v>
      </c>
      <c r="BJ117" s="35"/>
      <c r="BK117" s="35">
        <v>0</v>
      </c>
      <c r="BL117" s="35"/>
      <c r="BM117" s="35">
        <f t="shared" si="24"/>
        <v>0</v>
      </c>
      <c r="BN117" s="54" t="s">
        <v>347</v>
      </c>
    </row>
    <row r="118" spans="1:66" ht="12.75" hidden="1" customHeight="1">
      <c r="A118" s="35" t="s">
        <v>149</v>
      </c>
      <c r="C118" s="35" t="s">
        <v>45</v>
      </c>
      <c r="D118" s="35"/>
      <c r="E118" s="35">
        <f t="shared" si="19"/>
        <v>0</v>
      </c>
      <c r="F118" s="35"/>
      <c r="G118" s="35">
        <v>0</v>
      </c>
      <c r="H118" s="35"/>
      <c r="I118" s="35">
        <v>0</v>
      </c>
      <c r="J118" s="35"/>
      <c r="K118" s="35">
        <f t="shared" si="20"/>
        <v>0</v>
      </c>
      <c r="L118" s="35"/>
      <c r="M118" s="35">
        <v>0</v>
      </c>
      <c r="N118" s="35"/>
      <c r="O118" s="35">
        <v>0</v>
      </c>
      <c r="P118" s="35"/>
      <c r="Q118" s="35">
        <v>0</v>
      </c>
      <c r="R118" s="35"/>
      <c r="S118" s="35">
        <v>0</v>
      </c>
      <c r="T118" s="35"/>
      <c r="U118" s="35">
        <v>0</v>
      </c>
      <c r="V118" s="35"/>
      <c r="W118" s="35">
        <f t="shared" si="26"/>
        <v>0</v>
      </c>
      <c r="X118" s="35"/>
      <c r="Y118" s="35" t="s">
        <v>149</v>
      </c>
      <c r="Z118" s="55"/>
      <c r="AA118" s="35" t="s">
        <v>45</v>
      </c>
      <c r="AB118" s="35"/>
      <c r="AC118" s="35">
        <v>0</v>
      </c>
      <c r="AD118" s="35"/>
      <c r="AE118" s="35">
        <v>0</v>
      </c>
      <c r="AF118" s="35"/>
      <c r="AG118" s="35">
        <v>0</v>
      </c>
      <c r="AH118" s="35"/>
      <c r="AI118" s="45">
        <v>0</v>
      </c>
      <c r="AJ118" s="45"/>
      <c r="AK118" s="35">
        <v>0</v>
      </c>
      <c r="AL118" s="35"/>
      <c r="AM118" s="35">
        <v>0</v>
      </c>
      <c r="AN118" s="35"/>
      <c r="AO118" s="35">
        <v>0</v>
      </c>
      <c r="AP118" s="35"/>
      <c r="AQ118" s="35">
        <v>0</v>
      </c>
      <c r="AR118" s="35"/>
      <c r="AS118" s="45">
        <f t="shared" si="28"/>
        <v>0</v>
      </c>
      <c r="AT118" s="45"/>
      <c r="AU118" s="35">
        <v>0</v>
      </c>
      <c r="AV118" s="35"/>
      <c r="AW118" s="35">
        <v>0</v>
      </c>
      <c r="AX118" s="35"/>
      <c r="AY118" s="35">
        <f t="shared" si="29"/>
        <v>0</v>
      </c>
      <c r="AZ118" s="35"/>
      <c r="BA118" s="35" t="s">
        <v>149</v>
      </c>
      <c r="BB118" s="55"/>
      <c r="BC118" s="35" t="s">
        <v>45</v>
      </c>
      <c r="BD118" s="35"/>
      <c r="BE118" s="35">
        <v>0</v>
      </c>
      <c r="BF118" s="35"/>
      <c r="BG118" s="35">
        <v>0</v>
      </c>
      <c r="BH118" s="35"/>
      <c r="BI118" s="35">
        <v>0</v>
      </c>
      <c r="BJ118" s="35"/>
      <c r="BK118" s="35">
        <v>0</v>
      </c>
      <c r="BL118" s="35"/>
      <c r="BM118" s="35">
        <f t="shared" si="24"/>
        <v>0</v>
      </c>
      <c r="BN118" s="54" t="s">
        <v>347</v>
      </c>
    </row>
    <row r="119" spans="1:66" ht="12.75" hidden="1" customHeight="1">
      <c r="A119" s="35" t="s">
        <v>150</v>
      </c>
      <c r="C119" s="35" t="s">
        <v>27</v>
      </c>
      <c r="D119" s="35"/>
      <c r="E119" s="35">
        <f t="shared" si="19"/>
        <v>0</v>
      </c>
      <c r="F119" s="35"/>
      <c r="G119" s="35">
        <v>0</v>
      </c>
      <c r="H119" s="35"/>
      <c r="I119" s="35">
        <v>0</v>
      </c>
      <c r="J119" s="35"/>
      <c r="K119" s="35">
        <f t="shared" si="20"/>
        <v>0</v>
      </c>
      <c r="L119" s="35"/>
      <c r="M119" s="35">
        <v>0</v>
      </c>
      <c r="N119" s="35"/>
      <c r="O119" s="35">
        <v>0</v>
      </c>
      <c r="P119" s="35"/>
      <c r="Q119" s="35">
        <v>0</v>
      </c>
      <c r="R119" s="35"/>
      <c r="S119" s="35">
        <v>0</v>
      </c>
      <c r="T119" s="35"/>
      <c r="U119" s="35">
        <v>0</v>
      </c>
      <c r="V119" s="35"/>
      <c r="W119" s="35">
        <f t="shared" si="26"/>
        <v>0</v>
      </c>
      <c r="X119" s="35"/>
      <c r="Y119" s="35" t="s">
        <v>150</v>
      </c>
      <c r="Z119" s="55"/>
      <c r="AA119" s="35" t="s">
        <v>27</v>
      </c>
      <c r="AB119" s="35"/>
      <c r="AC119" s="35">
        <v>0</v>
      </c>
      <c r="AD119" s="35"/>
      <c r="AE119" s="35">
        <v>0</v>
      </c>
      <c r="AF119" s="35"/>
      <c r="AG119" s="35">
        <v>0</v>
      </c>
      <c r="AH119" s="35"/>
      <c r="AI119" s="45">
        <f t="shared" ref="AI119:AI129" si="30">+AC119-AE119-AG119</f>
        <v>0</v>
      </c>
      <c r="AJ119" s="45"/>
      <c r="AK119" s="35">
        <v>0</v>
      </c>
      <c r="AL119" s="35"/>
      <c r="AM119" s="35">
        <v>0</v>
      </c>
      <c r="AN119" s="35"/>
      <c r="AO119" s="35">
        <v>0</v>
      </c>
      <c r="AP119" s="35"/>
      <c r="AQ119" s="35">
        <v>0</v>
      </c>
      <c r="AR119" s="35"/>
      <c r="AS119" s="45">
        <f t="shared" si="28"/>
        <v>0</v>
      </c>
      <c r="AT119" s="45"/>
      <c r="AU119" s="35">
        <v>0</v>
      </c>
      <c r="AV119" s="35"/>
      <c r="AW119" s="35">
        <v>0</v>
      </c>
      <c r="AX119" s="35"/>
      <c r="AY119" s="35">
        <f t="shared" si="29"/>
        <v>0</v>
      </c>
      <c r="AZ119" s="35"/>
      <c r="BA119" s="35" t="s">
        <v>150</v>
      </c>
      <c r="BB119" s="55"/>
      <c r="BC119" s="35" t="s">
        <v>27</v>
      </c>
      <c r="BD119" s="35"/>
      <c r="BE119" s="35">
        <v>0</v>
      </c>
      <c r="BF119" s="35"/>
      <c r="BG119" s="35">
        <v>0</v>
      </c>
      <c r="BH119" s="35"/>
      <c r="BI119" s="35">
        <v>0</v>
      </c>
      <c r="BJ119" s="35"/>
      <c r="BK119" s="35">
        <v>0</v>
      </c>
      <c r="BL119" s="35"/>
      <c r="BM119" s="35">
        <f t="shared" si="24"/>
        <v>0</v>
      </c>
      <c r="BN119" s="54" t="s">
        <v>347</v>
      </c>
    </row>
    <row r="120" spans="1:66" ht="13.5" hidden="1" customHeight="1">
      <c r="A120" s="35" t="s">
        <v>151</v>
      </c>
      <c r="C120" s="35" t="s">
        <v>13</v>
      </c>
      <c r="D120" s="35"/>
      <c r="E120" s="35">
        <f t="shared" si="19"/>
        <v>0</v>
      </c>
      <c r="F120" s="35"/>
      <c r="G120" s="35">
        <v>0</v>
      </c>
      <c r="H120" s="35"/>
      <c r="I120" s="35">
        <v>0</v>
      </c>
      <c r="J120" s="35"/>
      <c r="K120" s="35">
        <f t="shared" si="20"/>
        <v>0</v>
      </c>
      <c r="L120" s="35"/>
      <c r="M120" s="35">
        <v>0</v>
      </c>
      <c r="N120" s="35"/>
      <c r="O120" s="35">
        <v>0</v>
      </c>
      <c r="P120" s="35"/>
      <c r="Q120" s="35">
        <v>0</v>
      </c>
      <c r="R120" s="35"/>
      <c r="S120" s="35">
        <v>0</v>
      </c>
      <c r="T120" s="35"/>
      <c r="U120" s="35">
        <v>0</v>
      </c>
      <c r="V120" s="35"/>
      <c r="W120" s="35">
        <f t="shared" si="26"/>
        <v>0</v>
      </c>
      <c r="X120" s="35"/>
      <c r="Y120" s="35" t="s">
        <v>151</v>
      </c>
      <c r="Z120" s="55"/>
      <c r="AA120" s="35" t="s">
        <v>13</v>
      </c>
      <c r="AB120" s="35"/>
      <c r="AC120" s="35">
        <v>0</v>
      </c>
      <c r="AD120" s="35"/>
      <c r="AE120" s="35">
        <v>0</v>
      </c>
      <c r="AF120" s="35"/>
      <c r="AG120" s="35">
        <v>0</v>
      </c>
      <c r="AH120" s="35"/>
      <c r="AI120" s="45">
        <f t="shared" si="30"/>
        <v>0</v>
      </c>
      <c r="AJ120" s="45"/>
      <c r="AK120" s="35">
        <v>0</v>
      </c>
      <c r="AL120" s="35"/>
      <c r="AM120" s="35">
        <v>0</v>
      </c>
      <c r="AN120" s="35"/>
      <c r="AO120" s="35">
        <v>0</v>
      </c>
      <c r="AP120" s="35"/>
      <c r="AQ120" s="35">
        <v>0</v>
      </c>
      <c r="AR120" s="35"/>
      <c r="AS120" s="45">
        <f t="shared" si="28"/>
        <v>0</v>
      </c>
      <c r="AT120" s="45"/>
      <c r="AU120" s="35">
        <v>0</v>
      </c>
      <c r="AV120" s="35"/>
      <c r="AW120" s="35">
        <v>0</v>
      </c>
      <c r="AX120" s="35"/>
      <c r="AY120" s="35">
        <f t="shared" si="29"/>
        <v>0</v>
      </c>
      <c r="AZ120" s="35"/>
      <c r="BA120" s="35" t="s">
        <v>151</v>
      </c>
      <c r="BB120" s="55"/>
      <c r="BC120" s="35" t="s">
        <v>13</v>
      </c>
      <c r="BD120" s="35"/>
      <c r="BE120" s="35">
        <v>0</v>
      </c>
      <c r="BF120" s="35"/>
      <c r="BG120" s="35">
        <v>0</v>
      </c>
      <c r="BH120" s="35"/>
      <c r="BI120" s="35">
        <v>0</v>
      </c>
      <c r="BJ120" s="35"/>
      <c r="BK120" s="35">
        <v>0</v>
      </c>
      <c r="BL120" s="35"/>
      <c r="BM120" s="35">
        <f t="shared" si="24"/>
        <v>0</v>
      </c>
      <c r="BN120" s="54" t="s">
        <v>347</v>
      </c>
    </row>
    <row r="121" spans="1:66" ht="12.75" hidden="1" customHeight="1">
      <c r="A121" s="35" t="s">
        <v>152</v>
      </c>
      <c r="C121" s="35" t="s">
        <v>153</v>
      </c>
      <c r="D121" s="35"/>
      <c r="E121" s="35">
        <f t="shared" si="19"/>
        <v>0</v>
      </c>
      <c r="F121" s="35"/>
      <c r="G121" s="35">
        <v>0</v>
      </c>
      <c r="H121" s="35"/>
      <c r="I121" s="35">
        <v>0</v>
      </c>
      <c r="J121" s="35"/>
      <c r="K121" s="35">
        <f t="shared" si="20"/>
        <v>0</v>
      </c>
      <c r="L121" s="35"/>
      <c r="M121" s="35">
        <v>0</v>
      </c>
      <c r="N121" s="35"/>
      <c r="O121" s="35">
        <v>0</v>
      </c>
      <c r="P121" s="35"/>
      <c r="Q121" s="35">
        <v>0</v>
      </c>
      <c r="R121" s="35"/>
      <c r="S121" s="35">
        <v>0</v>
      </c>
      <c r="T121" s="35"/>
      <c r="U121" s="35">
        <v>0</v>
      </c>
      <c r="V121" s="35"/>
      <c r="W121" s="35">
        <f t="shared" si="26"/>
        <v>0</v>
      </c>
      <c r="X121" s="35"/>
      <c r="Y121" s="35" t="s">
        <v>152</v>
      </c>
      <c r="Z121" s="55"/>
      <c r="AA121" s="35" t="s">
        <v>153</v>
      </c>
      <c r="AB121" s="35"/>
      <c r="AC121" s="35">
        <v>0</v>
      </c>
      <c r="AD121" s="35"/>
      <c r="AE121" s="35">
        <v>0</v>
      </c>
      <c r="AF121" s="35"/>
      <c r="AG121" s="35">
        <v>0</v>
      </c>
      <c r="AH121" s="35"/>
      <c r="AI121" s="45">
        <f t="shared" si="30"/>
        <v>0</v>
      </c>
      <c r="AJ121" s="45"/>
      <c r="AK121" s="35">
        <v>0</v>
      </c>
      <c r="AL121" s="35"/>
      <c r="AM121" s="35">
        <v>0</v>
      </c>
      <c r="AN121" s="35"/>
      <c r="AO121" s="35">
        <v>0</v>
      </c>
      <c r="AP121" s="35"/>
      <c r="AQ121" s="35">
        <v>0</v>
      </c>
      <c r="AR121" s="35"/>
      <c r="AS121" s="45">
        <f t="shared" si="28"/>
        <v>0</v>
      </c>
      <c r="AT121" s="45"/>
      <c r="AU121" s="35">
        <v>0</v>
      </c>
      <c r="AV121" s="35"/>
      <c r="AW121" s="35">
        <v>0</v>
      </c>
      <c r="AX121" s="35"/>
      <c r="AY121" s="35">
        <f t="shared" si="29"/>
        <v>0</v>
      </c>
      <c r="AZ121" s="35"/>
      <c r="BA121" s="35" t="s">
        <v>152</v>
      </c>
      <c r="BB121" s="55"/>
      <c r="BC121" s="35" t="s">
        <v>153</v>
      </c>
      <c r="BD121" s="35"/>
      <c r="BE121" s="35">
        <v>0</v>
      </c>
      <c r="BF121" s="35"/>
      <c r="BG121" s="35">
        <v>0</v>
      </c>
      <c r="BH121" s="35"/>
      <c r="BI121" s="35">
        <v>0</v>
      </c>
      <c r="BJ121" s="35"/>
      <c r="BK121" s="35">
        <v>0</v>
      </c>
      <c r="BL121" s="35"/>
      <c r="BM121" s="35">
        <f t="shared" si="24"/>
        <v>0</v>
      </c>
      <c r="BN121" s="54" t="s">
        <v>347</v>
      </c>
    </row>
    <row r="122" spans="1:66" ht="12.75" hidden="1" customHeight="1">
      <c r="A122" s="35" t="s">
        <v>154</v>
      </c>
      <c r="C122" s="35" t="s">
        <v>27</v>
      </c>
      <c r="D122" s="35"/>
      <c r="E122" s="35">
        <f t="shared" si="19"/>
        <v>0</v>
      </c>
      <c r="F122" s="35"/>
      <c r="G122" s="35">
        <v>0</v>
      </c>
      <c r="H122" s="35"/>
      <c r="I122" s="35">
        <v>0</v>
      </c>
      <c r="J122" s="35"/>
      <c r="K122" s="35">
        <f t="shared" si="20"/>
        <v>0</v>
      </c>
      <c r="L122" s="35"/>
      <c r="M122" s="35">
        <v>0</v>
      </c>
      <c r="N122" s="35"/>
      <c r="O122" s="35">
        <v>0</v>
      </c>
      <c r="P122" s="35"/>
      <c r="Q122" s="35">
        <v>0</v>
      </c>
      <c r="R122" s="35"/>
      <c r="S122" s="35">
        <v>0</v>
      </c>
      <c r="T122" s="35"/>
      <c r="U122" s="35">
        <v>0</v>
      </c>
      <c r="V122" s="35"/>
      <c r="W122" s="35">
        <f t="shared" si="26"/>
        <v>0</v>
      </c>
      <c r="X122" s="35"/>
      <c r="Y122" s="35" t="s">
        <v>154</v>
      </c>
      <c r="Z122" s="55"/>
      <c r="AA122" s="35" t="s">
        <v>27</v>
      </c>
      <c r="AB122" s="35"/>
      <c r="AC122" s="35">
        <v>0</v>
      </c>
      <c r="AD122" s="35"/>
      <c r="AE122" s="35">
        <v>0</v>
      </c>
      <c r="AF122" s="35"/>
      <c r="AG122" s="35">
        <v>0</v>
      </c>
      <c r="AH122" s="35"/>
      <c r="AI122" s="45">
        <f t="shared" si="30"/>
        <v>0</v>
      </c>
      <c r="AJ122" s="45"/>
      <c r="AK122" s="35">
        <v>0</v>
      </c>
      <c r="AL122" s="35"/>
      <c r="AM122" s="35">
        <v>0</v>
      </c>
      <c r="AN122" s="35"/>
      <c r="AO122" s="35">
        <v>0</v>
      </c>
      <c r="AP122" s="35"/>
      <c r="AQ122" s="35">
        <v>0</v>
      </c>
      <c r="AR122" s="35"/>
      <c r="AS122" s="45">
        <f t="shared" si="28"/>
        <v>0</v>
      </c>
      <c r="AT122" s="45"/>
      <c r="AU122" s="35">
        <v>0</v>
      </c>
      <c r="AV122" s="35"/>
      <c r="AW122" s="35">
        <v>0</v>
      </c>
      <c r="AX122" s="35"/>
      <c r="AY122" s="35">
        <f t="shared" si="29"/>
        <v>0</v>
      </c>
      <c r="AZ122" s="35"/>
      <c r="BA122" s="35" t="s">
        <v>154</v>
      </c>
      <c r="BB122" s="55"/>
      <c r="BC122" s="35" t="s">
        <v>27</v>
      </c>
      <c r="BD122" s="35"/>
      <c r="BE122" s="35">
        <v>0</v>
      </c>
      <c r="BF122" s="35"/>
      <c r="BG122" s="35">
        <v>0</v>
      </c>
      <c r="BH122" s="35"/>
      <c r="BI122" s="35">
        <v>0</v>
      </c>
      <c r="BJ122" s="35"/>
      <c r="BK122" s="35">
        <v>0</v>
      </c>
      <c r="BL122" s="35"/>
      <c r="BM122" s="35">
        <f t="shared" si="24"/>
        <v>0</v>
      </c>
      <c r="BN122" s="54" t="s">
        <v>347</v>
      </c>
    </row>
    <row r="123" spans="1:66" ht="12.75" hidden="1" customHeight="1">
      <c r="A123" s="35" t="s">
        <v>155</v>
      </c>
      <c r="C123" s="35" t="s">
        <v>40</v>
      </c>
      <c r="D123" s="35"/>
      <c r="E123" s="35">
        <f t="shared" si="19"/>
        <v>0</v>
      </c>
      <c r="F123" s="35"/>
      <c r="G123" s="35">
        <v>0</v>
      </c>
      <c r="H123" s="35"/>
      <c r="I123" s="35">
        <v>0</v>
      </c>
      <c r="J123" s="35"/>
      <c r="K123" s="35">
        <f t="shared" si="20"/>
        <v>0</v>
      </c>
      <c r="L123" s="35"/>
      <c r="M123" s="35">
        <v>0</v>
      </c>
      <c r="N123" s="35"/>
      <c r="O123" s="35">
        <v>0</v>
      </c>
      <c r="P123" s="35"/>
      <c r="Q123" s="35">
        <v>0</v>
      </c>
      <c r="R123" s="35"/>
      <c r="S123" s="35">
        <v>0</v>
      </c>
      <c r="T123" s="35"/>
      <c r="U123" s="35">
        <v>0</v>
      </c>
      <c r="V123" s="35"/>
      <c r="W123" s="35">
        <f t="shared" si="26"/>
        <v>0</v>
      </c>
      <c r="X123" s="35"/>
      <c r="Y123" s="35" t="s">
        <v>155</v>
      </c>
      <c r="Z123" s="55"/>
      <c r="AA123" s="35" t="s">
        <v>40</v>
      </c>
      <c r="AB123" s="35"/>
      <c r="AC123" s="35">
        <v>0</v>
      </c>
      <c r="AD123" s="35"/>
      <c r="AE123" s="35">
        <v>0</v>
      </c>
      <c r="AF123" s="35"/>
      <c r="AG123" s="35">
        <v>0</v>
      </c>
      <c r="AH123" s="35"/>
      <c r="AI123" s="45">
        <f t="shared" si="30"/>
        <v>0</v>
      </c>
      <c r="AJ123" s="45"/>
      <c r="AK123" s="35">
        <v>0</v>
      </c>
      <c r="AL123" s="35"/>
      <c r="AM123" s="35">
        <v>0</v>
      </c>
      <c r="AN123" s="35"/>
      <c r="AO123" s="35">
        <v>0</v>
      </c>
      <c r="AP123" s="35"/>
      <c r="AQ123" s="35">
        <v>0</v>
      </c>
      <c r="AR123" s="35"/>
      <c r="AS123" s="45">
        <f t="shared" si="28"/>
        <v>0</v>
      </c>
      <c r="AT123" s="45"/>
      <c r="AU123" s="35">
        <v>0</v>
      </c>
      <c r="AV123" s="35"/>
      <c r="AW123" s="35">
        <v>0</v>
      </c>
      <c r="AX123" s="35"/>
      <c r="AY123" s="35">
        <f t="shared" si="29"/>
        <v>0</v>
      </c>
      <c r="AZ123" s="35"/>
      <c r="BA123" s="35" t="s">
        <v>155</v>
      </c>
      <c r="BB123" s="55"/>
      <c r="BC123" s="35" t="s">
        <v>40</v>
      </c>
      <c r="BD123" s="35"/>
      <c r="BE123" s="35">
        <v>0</v>
      </c>
      <c r="BF123" s="35"/>
      <c r="BG123" s="35">
        <v>0</v>
      </c>
      <c r="BH123" s="35"/>
      <c r="BI123" s="35">
        <v>0</v>
      </c>
      <c r="BJ123" s="35"/>
      <c r="BK123" s="35">
        <v>0</v>
      </c>
      <c r="BL123" s="35"/>
      <c r="BM123" s="35">
        <f t="shared" si="24"/>
        <v>0</v>
      </c>
      <c r="BN123" s="54" t="s">
        <v>347</v>
      </c>
    </row>
    <row r="124" spans="1:66" ht="12.75" hidden="1" customHeight="1">
      <c r="A124" s="35" t="s">
        <v>156</v>
      </c>
      <c r="C124" s="35" t="s">
        <v>156</v>
      </c>
      <c r="D124" s="35"/>
      <c r="E124" s="35">
        <f t="shared" si="19"/>
        <v>0</v>
      </c>
      <c r="F124" s="35"/>
      <c r="G124" s="35">
        <v>0</v>
      </c>
      <c r="H124" s="35"/>
      <c r="I124" s="35">
        <v>0</v>
      </c>
      <c r="J124" s="35"/>
      <c r="K124" s="35">
        <f t="shared" si="20"/>
        <v>0</v>
      </c>
      <c r="L124" s="35"/>
      <c r="M124" s="35">
        <v>0</v>
      </c>
      <c r="N124" s="35"/>
      <c r="O124" s="35">
        <v>0</v>
      </c>
      <c r="P124" s="35"/>
      <c r="Q124" s="35">
        <v>0</v>
      </c>
      <c r="R124" s="35"/>
      <c r="S124" s="35">
        <v>0</v>
      </c>
      <c r="T124" s="35"/>
      <c r="U124" s="35">
        <v>0</v>
      </c>
      <c r="V124" s="35"/>
      <c r="W124" s="35">
        <f t="shared" si="26"/>
        <v>0</v>
      </c>
      <c r="X124" s="35"/>
      <c r="Y124" s="35" t="s">
        <v>156</v>
      </c>
      <c r="Z124" s="55"/>
      <c r="AA124" s="35" t="s">
        <v>156</v>
      </c>
      <c r="AB124" s="35"/>
      <c r="AC124" s="35">
        <v>0</v>
      </c>
      <c r="AD124" s="35"/>
      <c r="AE124" s="35">
        <v>0</v>
      </c>
      <c r="AF124" s="35"/>
      <c r="AG124" s="35">
        <v>0</v>
      </c>
      <c r="AH124" s="35"/>
      <c r="AI124" s="45">
        <f t="shared" si="30"/>
        <v>0</v>
      </c>
      <c r="AJ124" s="45"/>
      <c r="AK124" s="35">
        <v>0</v>
      </c>
      <c r="AL124" s="35"/>
      <c r="AM124" s="35">
        <v>0</v>
      </c>
      <c r="AN124" s="35"/>
      <c r="AO124" s="35">
        <v>0</v>
      </c>
      <c r="AP124" s="35"/>
      <c r="AQ124" s="35">
        <v>0</v>
      </c>
      <c r="AR124" s="35"/>
      <c r="AS124" s="45">
        <f t="shared" si="28"/>
        <v>0</v>
      </c>
      <c r="AT124" s="45"/>
      <c r="AU124" s="35">
        <v>0</v>
      </c>
      <c r="AV124" s="35"/>
      <c r="AW124" s="35">
        <v>0</v>
      </c>
      <c r="AX124" s="35"/>
      <c r="AY124" s="35">
        <f t="shared" si="29"/>
        <v>0</v>
      </c>
      <c r="AZ124" s="35"/>
      <c r="BA124" s="35" t="s">
        <v>156</v>
      </c>
      <c r="BB124" s="55"/>
      <c r="BC124" s="35" t="s">
        <v>156</v>
      </c>
      <c r="BD124" s="35"/>
      <c r="BE124" s="35">
        <v>0</v>
      </c>
      <c r="BF124" s="35"/>
      <c r="BG124" s="35">
        <v>0</v>
      </c>
      <c r="BH124" s="35"/>
      <c r="BI124" s="35">
        <v>0</v>
      </c>
      <c r="BJ124" s="35"/>
      <c r="BK124" s="35">
        <v>0</v>
      </c>
      <c r="BL124" s="35"/>
      <c r="BM124" s="35">
        <f t="shared" si="24"/>
        <v>0</v>
      </c>
      <c r="BN124" s="54" t="s">
        <v>347</v>
      </c>
    </row>
    <row r="125" spans="1:66" ht="12.75" hidden="1" customHeight="1">
      <c r="A125" s="35" t="s">
        <v>157</v>
      </c>
      <c r="C125" s="35" t="s">
        <v>33</v>
      </c>
      <c r="D125" s="35"/>
      <c r="E125" s="35">
        <f t="shared" si="19"/>
        <v>0</v>
      </c>
      <c r="F125" s="35"/>
      <c r="G125" s="35">
        <v>0</v>
      </c>
      <c r="H125" s="35"/>
      <c r="I125" s="35">
        <v>0</v>
      </c>
      <c r="J125" s="35"/>
      <c r="K125" s="35">
        <f t="shared" si="20"/>
        <v>0</v>
      </c>
      <c r="L125" s="35"/>
      <c r="M125" s="35">
        <v>0</v>
      </c>
      <c r="N125" s="35"/>
      <c r="O125" s="35">
        <v>0</v>
      </c>
      <c r="P125" s="35"/>
      <c r="Q125" s="35">
        <v>0</v>
      </c>
      <c r="R125" s="35"/>
      <c r="S125" s="35">
        <v>0</v>
      </c>
      <c r="T125" s="35"/>
      <c r="U125" s="35">
        <v>0</v>
      </c>
      <c r="V125" s="35"/>
      <c r="W125" s="35">
        <f t="shared" si="26"/>
        <v>0</v>
      </c>
      <c r="X125" s="35"/>
      <c r="Y125" s="35" t="s">
        <v>157</v>
      </c>
      <c r="Z125" s="55"/>
      <c r="AA125" s="35" t="s">
        <v>33</v>
      </c>
      <c r="AB125" s="35"/>
      <c r="AC125" s="35">
        <v>0</v>
      </c>
      <c r="AD125" s="35"/>
      <c r="AE125" s="35">
        <v>0</v>
      </c>
      <c r="AF125" s="35"/>
      <c r="AG125" s="35">
        <v>0</v>
      </c>
      <c r="AH125" s="35"/>
      <c r="AI125" s="45">
        <f t="shared" si="30"/>
        <v>0</v>
      </c>
      <c r="AJ125" s="45"/>
      <c r="AK125" s="35">
        <v>0</v>
      </c>
      <c r="AL125" s="35"/>
      <c r="AM125" s="35">
        <v>0</v>
      </c>
      <c r="AN125" s="35"/>
      <c r="AO125" s="35">
        <v>0</v>
      </c>
      <c r="AP125" s="35"/>
      <c r="AQ125" s="35">
        <v>0</v>
      </c>
      <c r="AR125" s="35"/>
      <c r="AS125" s="45">
        <f t="shared" si="28"/>
        <v>0</v>
      </c>
      <c r="AT125" s="45"/>
      <c r="AU125" s="35">
        <v>0</v>
      </c>
      <c r="AV125" s="35"/>
      <c r="AW125" s="35">
        <v>0</v>
      </c>
      <c r="AX125" s="35"/>
      <c r="AY125" s="35">
        <f t="shared" si="29"/>
        <v>0</v>
      </c>
      <c r="AZ125" s="35"/>
      <c r="BA125" s="35" t="s">
        <v>157</v>
      </c>
      <c r="BB125" s="55"/>
      <c r="BC125" s="35" t="s">
        <v>33</v>
      </c>
      <c r="BD125" s="35"/>
      <c r="BE125" s="35">
        <v>0</v>
      </c>
      <c r="BF125" s="35"/>
      <c r="BG125" s="35">
        <v>0</v>
      </c>
      <c r="BH125" s="35"/>
      <c r="BI125" s="35">
        <v>0</v>
      </c>
      <c r="BJ125" s="35"/>
      <c r="BK125" s="35">
        <v>0</v>
      </c>
      <c r="BL125" s="35"/>
      <c r="BM125" s="35">
        <f t="shared" si="24"/>
        <v>0</v>
      </c>
      <c r="BN125" s="54" t="s">
        <v>347</v>
      </c>
    </row>
    <row r="126" spans="1:66" ht="12.75" hidden="1" customHeight="1">
      <c r="A126" s="35" t="s">
        <v>158</v>
      </c>
      <c r="C126" s="35" t="s">
        <v>159</v>
      </c>
      <c r="D126" s="35"/>
      <c r="E126" s="35">
        <f t="shared" si="19"/>
        <v>0</v>
      </c>
      <c r="F126" s="35"/>
      <c r="G126" s="35">
        <v>0</v>
      </c>
      <c r="H126" s="35"/>
      <c r="I126" s="35">
        <v>0</v>
      </c>
      <c r="J126" s="35"/>
      <c r="K126" s="35">
        <f t="shared" si="20"/>
        <v>0</v>
      </c>
      <c r="L126" s="35"/>
      <c r="M126" s="35">
        <v>0</v>
      </c>
      <c r="N126" s="35"/>
      <c r="O126" s="35">
        <v>0</v>
      </c>
      <c r="P126" s="35"/>
      <c r="Q126" s="35">
        <v>0</v>
      </c>
      <c r="R126" s="35"/>
      <c r="S126" s="35">
        <v>0</v>
      </c>
      <c r="T126" s="35"/>
      <c r="U126" s="35">
        <v>0</v>
      </c>
      <c r="V126" s="35"/>
      <c r="W126" s="35">
        <f t="shared" si="26"/>
        <v>0</v>
      </c>
      <c r="X126" s="35"/>
      <c r="Y126" s="35" t="s">
        <v>158</v>
      </c>
      <c r="Z126" s="55"/>
      <c r="AA126" s="35" t="s">
        <v>159</v>
      </c>
      <c r="AB126" s="35"/>
      <c r="AC126" s="35">
        <v>0</v>
      </c>
      <c r="AD126" s="35"/>
      <c r="AE126" s="35">
        <v>0</v>
      </c>
      <c r="AF126" s="35"/>
      <c r="AG126" s="35">
        <v>0</v>
      </c>
      <c r="AH126" s="35"/>
      <c r="AI126" s="45">
        <f t="shared" si="30"/>
        <v>0</v>
      </c>
      <c r="AJ126" s="45"/>
      <c r="AK126" s="35">
        <v>0</v>
      </c>
      <c r="AL126" s="35"/>
      <c r="AM126" s="35">
        <v>0</v>
      </c>
      <c r="AN126" s="35"/>
      <c r="AO126" s="35">
        <v>0</v>
      </c>
      <c r="AP126" s="35"/>
      <c r="AQ126" s="35">
        <v>0</v>
      </c>
      <c r="AR126" s="35"/>
      <c r="AS126" s="45">
        <f t="shared" si="28"/>
        <v>0</v>
      </c>
      <c r="AT126" s="45"/>
      <c r="AU126" s="35">
        <v>0</v>
      </c>
      <c r="AV126" s="35"/>
      <c r="AW126" s="35">
        <v>0</v>
      </c>
      <c r="AX126" s="35"/>
      <c r="AY126" s="35">
        <f t="shared" si="29"/>
        <v>0</v>
      </c>
      <c r="AZ126" s="35"/>
      <c r="BA126" s="35" t="s">
        <v>158</v>
      </c>
      <c r="BB126" s="55"/>
      <c r="BC126" s="35" t="s">
        <v>159</v>
      </c>
      <c r="BD126" s="35"/>
      <c r="BE126" s="35">
        <v>0</v>
      </c>
      <c r="BF126" s="35"/>
      <c r="BG126" s="35">
        <v>0</v>
      </c>
      <c r="BH126" s="35"/>
      <c r="BI126" s="35">
        <v>0</v>
      </c>
      <c r="BJ126" s="35"/>
      <c r="BK126" s="35">
        <v>0</v>
      </c>
      <c r="BL126" s="35"/>
      <c r="BM126" s="35">
        <f t="shared" si="24"/>
        <v>0</v>
      </c>
      <c r="BN126" s="54" t="s">
        <v>347</v>
      </c>
    </row>
    <row r="127" spans="1:66" ht="12.75" hidden="1" customHeight="1">
      <c r="A127" s="35" t="s">
        <v>160</v>
      </c>
      <c r="C127" s="35" t="s">
        <v>111</v>
      </c>
      <c r="D127" s="35"/>
      <c r="E127" s="35">
        <f t="shared" si="19"/>
        <v>0</v>
      </c>
      <c r="F127" s="35"/>
      <c r="G127" s="35">
        <v>0</v>
      </c>
      <c r="H127" s="35"/>
      <c r="I127" s="35">
        <v>0</v>
      </c>
      <c r="J127" s="35"/>
      <c r="K127" s="35">
        <f t="shared" si="20"/>
        <v>0</v>
      </c>
      <c r="L127" s="35"/>
      <c r="M127" s="35">
        <v>0</v>
      </c>
      <c r="N127" s="35"/>
      <c r="O127" s="35">
        <v>0</v>
      </c>
      <c r="P127" s="35"/>
      <c r="Q127" s="35">
        <v>0</v>
      </c>
      <c r="R127" s="35"/>
      <c r="S127" s="35">
        <v>0</v>
      </c>
      <c r="T127" s="35"/>
      <c r="U127" s="35">
        <v>0</v>
      </c>
      <c r="V127" s="35"/>
      <c r="W127" s="35">
        <f t="shared" si="26"/>
        <v>0</v>
      </c>
      <c r="X127" s="35"/>
      <c r="Y127" s="35" t="s">
        <v>160</v>
      </c>
      <c r="Z127" s="55"/>
      <c r="AA127" s="35" t="s">
        <v>111</v>
      </c>
      <c r="AB127" s="35"/>
      <c r="AC127" s="35">
        <v>0</v>
      </c>
      <c r="AD127" s="35"/>
      <c r="AE127" s="35">
        <v>0</v>
      </c>
      <c r="AF127" s="35"/>
      <c r="AG127" s="35">
        <v>0</v>
      </c>
      <c r="AH127" s="35"/>
      <c r="AI127" s="45">
        <f t="shared" si="30"/>
        <v>0</v>
      </c>
      <c r="AJ127" s="45"/>
      <c r="AK127" s="35">
        <v>0</v>
      </c>
      <c r="AL127" s="35"/>
      <c r="AM127" s="35">
        <v>0</v>
      </c>
      <c r="AN127" s="35"/>
      <c r="AO127" s="35">
        <v>0</v>
      </c>
      <c r="AP127" s="35"/>
      <c r="AQ127" s="35">
        <v>0</v>
      </c>
      <c r="AR127" s="35"/>
      <c r="AS127" s="45">
        <f t="shared" si="28"/>
        <v>0</v>
      </c>
      <c r="AT127" s="45"/>
      <c r="AU127" s="35">
        <v>0</v>
      </c>
      <c r="AV127" s="35"/>
      <c r="AW127" s="35">
        <v>0</v>
      </c>
      <c r="AX127" s="35"/>
      <c r="AY127" s="35">
        <f t="shared" si="29"/>
        <v>0</v>
      </c>
      <c r="AZ127" s="35"/>
      <c r="BA127" s="35" t="s">
        <v>160</v>
      </c>
      <c r="BB127" s="55"/>
      <c r="BC127" s="35" t="s">
        <v>111</v>
      </c>
      <c r="BD127" s="35"/>
      <c r="BE127" s="35">
        <v>0</v>
      </c>
      <c r="BF127" s="35"/>
      <c r="BG127" s="35">
        <v>0</v>
      </c>
      <c r="BH127" s="35"/>
      <c r="BI127" s="35">
        <v>0</v>
      </c>
      <c r="BJ127" s="35"/>
      <c r="BK127" s="35">
        <v>0</v>
      </c>
      <c r="BL127" s="35"/>
      <c r="BM127" s="35">
        <f t="shared" si="24"/>
        <v>0</v>
      </c>
      <c r="BN127" s="54" t="s">
        <v>347</v>
      </c>
    </row>
    <row r="128" spans="1:66" ht="12.75" hidden="1" customHeight="1">
      <c r="A128" s="35" t="s">
        <v>161</v>
      </c>
      <c r="C128" s="35" t="s">
        <v>15</v>
      </c>
      <c r="D128" s="35"/>
      <c r="E128" s="35">
        <f t="shared" si="19"/>
        <v>0</v>
      </c>
      <c r="F128" s="35"/>
      <c r="G128" s="35">
        <v>0</v>
      </c>
      <c r="H128" s="35"/>
      <c r="I128" s="35">
        <v>0</v>
      </c>
      <c r="J128" s="35"/>
      <c r="K128" s="35">
        <f t="shared" si="20"/>
        <v>0</v>
      </c>
      <c r="L128" s="35"/>
      <c r="M128" s="35">
        <v>0</v>
      </c>
      <c r="N128" s="35"/>
      <c r="O128" s="35">
        <v>0</v>
      </c>
      <c r="P128" s="35"/>
      <c r="Q128" s="35">
        <v>0</v>
      </c>
      <c r="R128" s="35"/>
      <c r="S128" s="35">
        <v>0</v>
      </c>
      <c r="T128" s="35"/>
      <c r="U128" s="35">
        <v>0</v>
      </c>
      <c r="V128" s="35"/>
      <c r="W128" s="35">
        <f t="shared" si="26"/>
        <v>0</v>
      </c>
      <c r="X128" s="35"/>
      <c r="Y128" s="35" t="s">
        <v>161</v>
      </c>
      <c r="Z128" s="55"/>
      <c r="AA128" s="35" t="s">
        <v>15</v>
      </c>
      <c r="AB128" s="35"/>
      <c r="AC128" s="35">
        <v>0</v>
      </c>
      <c r="AD128" s="35"/>
      <c r="AE128" s="35">
        <v>0</v>
      </c>
      <c r="AF128" s="35"/>
      <c r="AG128" s="35">
        <v>0</v>
      </c>
      <c r="AH128" s="35"/>
      <c r="AI128" s="45">
        <f t="shared" si="30"/>
        <v>0</v>
      </c>
      <c r="AJ128" s="45"/>
      <c r="AK128" s="35">
        <v>0</v>
      </c>
      <c r="AL128" s="35"/>
      <c r="AM128" s="35">
        <v>0</v>
      </c>
      <c r="AN128" s="35"/>
      <c r="AO128" s="35">
        <v>0</v>
      </c>
      <c r="AP128" s="35"/>
      <c r="AQ128" s="35">
        <v>0</v>
      </c>
      <c r="AR128" s="35"/>
      <c r="AS128" s="45">
        <f t="shared" si="28"/>
        <v>0</v>
      </c>
      <c r="AT128" s="45"/>
      <c r="AU128" s="35">
        <v>0</v>
      </c>
      <c r="AV128" s="35"/>
      <c r="AW128" s="35">
        <v>0</v>
      </c>
      <c r="AX128" s="35"/>
      <c r="AY128" s="35">
        <f t="shared" si="29"/>
        <v>0</v>
      </c>
      <c r="AZ128" s="35"/>
      <c r="BA128" s="35" t="s">
        <v>161</v>
      </c>
      <c r="BB128" s="55"/>
      <c r="BC128" s="35" t="s">
        <v>15</v>
      </c>
      <c r="BD128" s="35"/>
      <c r="BE128" s="35">
        <v>0</v>
      </c>
      <c r="BF128" s="35"/>
      <c r="BG128" s="35">
        <v>0</v>
      </c>
      <c r="BH128" s="35"/>
      <c r="BI128" s="35">
        <v>0</v>
      </c>
      <c r="BJ128" s="35"/>
      <c r="BK128" s="35">
        <v>0</v>
      </c>
      <c r="BL128" s="35"/>
      <c r="BM128" s="35">
        <f t="shared" si="24"/>
        <v>0</v>
      </c>
      <c r="BN128" s="54" t="s">
        <v>347</v>
      </c>
    </row>
    <row r="129" spans="1:66" ht="12.75" hidden="1" customHeight="1">
      <c r="A129" s="35" t="s">
        <v>162</v>
      </c>
      <c r="C129" s="35" t="s">
        <v>163</v>
      </c>
      <c r="D129" s="35"/>
      <c r="E129" s="35">
        <f t="shared" si="19"/>
        <v>0</v>
      </c>
      <c r="F129" s="35"/>
      <c r="G129" s="35">
        <v>0</v>
      </c>
      <c r="H129" s="35"/>
      <c r="I129" s="35">
        <v>0</v>
      </c>
      <c r="J129" s="35"/>
      <c r="K129" s="35">
        <f t="shared" si="20"/>
        <v>0</v>
      </c>
      <c r="L129" s="35"/>
      <c r="M129" s="35">
        <v>0</v>
      </c>
      <c r="N129" s="35"/>
      <c r="O129" s="35">
        <v>0</v>
      </c>
      <c r="P129" s="35"/>
      <c r="Q129" s="35">
        <v>0</v>
      </c>
      <c r="R129" s="35"/>
      <c r="S129" s="35">
        <v>0</v>
      </c>
      <c r="T129" s="35"/>
      <c r="U129" s="35">
        <v>0</v>
      </c>
      <c r="V129" s="35"/>
      <c r="W129" s="35">
        <f t="shared" si="26"/>
        <v>0</v>
      </c>
      <c r="X129" s="35"/>
      <c r="Y129" s="35" t="s">
        <v>162</v>
      </c>
      <c r="Z129" s="55"/>
      <c r="AA129" s="35" t="s">
        <v>163</v>
      </c>
      <c r="AB129" s="35"/>
      <c r="AC129" s="35">
        <v>0</v>
      </c>
      <c r="AD129" s="35"/>
      <c r="AE129" s="35">
        <v>0</v>
      </c>
      <c r="AF129" s="35"/>
      <c r="AG129" s="35">
        <v>0</v>
      </c>
      <c r="AH129" s="35"/>
      <c r="AI129" s="45">
        <f t="shared" si="30"/>
        <v>0</v>
      </c>
      <c r="AJ129" s="45"/>
      <c r="AK129" s="35">
        <v>0</v>
      </c>
      <c r="AL129" s="35"/>
      <c r="AM129" s="35">
        <v>0</v>
      </c>
      <c r="AN129" s="35"/>
      <c r="AO129" s="35">
        <v>0</v>
      </c>
      <c r="AP129" s="35"/>
      <c r="AQ129" s="35">
        <v>0</v>
      </c>
      <c r="AR129" s="35"/>
      <c r="AS129" s="45">
        <f t="shared" si="28"/>
        <v>0</v>
      </c>
      <c r="AT129" s="45"/>
      <c r="AU129" s="35">
        <v>0</v>
      </c>
      <c r="AV129" s="35"/>
      <c r="AW129" s="35">
        <v>0</v>
      </c>
      <c r="AX129" s="35"/>
      <c r="AY129" s="35">
        <f t="shared" si="29"/>
        <v>0</v>
      </c>
      <c r="AZ129" s="35"/>
      <c r="BA129" s="35" t="s">
        <v>162</v>
      </c>
      <c r="BB129" s="55"/>
      <c r="BC129" s="35" t="s">
        <v>163</v>
      </c>
      <c r="BD129" s="35"/>
      <c r="BE129" s="35">
        <v>0</v>
      </c>
      <c r="BF129" s="35"/>
      <c r="BG129" s="35">
        <v>0</v>
      </c>
      <c r="BH129" s="35"/>
      <c r="BI129" s="35">
        <v>0</v>
      </c>
      <c r="BJ129" s="35"/>
      <c r="BK129" s="35">
        <v>0</v>
      </c>
      <c r="BL129" s="35"/>
      <c r="BM129" s="35">
        <f t="shared" si="24"/>
        <v>0</v>
      </c>
      <c r="BN129" s="54" t="s">
        <v>347</v>
      </c>
    </row>
    <row r="130" spans="1:66" ht="12.75" hidden="1" customHeight="1">
      <c r="A130" s="35" t="s">
        <v>164</v>
      </c>
      <c r="C130" s="35" t="s">
        <v>27</v>
      </c>
      <c r="D130" s="35"/>
      <c r="E130" s="35">
        <f t="shared" si="19"/>
        <v>0</v>
      </c>
      <c r="F130" s="35"/>
      <c r="G130" s="35">
        <v>0</v>
      </c>
      <c r="H130" s="35"/>
      <c r="I130" s="35">
        <v>0</v>
      </c>
      <c r="J130" s="35"/>
      <c r="K130" s="35">
        <f t="shared" si="20"/>
        <v>0</v>
      </c>
      <c r="L130" s="35"/>
      <c r="M130" s="35">
        <v>0</v>
      </c>
      <c r="N130" s="35"/>
      <c r="O130" s="35">
        <v>0</v>
      </c>
      <c r="P130" s="35"/>
      <c r="Q130" s="35">
        <v>0</v>
      </c>
      <c r="R130" s="35"/>
      <c r="S130" s="35">
        <v>0</v>
      </c>
      <c r="T130" s="35"/>
      <c r="U130" s="35">
        <v>0</v>
      </c>
      <c r="V130" s="35"/>
      <c r="W130" s="35">
        <f t="shared" si="26"/>
        <v>0</v>
      </c>
      <c r="X130" s="35"/>
      <c r="Y130" s="35" t="s">
        <v>164</v>
      </c>
      <c r="Z130" s="55"/>
      <c r="AA130" s="35" t="s">
        <v>27</v>
      </c>
      <c r="AB130" s="35"/>
      <c r="AC130" s="35">
        <v>0</v>
      </c>
      <c r="AD130" s="35"/>
      <c r="AE130" s="35">
        <v>0</v>
      </c>
      <c r="AF130" s="35"/>
      <c r="AG130" s="35">
        <v>0</v>
      </c>
      <c r="AH130" s="35"/>
      <c r="AI130" s="45">
        <v>0</v>
      </c>
      <c r="AJ130" s="45"/>
      <c r="AK130" s="35">
        <v>0</v>
      </c>
      <c r="AL130" s="35"/>
      <c r="AM130" s="35">
        <v>0</v>
      </c>
      <c r="AN130" s="35"/>
      <c r="AO130" s="35">
        <v>0</v>
      </c>
      <c r="AP130" s="35"/>
      <c r="AQ130" s="35">
        <v>0</v>
      </c>
      <c r="AR130" s="35"/>
      <c r="AS130" s="45">
        <f t="shared" si="28"/>
        <v>0</v>
      </c>
      <c r="AT130" s="45"/>
      <c r="AU130" s="35">
        <v>0</v>
      </c>
      <c r="AV130" s="35"/>
      <c r="AW130" s="35">
        <v>0</v>
      </c>
      <c r="AX130" s="35"/>
      <c r="AY130" s="35">
        <f t="shared" si="29"/>
        <v>0</v>
      </c>
      <c r="AZ130" s="35"/>
      <c r="BA130" s="35" t="s">
        <v>164</v>
      </c>
      <c r="BB130" s="55"/>
      <c r="BC130" s="35" t="s">
        <v>27</v>
      </c>
      <c r="BD130" s="35"/>
      <c r="BE130" s="35">
        <v>0</v>
      </c>
      <c r="BF130" s="35"/>
      <c r="BG130" s="35">
        <v>0</v>
      </c>
      <c r="BH130" s="35"/>
      <c r="BI130" s="35">
        <v>0</v>
      </c>
      <c r="BJ130" s="35"/>
      <c r="BK130" s="35">
        <v>0</v>
      </c>
      <c r="BL130" s="35"/>
      <c r="BM130" s="35">
        <f t="shared" ref="BM130:BM141" si="31">SUM(BE130:BK130)</f>
        <v>0</v>
      </c>
      <c r="BN130" s="54" t="s">
        <v>347</v>
      </c>
    </row>
    <row r="131" spans="1:66" ht="12.75" hidden="1" customHeight="1">
      <c r="A131" s="35" t="s">
        <v>53</v>
      </c>
      <c r="C131" s="35" t="s">
        <v>53</v>
      </c>
      <c r="D131" s="35"/>
      <c r="E131" s="35">
        <f t="shared" si="19"/>
        <v>0</v>
      </c>
      <c r="F131" s="35"/>
      <c r="G131" s="35">
        <v>0</v>
      </c>
      <c r="H131" s="35"/>
      <c r="I131" s="35">
        <v>0</v>
      </c>
      <c r="J131" s="35"/>
      <c r="K131" s="35">
        <f t="shared" si="20"/>
        <v>0</v>
      </c>
      <c r="L131" s="35"/>
      <c r="M131" s="35">
        <v>0</v>
      </c>
      <c r="N131" s="35"/>
      <c r="O131" s="35">
        <v>0</v>
      </c>
      <c r="P131" s="35"/>
      <c r="Q131" s="35">
        <v>0</v>
      </c>
      <c r="R131" s="35"/>
      <c r="S131" s="35">
        <v>0</v>
      </c>
      <c r="T131" s="35"/>
      <c r="U131" s="35">
        <v>0</v>
      </c>
      <c r="V131" s="35"/>
      <c r="W131" s="35">
        <f t="shared" si="26"/>
        <v>0</v>
      </c>
      <c r="X131" s="35"/>
      <c r="Y131" s="35" t="s">
        <v>53</v>
      </c>
      <c r="Z131" s="55"/>
      <c r="AA131" s="35" t="s">
        <v>53</v>
      </c>
      <c r="AB131" s="35"/>
      <c r="AC131" s="35">
        <v>0</v>
      </c>
      <c r="AD131" s="35"/>
      <c r="AE131" s="35">
        <v>0</v>
      </c>
      <c r="AF131" s="35"/>
      <c r="AG131" s="35">
        <v>0</v>
      </c>
      <c r="AH131" s="35"/>
      <c r="AI131" s="45">
        <f t="shared" ref="AI131:AI192" si="32">+AC131-AE131-AG131</f>
        <v>0</v>
      </c>
      <c r="AJ131" s="45"/>
      <c r="AK131" s="35">
        <v>0</v>
      </c>
      <c r="AL131" s="35"/>
      <c r="AM131" s="35">
        <v>0</v>
      </c>
      <c r="AN131" s="35"/>
      <c r="AO131" s="35">
        <v>0</v>
      </c>
      <c r="AP131" s="35"/>
      <c r="AQ131" s="35">
        <v>0</v>
      </c>
      <c r="AR131" s="35"/>
      <c r="AS131" s="45">
        <f t="shared" si="28"/>
        <v>0</v>
      </c>
      <c r="AT131" s="45"/>
      <c r="AU131" s="35">
        <v>0</v>
      </c>
      <c r="AV131" s="35"/>
      <c r="AW131" s="35">
        <v>0</v>
      </c>
      <c r="AX131" s="35"/>
      <c r="AY131" s="35">
        <f t="shared" si="29"/>
        <v>0</v>
      </c>
      <c r="AZ131" s="35"/>
      <c r="BA131" s="35" t="s">
        <v>53</v>
      </c>
      <c r="BB131" s="55"/>
      <c r="BC131" s="35" t="s">
        <v>53</v>
      </c>
      <c r="BD131" s="35"/>
      <c r="BE131" s="35">
        <v>0</v>
      </c>
      <c r="BF131" s="35"/>
      <c r="BG131" s="35">
        <v>0</v>
      </c>
      <c r="BH131" s="35"/>
      <c r="BI131" s="35">
        <v>0</v>
      </c>
      <c r="BJ131" s="35"/>
      <c r="BK131" s="35">
        <v>0</v>
      </c>
      <c r="BL131" s="35"/>
      <c r="BM131" s="35">
        <f t="shared" si="31"/>
        <v>0</v>
      </c>
      <c r="BN131" s="54" t="s">
        <v>347</v>
      </c>
    </row>
    <row r="132" spans="1:66" ht="12.75" hidden="1" customHeight="1">
      <c r="A132" s="35" t="s">
        <v>165</v>
      </c>
      <c r="C132" s="35" t="s">
        <v>92</v>
      </c>
      <c r="D132" s="35"/>
      <c r="E132" s="35">
        <f t="shared" si="19"/>
        <v>0</v>
      </c>
      <c r="F132" s="35"/>
      <c r="G132" s="35">
        <v>0</v>
      </c>
      <c r="H132" s="35"/>
      <c r="I132" s="35">
        <v>0</v>
      </c>
      <c r="J132" s="35"/>
      <c r="K132" s="35">
        <f t="shared" si="20"/>
        <v>0</v>
      </c>
      <c r="L132" s="35"/>
      <c r="M132" s="35">
        <v>0</v>
      </c>
      <c r="N132" s="35"/>
      <c r="O132" s="35">
        <v>0</v>
      </c>
      <c r="P132" s="35"/>
      <c r="Q132" s="35">
        <v>0</v>
      </c>
      <c r="R132" s="35"/>
      <c r="S132" s="35">
        <v>0</v>
      </c>
      <c r="T132" s="35"/>
      <c r="U132" s="35">
        <v>0</v>
      </c>
      <c r="V132" s="35"/>
      <c r="W132" s="35">
        <f t="shared" si="26"/>
        <v>0</v>
      </c>
      <c r="X132" s="35"/>
      <c r="Y132" s="35" t="s">
        <v>165</v>
      </c>
      <c r="Z132" s="55"/>
      <c r="AA132" s="35" t="s">
        <v>92</v>
      </c>
      <c r="AB132" s="35"/>
      <c r="AC132" s="35">
        <v>0</v>
      </c>
      <c r="AD132" s="35"/>
      <c r="AE132" s="35">
        <v>0</v>
      </c>
      <c r="AF132" s="35"/>
      <c r="AG132" s="35">
        <v>0</v>
      </c>
      <c r="AH132" s="35"/>
      <c r="AI132" s="45">
        <f t="shared" si="32"/>
        <v>0</v>
      </c>
      <c r="AJ132" s="45"/>
      <c r="AK132" s="35">
        <v>0</v>
      </c>
      <c r="AL132" s="35"/>
      <c r="AM132" s="35">
        <v>0</v>
      </c>
      <c r="AN132" s="35"/>
      <c r="AO132" s="35">
        <v>0</v>
      </c>
      <c r="AP132" s="35"/>
      <c r="AQ132" s="35">
        <v>0</v>
      </c>
      <c r="AR132" s="35"/>
      <c r="AS132" s="45">
        <f t="shared" si="28"/>
        <v>0</v>
      </c>
      <c r="AT132" s="45"/>
      <c r="AU132" s="35">
        <v>0</v>
      </c>
      <c r="AV132" s="35"/>
      <c r="AW132" s="35">
        <v>0</v>
      </c>
      <c r="AX132" s="35"/>
      <c r="AY132" s="35">
        <f t="shared" si="29"/>
        <v>0</v>
      </c>
      <c r="AZ132" s="35"/>
      <c r="BA132" s="35" t="s">
        <v>165</v>
      </c>
      <c r="BB132" s="55"/>
      <c r="BC132" s="35" t="s">
        <v>92</v>
      </c>
      <c r="BD132" s="35"/>
      <c r="BE132" s="35">
        <v>0</v>
      </c>
      <c r="BF132" s="35"/>
      <c r="BG132" s="35">
        <v>0</v>
      </c>
      <c r="BH132" s="35"/>
      <c r="BI132" s="35">
        <v>0</v>
      </c>
      <c r="BJ132" s="35"/>
      <c r="BK132" s="35">
        <v>0</v>
      </c>
      <c r="BL132" s="35"/>
      <c r="BM132" s="35">
        <f t="shared" si="31"/>
        <v>0</v>
      </c>
      <c r="BN132" s="54" t="s">
        <v>347</v>
      </c>
    </row>
    <row r="133" spans="1:66" ht="12.75" hidden="1" customHeight="1">
      <c r="A133" s="35" t="s">
        <v>166</v>
      </c>
      <c r="C133" s="35" t="s">
        <v>92</v>
      </c>
      <c r="D133" s="35"/>
      <c r="E133" s="35">
        <f t="shared" si="19"/>
        <v>0</v>
      </c>
      <c r="F133" s="35"/>
      <c r="G133" s="35">
        <v>0</v>
      </c>
      <c r="H133" s="35"/>
      <c r="I133" s="35">
        <v>0</v>
      </c>
      <c r="J133" s="35"/>
      <c r="K133" s="35">
        <f t="shared" si="20"/>
        <v>0</v>
      </c>
      <c r="L133" s="35"/>
      <c r="M133" s="35">
        <v>0</v>
      </c>
      <c r="N133" s="35"/>
      <c r="O133" s="35">
        <v>0</v>
      </c>
      <c r="P133" s="35"/>
      <c r="Q133" s="35">
        <v>0</v>
      </c>
      <c r="R133" s="35"/>
      <c r="S133" s="35">
        <v>0</v>
      </c>
      <c r="T133" s="35"/>
      <c r="U133" s="35">
        <v>0</v>
      </c>
      <c r="V133" s="35"/>
      <c r="W133" s="35">
        <f t="shared" si="26"/>
        <v>0</v>
      </c>
      <c r="X133" s="35"/>
      <c r="Y133" s="35" t="s">
        <v>166</v>
      </c>
      <c r="Z133" s="55"/>
      <c r="AA133" s="35" t="s">
        <v>92</v>
      </c>
      <c r="AB133" s="35"/>
      <c r="AC133" s="35">
        <v>0</v>
      </c>
      <c r="AD133" s="35"/>
      <c r="AE133" s="35">
        <v>0</v>
      </c>
      <c r="AF133" s="35"/>
      <c r="AG133" s="35">
        <v>0</v>
      </c>
      <c r="AH133" s="35"/>
      <c r="AI133" s="45">
        <f t="shared" si="32"/>
        <v>0</v>
      </c>
      <c r="AJ133" s="45"/>
      <c r="AK133" s="35">
        <v>0</v>
      </c>
      <c r="AL133" s="35"/>
      <c r="AM133" s="35">
        <v>0</v>
      </c>
      <c r="AN133" s="35"/>
      <c r="AO133" s="35">
        <v>0</v>
      </c>
      <c r="AP133" s="35"/>
      <c r="AQ133" s="35">
        <v>0</v>
      </c>
      <c r="AR133" s="35"/>
      <c r="AS133" s="45">
        <f t="shared" si="28"/>
        <v>0</v>
      </c>
      <c r="AT133" s="45"/>
      <c r="AU133" s="35">
        <v>0</v>
      </c>
      <c r="AV133" s="35"/>
      <c r="AW133" s="35">
        <v>0</v>
      </c>
      <c r="AX133" s="35"/>
      <c r="AY133" s="35">
        <f t="shared" si="29"/>
        <v>0</v>
      </c>
      <c r="AZ133" s="35"/>
      <c r="BA133" s="35" t="s">
        <v>166</v>
      </c>
      <c r="BB133" s="55"/>
      <c r="BC133" s="35" t="s">
        <v>92</v>
      </c>
      <c r="BD133" s="35"/>
      <c r="BE133" s="35">
        <v>0</v>
      </c>
      <c r="BF133" s="35"/>
      <c r="BG133" s="35">
        <v>0</v>
      </c>
      <c r="BH133" s="35"/>
      <c r="BI133" s="35">
        <v>0</v>
      </c>
      <c r="BJ133" s="35"/>
      <c r="BK133" s="35">
        <v>0</v>
      </c>
      <c r="BL133" s="35"/>
      <c r="BM133" s="35">
        <f t="shared" si="31"/>
        <v>0</v>
      </c>
      <c r="BN133" s="54" t="s">
        <v>347</v>
      </c>
    </row>
    <row r="134" spans="1:66" ht="12.75" hidden="1" customHeight="1">
      <c r="A134" s="35" t="s">
        <v>167</v>
      </c>
      <c r="C134" s="35" t="s">
        <v>66</v>
      </c>
      <c r="D134" s="35"/>
      <c r="E134" s="35">
        <f t="shared" si="19"/>
        <v>0</v>
      </c>
      <c r="F134" s="35"/>
      <c r="G134" s="35">
        <v>0</v>
      </c>
      <c r="H134" s="35"/>
      <c r="I134" s="35">
        <v>0</v>
      </c>
      <c r="J134" s="35"/>
      <c r="K134" s="35">
        <f t="shared" si="20"/>
        <v>0</v>
      </c>
      <c r="L134" s="35"/>
      <c r="M134" s="35">
        <v>0</v>
      </c>
      <c r="N134" s="35"/>
      <c r="O134" s="35">
        <v>0</v>
      </c>
      <c r="P134" s="35"/>
      <c r="Q134" s="35">
        <v>0</v>
      </c>
      <c r="R134" s="35"/>
      <c r="S134" s="35">
        <v>0</v>
      </c>
      <c r="T134" s="35"/>
      <c r="U134" s="35">
        <v>0</v>
      </c>
      <c r="V134" s="35"/>
      <c r="W134" s="35">
        <f t="shared" si="26"/>
        <v>0</v>
      </c>
      <c r="X134" s="35"/>
      <c r="Y134" s="35" t="s">
        <v>167</v>
      </c>
      <c r="Z134" s="55"/>
      <c r="AA134" s="35" t="s">
        <v>66</v>
      </c>
      <c r="AB134" s="35"/>
      <c r="AC134" s="35">
        <v>0</v>
      </c>
      <c r="AD134" s="35"/>
      <c r="AE134" s="35">
        <v>0</v>
      </c>
      <c r="AF134" s="35"/>
      <c r="AG134" s="35">
        <v>0</v>
      </c>
      <c r="AH134" s="35"/>
      <c r="AI134" s="45">
        <f t="shared" si="32"/>
        <v>0</v>
      </c>
      <c r="AJ134" s="45"/>
      <c r="AK134" s="35">
        <v>0</v>
      </c>
      <c r="AL134" s="35"/>
      <c r="AM134" s="35">
        <v>0</v>
      </c>
      <c r="AN134" s="35"/>
      <c r="AO134" s="35">
        <v>0</v>
      </c>
      <c r="AP134" s="35"/>
      <c r="AQ134" s="35">
        <v>0</v>
      </c>
      <c r="AR134" s="35"/>
      <c r="AS134" s="45">
        <f t="shared" si="28"/>
        <v>0</v>
      </c>
      <c r="AT134" s="45"/>
      <c r="AU134" s="35">
        <v>0</v>
      </c>
      <c r="AV134" s="35"/>
      <c r="AW134" s="35">
        <v>0</v>
      </c>
      <c r="AX134" s="35"/>
      <c r="AY134" s="35">
        <f t="shared" si="29"/>
        <v>0</v>
      </c>
      <c r="AZ134" s="35"/>
      <c r="BA134" s="35" t="s">
        <v>167</v>
      </c>
      <c r="BB134" s="55"/>
      <c r="BC134" s="35" t="s">
        <v>66</v>
      </c>
      <c r="BD134" s="35"/>
      <c r="BE134" s="35">
        <v>0</v>
      </c>
      <c r="BF134" s="35"/>
      <c r="BG134" s="35">
        <v>0</v>
      </c>
      <c r="BH134" s="35"/>
      <c r="BI134" s="35">
        <v>0</v>
      </c>
      <c r="BJ134" s="35"/>
      <c r="BK134" s="35">
        <v>0</v>
      </c>
      <c r="BL134" s="35"/>
      <c r="BM134" s="35">
        <f t="shared" si="31"/>
        <v>0</v>
      </c>
      <c r="BN134" s="54" t="s">
        <v>347</v>
      </c>
    </row>
    <row r="135" spans="1:66" ht="12.75" hidden="1" customHeight="1">
      <c r="A135" s="44" t="s">
        <v>168</v>
      </c>
      <c r="C135" s="44" t="s">
        <v>27</v>
      </c>
      <c r="D135" s="44"/>
      <c r="E135" s="35">
        <f t="shared" si="19"/>
        <v>0</v>
      </c>
      <c r="F135" s="35"/>
      <c r="G135" s="35">
        <v>0</v>
      </c>
      <c r="H135" s="35"/>
      <c r="I135" s="35">
        <v>0</v>
      </c>
      <c r="J135" s="35"/>
      <c r="K135" s="35">
        <f t="shared" si="20"/>
        <v>0</v>
      </c>
      <c r="L135" s="35"/>
      <c r="M135" s="35">
        <v>0</v>
      </c>
      <c r="N135" s="35"/>
      <c r="O135" s="35">
        <v>0</v>
      </c>
      <c r="P135" s="35"/>
      <c r="Q135" s="35">
        <v>0</v>
      </c>
      <c r="R135" s="35"/>
      <c r="S135" s="35">
        <v>0</v>
      </c>
      <c r="T135" s="35"/>
      <c r="U135" s="35">
        <v>0</v>
      </c>
      <c r="V135" s="35"/>
      <c r="W135" s="35">
        <f t="shared" si="26"/>
        <v>0</v>
      </c>
      <c r="X135" s="35"/>
      <c r="Y135" s="44" t="s">
        <v>168</v>
      </c>
      <c r="Z135" s="55"/>
      <c r="AA135" s="44" t="s">
        <v>27</v>
      </c>
      <c r="AB135" s="44"/>
      <c r="AC135" s="35">
        <v>0</v>
      </c>
      <c r="AD135" s="35"/>
      <c r="AE135" s="35">
        <v>0</v>
      </c>
      <c r="AF135" s="35"/>
      <c r="AG135" s="35">
        <v>0</v>
      </c>
      <c r="AH135" s="35"/>
      <c r="AI135" s="45">
        <f t="shared" si="32"/>
        <v>0</v>
      </c>
      <c r="AJ135" s="45"/>
      <c r="AK135" s="35">
        <v>0</v>
      </c>
      <c r="AL135" s="35"/>
      <c r="AM135" s="35">
        <v>0</v>
      </c>
      <c r="AN135" s="35"/>
      <c r="AO135" s="35">
        <v>0</v>
      </c>
      <c r="AP135" s="35"/>
      <c r="AQ135" s="35">
        <v>0</v>
      </c>
      <c r="AR135" s="35"/>
      <c r="AS135" s="45">
        <f t="shared" si="28"/>
        <v>0</v>
      </c>
      <c r="AT135" s="45"/>
      <c r="AU135" s="35">
        <v>0</v>
      </c>
      <c r="AV135" s="35"/>
      <c r="AW135" s="35">
        <v>0</v>
      </c>
      <c r="AX135" s="35"/>
      <c r="AY135" s="35">
        <f t="shared" si="29"/>
        <v>0</v>
      </c>
      <c r="AZ135" s="35"/>
      <c r="BA135" s="44" t="s">
        <v>168</v>
      </c>
      <c r="BB135" s="55"/>
      <c r="BC135" s="44" t="s">
        <v>27</v>
      </c>
      <c r="BD135" s="44"/>
      <c r="BE135" s="35">
        <v>0</v>
      </c>
      <c r="BF135" s="35"/>
      <c r="BG135" s="35">
        <v>0</v>
      </c>
      <c r="BH135" s="35"/>
      <c r="BI135" s="35">
        <v>0</v>
      </c>
      <c r="BJ135" s="35"/>
      <c r="BK135" s="35">
        <v>0</v>
      </c>
      <c r="BL135" s="35"/>
      <c r="BM135" s="35">
        <f t="shared" si="31"/>
        <v>0</v>
      </c>
      <c r="BN135" s="54" t="s">
        <v>347</v>
      </c>
    </row>
    <row r="136" spans="1:66" ht="12.75" hidden="1" customHeight="1">
      <c r="A136" s="35" t="s">
        <v>169</v>
      </c>
      <c r="C136" s="35" t="s">
        <v>103</v>
      </c>
      <c r="D136" s="35"/>
      <c r="E136" s="35">
        <f t="shared" si="19"/>
        <v>0</v>
      </c>
      <c r="F136" s="35"/>
      <c r="G136" s="35">
        <v>0</v>
      </c>
      <c r="H136" s="35"/>
      <c r="I136" s="35">
        <v>0</v>
      </c>
      <c r="J136" s="35"/>
      <c r="K136" s="35">
        <f t="shared" si="20"/>
        <v>0</v>
      </c>
      <c r="L136" s="35"/>
      <c r="M136" s="35">
        <v>0</v>
      </c>
      <c r="N136" s="35"/>
      <c r="O136" s="35">
        <v>0</v>
      </c>
      <c r="P136" s="35"/>
      <c r="Q136" s="35">
        <v>0</v>
      </c>
      <c r="R136" s="35"/>
      <c r="S136" s="35">
        <v>0</v>
      </c>
      <c r="T136" s="35"/>
      <c r="U136" s="35">
        <v>0</v>
      </c>
      <c r="V136" s="35"/>
      <c r="W136" s="35">
        <f t="shared" si="26"/>
        <v>0</v>
      </c>
      <c r="X136" s="35"/>
      <c r="Y136" s="35" t="s">
        <v>169</v>
      </c>
      <c r="Z136" s="55"/>
      <c r="AA136" s="35" t="s">
        <v>103</v>
      </c>
      <c r="AB136" s="35"/>
      <c r="AC136" s="35">
        <v>0</v>
      </c>
      <c r="AD136" s="35"/>
      <c r="AE136" s="35">
        <v>0</v>
      </c>
      <c r="AF136" s="35"/>
      <c r="AG136" s="35">
        <v>0</v>
      </c>
      <c r="AH136" s="35"/>
      <c r="AI136" s="45">
        <f t="shared" si="32"/>
        <v>0</v>
      </c>
      <c r="AJ136" s="45"/>
      <c r="AK136" s="35">
        <v>0</v>
      </c>
      <c r="AL136" s="35"/>
      <c r="AM136" s="35">
        <v>0</v>
      </c>
      <c r="AN136" s="35"/>
      <c r="AO136" s="35">
        <v>0</v>
      </c>
      <c r="AP136" s="35"/>
      <c r="AQ136" s="35">
        <v>0</v>
      </c>
      <c r="AR136" s="35"/>
      <c r="AS136" s="45">
        <f t="shared" si="28"/>
        <v>0</v>
      </c>
      <c r="AT136" s="45"/>
      <c r="AU136" s="35">
        <v>0</v>
      </c>
      <c r="AV136" s="35"/>
      <c r="AW136" s="35">
        <v>0</v>
      </c>
      <c r="AX136" s="35"/>
      <c r="AY136" s="35">
        <f t="shared" si="29"/>
        <v>0</v>
      </c>
      <c r="AZ136" s="35"/>
      <c r="BA136" s="35" t="s">
        <v>169</v>
      </c>
      <c r="BB136" s="55"/>
      <c r="BC136" s="35" t="s">
        <v>103</v>
      </c>
      <c r="BD136" s="35"/>
      <c r="BE136" s="35">
        <v>0</v>
      </c>
      <c r="BF136" s="35"/>
      <c r="BG136" s="35">
        <v>0</v>
      </c>
      <c r="BH136" s="35"/>
      <c r="BI136" s="35">
        <v>0</v>
      </c>
      <c r="BJ136" s="35"/>
      <c r="BK136" s="35">
        <v>0</v>
      </c>
      <c r="BL136" s="35"/>
      <c r="BM136" s="35">
        <f t="shared" si="31"/>
        <v>0</v>
      </c>
      <c r="BN136" s="54" t="s">
        <v>347</v>
      </c>
    </row>
    <row r="137" spans="1:66" ht="12.75" hidden="1" customHeight="1">
      <c r="A137" s="35" t="s">
        <v>170</v>
      </c>
      <c r="C137" s="35" t="s">
        <v>171</v>
      </c>
      <c r="D137" s="35"/>
      <c r="E137" s="35">
        <f t="shared" si="19"/>
        <v>0</v>
      </c>
      <c r="F137" s="35"/>
      <c r="G137" s="35">
        <v>0</v>
      </c>
      <c r="H137" s="35"/>
      <c r="I137" s="35">
        <v>0</v>
      </c>
      <c r="J137" s="35"/>
      <c r="K137" s="35">
        <f t="shared" si="20"/>
        <v>0</v>
      </c>
      <c r="L137" s="35"/>
      <c r="M137" s="35">
        <v>0</v>
      </c>
      <c r="N137" s="35"/>
      <c r="O137" s="35">
        <v>0</v>
      </c>
      <c r="P137" s="35"/>
      <c r="Q137" s="35">
        <v>0</v>
      </c>
      <c r="R137" s="35"/>
      <c r="S137" s="35">
        <v>0</v>
      </c>
      <c r="T137" s="35"/>
      <c r="U137" s="35">
        <v>0</v>
      </c>
      <c r="V137" s="35"/>
      <c r="W137" s="35">
        <f t="shared" si="26"/>
        <v>0</v>
      </c>
      <c r="X137" s="35"/>
      <c r="Y137" s="35" t="s">
        <v>170</v>
      </c>
      <c r="Z137" s="55"/>
      <c r="AA137" s="35" t="s">
        <v>171</v>
      </c>
      <c r="AB137" s="35"/>
      <c r="AC137" s="35">
        <v>0</v>
      </c>
      <c r="AD137" s="35"/>
      <c r="AE137" s="35">
        <v>0</v>
      </c>
      <c r="AF137" s="35"/>
      <c r="AG137" s="35">
        <v>0</v>
      </c>
      <c r="AH137" s="35"/>
      <c r="AI137" s="45">
        <f t="shared" si="32"/>
        <v>0</v>
      </c>
      <c r="AJ137" s="45"/>
      <c r="AK137" s="35">
        <v>0</v>
      </c>
      <c r="AL137" s="35"/>
      <c r="AM137" s="35">
        <v>0</v>
      </c>
      <c r="AN137" s="35"/>
      <c r="AO137" s="35">
        <v>0</v>
      </c>
      <c r="AP137" s="35"/>
      <c r="AQ137" s="35">
        <v>0</v>
      </c>
      <c r="AR137" s="35"/>
      <c r="AS137" s="45">
        <f t="shared" si="28"/>
        <v>0</v>
      </c>
      <c r="AT137" s="45"/>
      <c r="AU137" s="35">
        <v>0</v>
      </c>
      <c r="AV137" s="35"/>
      <c r="AW137" s="35">
        <v>0</v>
      </c>
      <c r="AX137" s="35"/>
      <c r="AY137" s="35">
        <f t="shared" si="29"/>
        <v>0</v>
      </c>
      <c r="AZ137" s="35"/>
      <c r="BA137" s="35" t="s">
        <v>170</v>
      </c>
      <c r="BB137" s="55"/>
      <c r="BC137" s="35" t="s">
        <v>171</v>
      </c>
      <c r="BD137" s="35"/>
      <c r="BE137" s="35">
        <v>0</v>
      </c>
      <c r="BF137" s="35"/>
      <c r="BG137" s="35">
        <v>0</v>
      </c>
      <c r="BH137" s="35"/>
      <c r="BI137" s="35">
        <v>0</v>
      </c>
      <c r="BJ137" s="35"/>
      <c r="BK137" s="35">
        <v>0</v>
      </c>
      <c r="BL137" s="35"/>
      <c r="BM137" s="35">
        <f t="shared" si="31"/>
        <v>0</v>
      </c>
      <c r="BN137" s="54" t="s">
        <v>347</v>
      </c>
    </row>
    <row r="138" spans="1:66" ht="12.75" hidden="1" customHeight="1">
      <c r="A138" s="35" t="s">
        <v>172</v>
      </c>
      <c r="C138" s="35" t="s">
        <v>103</v>
      </c>
      <c r="D138" s="35"/>
      <c r="E138" s="35">
        <f t="shared" si="19"/>
        <v>0</v>
      </c>
      <c r="F138" s="35"/>
      <c r="G138" s="35">
        <v>0</v>
      </c>
      <c r="H138" s="35"/>
      <c r="I138" s="35">
        <v>0</v>
      </c>
      <c r="J138" s="35"/>
      <c r="K138" s="35">
        <f t="shared" si="20"/>
        <v>0</v>
      </c>
      <c r="L138" s="35"/>
      <c r="M138" s="35">
        <v>0</v>
      </c>
      <c r="N138" s="35"/>
      <c r="O138" s="35">
        <v>0</v>
      </c>
      <c r="P138" s="35"/>
      <c r="Q138" s="35">
        <v>0</v>
      </c>
      <c r="R138" s="35"/>
      <c r="S138" s="35">
        <v>0</v>
      </c>
      <c r="T138" s="35"/>
      <c r="U138" s="35">
        <v>0</v>
      </c>
      <c r="V138" s="35"/>
      <c r="W138" s="35">
        <f t="shared" si="26"/>
        <v>0</v>
      </c>
      <c r="X138" s="35"/>
      <c r="Y138" s="35" t="s">
        <v>172</v>
      </c>
      <c r="Z138" s="55"/>
      <c r="AA138" s="35" t="s">
        <v>103</v>
      </c>
      <c r="AB138" s="35"/>
      <c r="AC138" s="35">
        <v>0</v>
      </c>
      <c r="AD138" s="35"/>
      <c r="AE138" s="35">
        <v>0</v>
      </c>
      <c r="AF138" s="35"/>
      <c r="AG138" s="35">
        <v>0</v>
      </c>
      <c r="AH138" s="35"/>
      <c r="AI138" s="45">
        <f t="shared" si="32"/>
        <v>0</v>
      </c>
      <c r="AJ138" s="45"/>
      <c r="AK138" s="35">
        <v>0</v>
      </c>
      <c r="AL138" s="35"/>
      <c r="AM138" s="35">
        <v>0</v>
      </c>
      <c r="AN138" s="35"/>
      <c r="AO138" s="35">
        <v>0</v>
      </c>
      <c r="AP138" s="35"/>
      <c r="AQ138" s="35">
        <v>0</v>
      </c>
      <c r="AR138" s="35"/>
      <c r="AS138" s="45">
        <f t="shared" si="28"/>
        <v>0</v>
      </c>
      <c r="AT138" s="45"/>
      <c r="AU138" s="35">
        <v>0</v>
      </c>
      <c r="AV138" s="35"/>
      <c r="AW138" s="35">
        <v>0</v>
      </c>
      <c r="AX138" s="35"/>
      <c r="AY138" s="35">
        <f t="shared" si="29"/>
        <v>0</v>
      </c>
      <c r="AZ138" s="35"/>
      <c r="BA138" s="35" t="s">
        <v>172</v>
      </c>
      <c r="BB138" s="55"/>
      <c r="BC138" s="35" t="s">
        <v>103</v>
      </c>
      <c r="BD138" s="35"/>
      <c r="BE138" s="35">
        <v>0</v>
      </c>
      <c r="BF138" s="35"/>
      <c r="BG138" s="35">
        <v>0</v>
      </c>
      <c r="BH138" s="35"/>
      <c r="BI138" s="35">
        <v>0</v>
      </c>
      <c r="BJ138" s="35"/>
      <c r="BK138" s="35">
        <v>0</v>
      </c>
      <c r="BL138" s="35"/>
      <c r="BM138" s="35">
        <f t="shared" si="31"/>
        <v>0</v>
      </c>
      <c r="BN138" s="54" t="s">
        <v>347</v>
      </c>
    </row>
    <row r="139" spans="1:66" ht="12.75" hidden="1" customHeight="1">
      <c r="A139" s="35" t="s">
        <v>66</v>
      </c>
      <c r="C139" s="35" t="s">
        <v>45</v>
      </c>
      <c r="D139" s="35"/>
      <c r="E139" s="35">
        <f t="shared" si="19"/>
        <v>0</v>
      </c>
      <c r="F139" s="35"/>
      <c r="G139" s="35">
        <v>0</v>
      </c>
      <c r="H139" s="35"/>
      <c r="I139" s="35">
        <v>0</v>
      </c>
      <c r="J139" s="35"/>
      <c r="K139" s="35">
        <f t="shared" si="20"/>
        <v>0</v>
      </c>
      <c r="L139" s="35"/>
      <c r="M139" s="35">
        <v>0</v>
      </c>
      <c r="N139" s="35"/>
      <c r="O139" s="35">
        <v>0</v>
      </c>
      <c r="P139" s="35"/>
      <c r="Q139" s="35">
        <v>0</v>
      </c>
      <c r="R139" s="35"/>
      <c r="S139" s="35">
        <v>0</v>
      </c>
      <c r="T139" s="35"/>
      <c r="U139" s="35">
        <v>0</v>
      </c>
      <c r="V139" s="35"/>
      <c r="W139" s="35">
        <f t="shared" ref="W139:W170" si="33">SUM(Q139:U139)</f>
        <v>0</v>
      </c>
      <c r="X139" s="35"/>
      <c r="Y139" s="35" t="s">
        <v>66</v>
      </c>
      <c r="Z139" s="55"/>
      <c r="AA139" s="35" t="s">
        <v>45</v>
      </c>
      <c r="AB139" s="35"/>
      <c r="AC139" s="35">
        <v>0</v>
      </c>
      <c r="AD139" s="35"/>
      <c r="AE139" s="35">
        <v>0</v>
      </c>
      <c r="AF139" s="35"/>
      <c r="AG139" s="35">
        <v>0</v>
      </c>
      <c r="AH139" s="35"/>
      <c r="AI139" s="45">
        <f t="shared" si="32"/>
        <v>0</v>
      </c>
      <c r="AJ139" s="45"/>
      <c r="AK139" s="35">
        <v>0</v>
      </c>
      <c r="AL139" s="35"/>
      <c r="AM139" s="35">
        <v>0</v>
      </c>
      <c r="AN139" s="35"/>
      <c r="AO139" s="35">
        <v>0</v>
      </c>
      <c r="AP139" s="35"/>
      <c r="AQ139" s="35">
        <v>0</v>
      </c>
      <c r="AR139" s="35"/>
      <c r="AS139" s="45">
        <f t="shared" si="28"/>
        <v>0</v>
      </c>
      <c r="AT139" s="45"/>
      <c r="AU139" s="35">
        <v>0</v>
      </c>
      <c r="AV139" s="35"/>
      <c r="AW139" s="35">
        <v>0</v>
      </c>
      <c r="AX139" s="35"/>
      <c r="AY139" s="35">
        <f t="shared" si="29"/>
        <v>0</v>
      </c>
      <c r="AZ139" s="35"/>
      <c r="BA139" s="35" t="s">
        <v>66</v>
      </c>
      <c r="BB139" s="55"/>
      <c r="BC139" s="35" t="s">
        <v>45</v>
      </c>
      <c r="BD139" s="35"/>
      <c r="BE139" s="35">
        <v>0</v>
      </c>
      <c r="BF139" s="35"/>
      <c r="BG139" s="35">
        <v>0</v>
      </c>
      <c r="BH139" s="35"/>
      <c r="BI139" s="35">
        <v>0</v>
      </c>
      <c r="BJ139" s="35"/>
      <c r="BK139" s="35">
        <v>0</v>
      </c>
      <c r="BL139" s="35"/>
      <c r="BM139" s="35">
        <f t="shared" si="31"/>
        <v>0</v>
      </c>
      <c r="BN139" s="54" t="s">
        <v>347</v>
      </c>
    </row>
    <row r="140" spans="1:66" ht="12.75" hidden="1" customHeight="1">
      <c r="A140" s="35" t="s">
        <v>173</v>
      </c>
      <c r="C140" s="35" t="s">
        <v>66</v>
      </c>
      <c r="D140" s="35"/>
      <c r="E140" s="35">
        <f t="shared" ref="E140:E203" si="34">I140-G140</f>
        <v>0</v>
      </c>
      <c r="F140" s="35"/>
      <c r="G140" s="35">
        <v>0</v>
      </c>
      <c r="H140" s="35"/>
      <c r="I140" s="35">
        <v>0</v>
      </c>
      <c r="J140" s="35"/>
      <c r="K140" s="35">
        <f t="shared" ref="K140:K203" si="35">O140-M140</f>
        <v>0</v>
      </c>
      <c r="L140" s="35"/>
      <c r="M140" s="35">
        <v>0</v>
      </c>
      <c r="N140" s="35"/>
      <c r="O140" s="35">
        <v>0</v>
      </c>
      <c r="P140" s="35"/>
      <c r="Q140" s="35">
        <v>0</v>
      </c>
      <c r="R140" s="35"/>
      <c r="S140" s="35">
        <v>0</v>
      </c>
      <c r="T140" s="35"/>
      <c r="U140" s="35">
        <v>0</v>
      </c>
      <c r="V140" s="35"/>
      <c r="W140" s="35">
        <f t="shared" si="33"/>
        <v>0</v>
      </c>
      <c r="X140" s="35"/>
      <c r="Y140" s="35" t="s">
        <v>173</v>
      </c>
      <c r="Z140" s="55"/>
      <c r="AA140" s="35" t="s">
        <v>66</v>
      </c>
      <c r="AB140" s="35"/>
      <c r="AC140" s="35">
        <v>0</v>
      </c>
      <c r="AD140" s="35"/>
      <c r="AE140" s="35">
        <v>0</v>
      </c>
      <c r="AF140" s="35"/>
      <c r="AG140" s="35">
        <v>0</v>
      </c>
      <c r="AH140" s="35"/>
      <c r="AI140" s="45">
        <f t="shared" si="32"/>
        <v>0</v>
      </c>
      <c r="AJ140" s="45"/>
      <c r="AK140" s="35">
        <v>0</v>
      </c>
      <c r="AL140" s="35"/>
      <c r="AM140" s="35">
        <v>0</v>
      </c>
      <c r="AN140" s="35"/>
      <c r="AO140" s="35">
        <v>0</v>
      </c>
      <c r="AP140" s="35"/>
      <c r="AQ140" s="35">
        <v>0</v>
      </c>
      <c r="AR140" s="35"/>
      <c r="AS140" s="45">
        <f t="shared" si="28"/>
        <v>0</v>
      </c>
      <c r="AT140" s="45"/>
      <c r="AU140" s="35">
        <v>0</v>
      </c>
      <c r="AV140" s="35"/>
      <c r="AW140" s="35">
        <v>0</v>
      </c>
      <c r="AX140" s="35"/>
      <c r="AY140" s="35">
        <f t="shared" si="29"/>
        <v>0</v>
      </c>
      <c r="AZ140" s="35"/>
      <c r="BA140" s="35" t="s">
        <v>173</v>
      </c>
      <c r="BB140" s="55"/>
      <c r="BC140" s="35" t="s">
        <v>66</v>
      </c>
      <c r="BD140" s="35"/>
      <c r="BE140" s="35">
        <v>0</v>
      </c>
      <c r="BF140" s="35"/>
      <c r="BG140" s="35">
        <v>0</v>
      </c>
      <c r="BH140" s="35"/>
      <c r="BI140" s="35">
        <v>0</v>
      </c>
      <c r="BJ140" s="35"/>
      <c r="BK140" s="35">
        <v>0</v>
      </c>
      <c r="BL140" s="35"/>
      <c r="BM140" s="35">
        <f t="shared" si="31"/>
        <v>0</v>
      </c>
      <c r="BN140" s="54" t="s">
        <v>347</v>
      </c>
    </row>
    <row r="141" spans="1:66" ht="12.75" hidden="1" customHeight="1">
      <c r="A141" s="35" t="s">
        <v>174</v>
      </c>
      <c r="C141" s="35" t="s">
        <v>45</v>
      </c>
      <c r="D141" s="35"/>
      <c r="E141" s="35">
        <f t="shared" si="34"/>
        <v>0</v>
      </c>
      <c r="F141" s="35"/>
      <c r="G141" s="35">
        <v>0</v>
      </c>
      <c r="H141" s="35"/>
      <c r="I141" s="35">
        <v>0</v>
      </c>
      <c r="J141" s="35"/>
      <c r="K141" s="35">
        <f t="shared" si="35"/>
        <v>0</v>
      </c>
      <c r="L141" s="35"/>
      <c r="M141" s="35">
        <v>0</v>
      </c>
      <c r="N141" s="35"/>
      <c r="O141" s="35">
        <v>0</v>
      </c>
      <c r="P141" s="35"/>
      <c r="Q141" s="35">
        <v>0</v>
      </c>
      <c r="R141" s="35"/>
      <c r="S141" s="35">
        <v>0</v>
      </c>
      <c r="T141" s="35"/>
      <c r="U141" s="35">
        <v>0</v>
      </c>
      <c r="V141" s="35"/>
      <c r="W141" s="35">
        <f t="shared" si="33"/>
        <v>0</v>
      </c>
      <c r="X141" s="35"/>
      <c r="Y141" s="35" t="s">
        <v>174</v>
      </c>
      <c r="Z141" s="55"/>
      <c r="AA141" s="35" t="s">
        <v>45</v>
      </c>
      <c r="AB141" s="35"/>
      <c r="AC141" s="35">
        <v>0</v>
      </c>
      <c r="AD141" s="35"/>
      <c r="AE141" s="35">
        <v>0</v>
      </c>
      <c r="AF141" s="35"/>
      <c r="AG141" s="35">
        <v>0</v>
      </c>
      <c r="AH141" s="35"/>
      <c r="AI141" s="45">
        <f t="shared" si="32"/>
        <v>0</v>
      </c>
      <c r="AJ141" s="45"/>
      <c r="AK141" s="35">
        <v>0</v>
      </c>
      <c r="AL141" s="35"/>
      <c r="AM141" s="35">
        <v>0</v>
      </c>
      <c r="AN141" s="35"/>
      <c r="AO141" s="35">
        <v>0</v>
      </c>
      <c r="AP141" s="35"/>
      <c r="AQ141" s="35">
        <v>0</v>
      </c>
      <c r="AR141" s="35"/>
      <c r="AS141" s="45">
        <f t="shared" si="28"/>
        <v>0</v>
      </c>
      <c r="AT141" s="45"/>
      <c r="AU141" s="35">
        <v>0</v>
      </c>
      <c r="AV141" s="35"/>
      <c r="AW141" s="35">
        <v>0</v>
      </c>
      <c r="AX141" s="35"/>
      <c r="AY141" s="35">
        <f t="shared" si="29"/>
        <v>0</v>
      </c>
      <c r="AZ141" s="35"/>
      <c r="BA141" s="35" t="s">
        <v>174</v>
      </c>
      <c r="BB141" s="55"/>
      <c r="BC141" s="35" t="s">
        <v>45</v>
      </c>
      <c r="BD141" s="35"/>
      <c r="BE141" s="35">
        <v>0</v>
      </c>
      <c r="BF141" s="35"/>
      <c r="BG141" s="35">
        <v>0</v>
      </c>
      <c r="BH141" s="35"/>
      <c r="BI141" s="35">
        <v>0</v>
      </c>
      <c r="BJ141" s="35"/>
      <c r="BK141" s="35">
        <v>0</v>
      </c>
      <c r="BL141" s="35"/>
      <c r="BM141" s="35">
        <f t="shared" si="31"/>
        <v>0</v>
      </c>
      <c r="BN141" s="54" t="s">
        <v>347</v>
      </c>
    </row>
    <row r="142" spans="1:66" ht="12.75" hidden="1" customHeight="1">
      <c r="A142" s="35" t="s">
        <v>175</v>
      </c>
      <c r="C142" s="35" t="s">
        <v>176</v>
      </c>
      <c r="D142" s="35"/>
      <c r="E142" s="35">
        <f t="shared" si="34"/>
        <v>0</v>
      </c>
      <c r="F142" s="35"/>
      <c r="G142" s="35">
        <v>0</v>
      </c>
      <c r="H142" s="35"/>
      <c r="I142" s="35">
        <v>0</v>
      </c>
      <c r="J142" s="35"/>
      <c r="K142" s="35">
        <f t="shared" si="35"/>
        <v>0</v>
      </c>
      <c r="L142" s="35"/>
      <c r="M142" s="35">
        <v>0</v>
      </c>
      <c r="N142" s="35"/>
      <c r="O142" s="35">
        <v>0</v>
      </c>
      <c r="P142" s="35"/>
      <c r="Q142" s="35">
        <v>0</v>
      </c>
      <c r="R142" s="35"/>
      <c r="S142" s="35">
        <v>0</v>
      </c>
      <c r="T142" s="35"/>
      <c r="U142" s="35">
        <v>0</v>
      </c>
      <c r="V142" s="35"/>
      <c r="W142" s="35">
        <f t="shared" si="33"/>
        <v>0</v>
      </c>
      <c r="X142" s="35"/>
      <c r="Y142" s="35" t="s">
        <v>175</v>
      </c>
      <c r="Z142" s="55"/>
      <c r="AA142" s="35" t="s">
        <v>176</v>
      </c>
      <c r="AB142" s="35"/>
      <c r="AC142" s="35">
        <v>0</v>
      </c>
      <c r="AD142" s="35"/>
      <c r="AE142" s="35">
        <v>0</v>
      </c>
      <c r="AF142" s="35"/>
      <c r="AG142" s="35">
        <v>0</v>
      </c>
      <c r="AH142" s="35"/>
      <c r="AI142" s="45">
        <f t="shared" si="32"/>
        <v>0</v>
      </c>
      <c r="AJ142" s="45"/>
      <c r="AK142" s="35">
        <v>0</v>
      </c>
      <c r="AL142" s="35"/>
      <c r="AM142" s="35">
        <v>0</v>
      </c>
      <c r="AN142" s="35"/>
      <c r="AO142" s="35">
        <v>0</v>
      </c>
      <c r="AP142" s="35"/>
      <c r="AQ142" s="35">
        <v>0</v>
      </c>
      <c r="AR142" s="35"/>
      <c r="AS142" s="45">
        <f t="shared" ref="AS142:AS205" si="36">+AI142+AK142+AM142-AO142+AQ142</f>
        <v>0</v>
      </c>
      <c r="AT142" s="45"/>
      <c r="AU142" s="35">
        <v>0</v>
      </c>
      <c r="AV142" s="35"/>
      <c r="AW142" s="35">
        <v>0</v>
      </c>
      <c r="AX142" s="35"/>
      <c r="AY142" s="35">
        <f t="shared" ref="AY142:AY205" si="37">+E142-K142</f>
        <v>0</v>
      </c>
      <c r="AZ142" s="35"/>
      <c r="BA142" s="35" t="s">
        <v>175</v>
      </c>
      <c r="BB142" s="55"/>
      <c r="BC142" s="35" t="s">
        <v>176</v>
      </c>
      <c r="BD142" s="35"/>
      <c r="BE142" s="35">
        <v>0</v>
      </c>
      <c r="BF142" s="35"/>
      <c r="BG142" s="35">
        <v>0</v>
      </c>
      <c r="BH142" s="35"/>
      <c r="BI142" s="35">
        <v>0</v>
      </c>
      <c r="BJ142" s="35"/>
      <c r="BK142" s="35">
        <v>0</v>
      </c>
      <c r="BL142" s="35"/>
      <c r="BM142" s="35">
        <v>0</v>
      </c>
      <c r="BN142" s="54" t="s">
        <v>347</v>
      </c>
    </row>
    <row r="143" spans="1:66" ht="12.75" hidden="1" customHeight="1">
      <c r="A143" s="35" t="s">
        <v>177</v>
      </c>
      <c r="C143" s="35" t="s">
        <v>13</v>
      </c>
      <c r="D143" s="35"/>
      <c r="E143" s="35">
        <f t="shared" si="34"/>
        <v>0</v>
      </c>
      <c r="F143" s="35"/>
      <c r="G143" s="35">
        <v>0</v>
      </c>
      <c r="H143" s="35"/>
      <c r="I143" s="35">
        <v>0</v>
      </c>
      <c r="J143" s="35"/>
      <c r="K143" s="35">
        <f t="shared" si="35"/>
        <v>0</v>
      </c>
      <c r="L143" s="35"/>
      <c r="M143" s="35">
        <v>0</v>
      </c>
      <c r="N143" s="35"/>
      <c r="O143" s="35">
        <v>0</v>
      </c>
      <c r="P143" s="35"/>
      <c r="Q143" s="35">
        <v>0</v>
      </c>
      <c r="R143" s="35"/>
      <c r="S143" s="35">
        <v>0</v>
      </c>
      <c r="T143" s="35"/>
      <c r="U143" s="35">
        <v>0</v>
      </c>
      <c r="V143" s="35"/>
      <c r="W143" s="35">
        <f t="shared" si="33"/>
        <v>0</v>
      </c>
      <c r="X143" s="35"/>
      <c r="Y143" s="35" t="s">
        <v>177</v>
      </c>
      <c r="Z143" s="55"/>
      <c r="AA143" s="35" t="s">
        <v>13</v>
      </c>
      <c r="AB143" s="35"/>
      <c r="AC143" s="35">
        <v>0</v>
      </c>
      <c r="AD143" s="35"/>
      <c r="AE143" s="35">
        <v>0</v>
      </c>
      <c r="AF143" s="35"/>
      <c r="AG143" s="35">
        <v>0</v>
      </c>
      <c r="AH143" s="35"/>
      <c r="AI143" s="45">
        <f t="shared" si="32"/>
        <v>0</v>
      </c>
      <c r="AJ143" s="45"/>
      <c r="AK143" s="35">
        <v>0</v>
      </c>
      <c r="AL143" s="35"/>
      <c r="AM143" s="35">
        <v>0</v>
      </c>
      <c r="AN143" s="35"/>
      <c r="AO143" s="35">
        <v>0</v>
      </c>
      <c r="AP143" s="35"/>
      <c r="AQ143" s="35">
        <v>0</v>
      </c>
      <c r="AR143" s="35"/>
      <c r="AS143" s="45">
        <f t="shared" si="36"/>
        <v>0</v>
      </c>
      <c r="AT143" s="45"/>
      <c r="AU143" s="35">
        <v>0</v>
      </c>
      <c r="AV143" s="35"/>
      <c r="AW143" s="35">
        <v>0</v>
      </c>
      <c r="AX143" s="35"/>
      <c r="AY143" s="35">
        <f t="shared" si="37"/>
        <v>0</v>
      </c>
      <c r="AZ143" s="35"/>
      <c r="BA143" s="35" t="s">
        <v>177</v>
      </c>
      <c r="BB143" s="55"/>
      <c r="BC143" s="35" t="s">
        <v>13</v>
      </c>
      <c r="BD143" s="35"/>
      <c r="BE143" s="35">
        <v>0</v>
      </c>
      <c r="BF143" s="35"/>
      <c r="BG143" s="35">
        <v>0</v>
      </c>
      <c r="BH143" s="35"/>
      <c r="BI143" s="35">
        <v>0</v>
      </c>
      <c r="BJ143" s="35"/>
      <c r="BK143" s="35">
        <v>0</v>
      </c>
      <c r="BL143" s="35"/>
      <c r="BM143" s="35">
        <f t="shared" ref="BM143:BM188" si="38">SUM(BE143:BK143)</f>
        <v>0</v>
      </c>
      <c r="BN143" s="54" t="s">
        <v>347</v>
      </c>
    </row>
    <row r="144" spans="1:66" ht="13.5" customHeight="1">
      <c r="A144" s="35" t="s">
        <v>178</v>
      </c>
      <c r="C144" s="35" t="s">
        <v>179</v>
      </c>
      <c r="D144" s="35"/>
      <c r="E144" s="35">
        <f t="shared" si="34"/>
        <v>10859933</v>
      </c>
      <c r="F144" s="35"/>
      <c r="G144" s="35">
        <v>12693337</v>
      </c>
      <c r="H144" s="35"/>
      <c r="I144" s="35">
        <v>23553270</v>
      </c>
      <c r="J144" s="35"/>
      <c r="K144" s="35">
        <f t="shared" si="35"/>
        <v>1226800</v>
      </c>
      <c r="L144" s="35"/>
      <c r="M144" s="35">
        <v>2003462</v>
      </c>
      <c r="N144" s="35"/>
      <c r="O144" s="35">
        <v>3230262</v>
      </c>
      <c r="P144" s="35"/>
      <c r="Q144" s="35">
        <v>9672624</v>
      </c>
      <c r="R144" s="35"/>
      <c r="S144" s="35">
        <v>0</v>
      </c>
      <c r="T144" s="35"/>
      <c r="U144" s="35">
        <v>10650384</v>
      </c>
      <c r="V144" s="35"/>
      <c r="W144" s="35">
        <f t="shared" si="33"/>
        <v>20323008</v>
      </c>
      <c r="X144" s="35"/>
      <c r="Y144" s="35" t="s">
        <v>178</v>
      </c>
      <c r="Z144" s="55"/>
      <c r="AA144" s="35" t="s">
        <v>179</v>
      </c>
      <c r="AB144" s="35"/>
      <c r="AC144" s="35">
        <v>14283334</v>
      </c>
      <c r="AD144" s="35"/>
      <c r="AE144" s="35">
        <f>13643805-418343</f>
        <v>13225462</v>
      </c>
      <c r="AF144" s="35"/>
      <c r="AG144" s="35">
        <v>418343</v>
      </c>
      <c r="AH144" s="35"/>
      <c r="AI144" s="45">
        <f t="shared" si="32"/>
        <v>639529</v>
      </c>
      <c r="AJ144" s="45"/>
      <c r="AK144" s="35">
        <v>126876</v>
      </c>
      <c r="AL144" s="35"/>
      <c r="AM144" s="35">
        <v>0</v>
      </c>
      <c r="AN144" s="35"/>
      <c r="AO144" s="35">
        <v>0</v>
      </c>
      <c r="AP144" s="35"/>
      <c r="AQ144" s="35">
        <v>0</v>
      </c>
      <c r="AR144" s="35"/>
      <c r="AS144" s="45">
        <f t="shared" si="36"/>
        <v>766405</v>
      </c>
      <c r="AT144" s="45"/>
      <c r="AU144" s="35">
        <v>0</v>
      </c>
      <c r="AV144" s="35"/>
      <c r="AW144" s="35">
        <v>0</v>
      </c>
      <c r="AX144" s="35"/>
      <c r="AY144" s="35">
        <f t="shared" si="37"/>
        <v>9633133</v>
      </c>
      <c r="AZ144" s="35"/>
      <c r="BA144" s="35" t="s">
        <v>178</v>
      </c>
      <c r="BB144" s="55"/>
      <c r="BC144" s="35" t="s">
        <v>179</v>
      </c>
      <c r="BD144" s="35"/>
      <c r="BE144" s="35">
        <v>0</v>
      </c>
      <c r="BF144" s="35"/>
      <c r="BG144" s="35">
        <f>1650000+165000</f>
        <v>1815000</v>
      </c>
      <c r="BH144" s="35"/>
      <c r="BI144" s="35">
        <v>0</v>
      </c>
      <c r="BJ144" s="35"/>
      <c r="BK144" s="35">
        <v>121600</v>
      </c>
      <c r="BL144" s="35"/>
      <c r="BM144" s="35">
        <f t="shared" si="38"/>
        <v>1936600</v>
      </c>
      <c r="BN144" s="54" t="s">
        <v>347</v>
      </c>
    </row>
    <row r="145" spans="1:66" ht="12.75" hidden="1" customHeight="1">
      <c r="A145" s="35" t="s">
        <v>180</v>
      </c>
      <c r="C145" s="35" t="s">
        <v>20</v>
      </c>
      <c r="D145" s="35"/>
      <c r="E145" s="35">
        <f t="shared" si="34"/>
        <v>0</v>
      </c>
      <c r="F145" s="35"/>
      <c r="G145" s="35">
        <v>0</v>
      </c>
      <c r="H145" s="35"/>
      <c r="I145" s="35">
        <v>0</v>
      </c>
      <c r="J145" s="35"/>
      <c r="K145" s="35">
        <f t="shared" si="35"/>
        <v>0</v>
      </c>
      <c r="L145" s="35"/>
      <c r="M145" s="35">
        <v>0</v>
      </c>
      <c r="N145" s="35"/>
      <c r="O145" s="35">
        <v>0</v>
      </c>
      <c r="P145" s="35"/>
      <c r="Q145" s="35">
        <v>0</v>
      </c>
      <c r="R145" s="35"/>
      <c r="S145" s="35">
        <v>0</v>
      </c>
      <c r="T145" s="35"/>
      <c r="U145" s="35">
        <v>0</v>
      </c>
      <c r="V145" s="35"/>
      <c r="W145" s="35">
        <f t="shared" si="33"/>
        <v>0</v>
      </c>
      <c r="X145" s="35"/>
      <c r="Y145" s="35" t="s">
        <v>180</v>
      </c>
      <c r="Z145" s="55"/>
      <c r="AA145" s="35" t="s">
        <v>20</v>
      </c>
      <c r="AB145" s="35"/>
      <c r="AC145" s="35">
        <v>0</v>
      </c>
      <c r="AD145" s="35"/>
      <c r="AE145" s="35">
        <v>0</v>
      </c>
      <c r="AF145" s="35"/>
      <c r="AG145" s="35">
        <v>0</v>
      </c>
      <c r="AH145" s="35"/>
      <c r="AI145" s="45">
        <f t="shared" si="32"/>
        <v>0</v>
      </c>
      <c r="AJ145" s="45"/>
      <c r="AK145" s="35">
        <v>0</v>
      </c>
      <c r="AL145" s="35"/>
      <c r="AM145" s="35">
        <v>0</v>
      </c>
      <c r="AN145" s="35"/>
      <c r="AO145" s="35">
        <v>0</v>
      </c>
      <c r="AP145" s="35"/>
      <c r="AQ145" s="35">
        <v>0</v>
      </c>
      <c r="AR145" s="35"/>
      <c r="AS145" s="45">
        <f t="shared" si="36"/>
        <v>0</v>
      </c>
      <c r="AT145" s="45"/>
      <c r="AU145" s="35">
        <v>0</v>
      </c>
      <c r="AV145" s="35"/>
      <c r="AW145" s="35">
        <v>0</v>
      </c>
      <c r="AX145" s="35"/>
      <c r="AY145" s="35">
        <f t="shared" si="37"/>
        <v>0</v>
      </c>
      <c r="AZ145" s="35"/>
      <c r="BA145" s="35" t="s">
        <v>180</v>
      </c>
      <c r="BB145" s="55"/>
      <c r="BC145" s="35" t="s">
        <v>20</v>
      </c>
      <c r="BD145" s="35"/>
      <c r="BE145" s="35">
        <v>0</v>
      </c>
      <c r="BF145" s="35"/>
      <c r="BG145" s="35">
        <v>0</v>
      </c>
      <c r="BH145" s="35"/>
      <c r="BI145" s="35">
        <v>0</v>
      </c>
      <c r="BJ145" s="35"/>
      <c r="BK145" s="35">
        <v>0</v>
      </c>
      <c r="BL145" s="35"/>
      <c r="BM145" s="35">
        <f t="shared" si="38"/>
        <v>0</v>
      </c>
      <c r="BN145" s="54" t="s">
        <v>347</v>
      </c>
    </row>
    <row r="146" spans="1:66" ht="12.75" hidden="1" customHeight="1">
      <c r="A146" s="35" t="s">
        <v>182</v>
      </c>
      <c r="C146" s="35" t="s">
        <v>183</v>
      </c>
      <c r="D146" s="35"/>
      <c r="E146" s="35">
        <f t="shared" si="34"/>
        <v>0</v>
      </c>
      <c r="F146" s="35"/>
      <c r="G146" s="35">
        <v>0</v>
      </c>
      <c r="H146" s="35"/>
      <c r="I146" s="35">
        <v>0</v>
      </c>
      <c r="J146" s="35"/>
      <c r="K146" s="35">
        <f t="shared" si="35"/>
        <v>0</v>
      </c>
      <c r="L146" s="35"/>
      <c r="M146" s="35">
        <v>0</v>
      </c>
      <c r="N146" s="35"/>
      <c r="O146" s="35">
        <v>0</v>
      </c>
      <c r="P146" s="35"/>
      <c r="Q146" s="35">
        <v>0</v>
      </c>
      <c r="R146" s="35"/>
      <c r="S146" s="35">
        <v>0</v>
      </c>
      <c r="T146" s="35"/>
      <c r="U146" s="35">
        <v>0</v>
      </c>
      <c r="V146" s="35"/>
      <c r="W146" s="35">
        <f t="shared" si="33"/>
        <v>0</v>
      </c>
      <c r="X146" s="35"/>
      <c r="Y146" s="35" t="s">
        <v>182</v>
      </c>
      <c r="Z146" s="55"/>
      <c r="AA146" s="35" t="s">
        <v>183</v>
      </c>
      <c r="AB146" s="35"/>
      <c r="AC146" s="35">
        <v>0</v>
      </c>
      <c r="AD146" s="35"/>
      <c r="AE146" s="35">
        <v>0</v>
      </c>
      <c r="AF146" s="35"/>
      <c r="AG146" s="35">
        <v>0</v>
      </c>
      <c r="AH146" s="35"/>
      <c r="AI146" s="45">
        <f t="shared" si="32"/>
        <v>0</v>
      </c>
      <c r="AJ146" s="45"/>
      <c r="AK146" s="35">
        <v>0</v>
      </c>
      <c r="AL146" s="35"/>
      <c r="AM146" s="35">
        <v>0</v>
      </c>
      <c r="AN146" s="35"/>
      <c r="AO146" s="35">
        <v>0</v>
      </c>
      <c r="AP146" s="35"/>
      <c r="AQ146" s="35">
        <v>0</v>
      </c>
      <c r="AR146" s="35"/>
      <c r="AS146" s="45">
        <f t="shared" si="36"/>
        <v>0</v>
      </c>
      <c r="AT146" s="45"/>
      <c r="AU146" s="35">
        <v>0</v>
      </c>
      <c r="AV146" s="35"/>
      <c r="AW146" s="35">
        <v>0</v>
      </c>
      <c r="AX146" s="35"/>
      <c r="AY146" s="35">
        <f t="shared" si="37"/>
        <v>0</v>
      </c>
      <c r="AZ146" s="35"/>
      <c r="BA146" s="35" t="s">
        <v>182</v>
      </c>
      <c r="BB146" s="55"/>
      <c r="BC146" s="35" t="s">
        <v>183</v>
      </c>
      <c r="BD146" s="35"/>
      <c r="BE146" s="35">
        <v>0</v>
      </c>
      <c r="BF146" s="35"/>
      <c r="BG146" s="35">
        <v>0</v>
      </c>
      <c r="BH146" s="35"/>
      <c r="BI146" s="35">
        <v>0</v>
      </c>
      <c r="BJ146" s="35"/>
      <c r="BK146" s="35">
        <v>0</v>
      </c>
      <c r="BL146" s="35"/>
      <c r="BM146" s="35">
        <f t="shared" si="38"/>
        <v>0</v>
      </c>
      <c r="BN146" s="54" t="s">
        <v>347</v>
      </c>
    </row>
    <row r="147" spans="1:66" ht="12.75" hidden="1" customHeight="1">
      <c r="A147" s="35" t="s">
        <v>184</v>
      </c>
      <c r="C147" s="35" t="s">
        <v>89</v>
      </c>
      <c r="D147" s="35"/>
      <c r="E147" s="35">
        <f t="shared" si="34"/>
        <v>0</v>
      </c>
      <c r="F147" s="35"/>
      <c r="G147" s="35">
        <v>0</v>
      </c>
      <c r="H147" s="35"/>
      <c r="I147" s="35">
        <v>0</v>
      </c>
      <c r="J147" s="35"/>
      <c r="K147" s="35">
        <f t="shared" si="35"/>
        <v>0</v>
      </c>
      <c r="L147" s="35"/>
      <c r="M147" s="35">
        <v>0</v>
      </c>
      <c r="N147" s="35"/>
      <c r="O147" s="35">
        <v>0</v>
      </c>
      <c r="P147" s="35"/>
      <c r="Q147" s="35">
        <v>0</v>
      </c>
      <c r="R147" s="35"/>
      <c r="S147" s="35">
        <v>0</v>
      </c>
      <c r="T147" s="35"/>
      <c r="U147" s="35">
        <v>0</v>
      </c>
      <c r="V147" s="35"/>
      <c r="W147" s="35">
        <f t="shared" si="33"/>
        <v>0</v>
      </c>
      <c r="X147" s="35"/>
      <c r="Y147" s="35" t="s">
        <v>184</v>
      </c>
      <c r="Z147" s="55"/>
      <c r="AA147" s="35" t="s">
        <v>89</v>
      </c>
      <c r="AB147" s="35"/>
      <c r="AC147" s="35">
        <v>0</v>
      </c>
      <c r="AD147" s="35"/>
      <c r="AE147" s="35">
        <v>0</v>
      </c>
      <c r="AF147" s="35"/>
      <c r="AG147" s="35">
        <v>0</v>
      </c>
      <c r="AH147" s="35"/>
      <c r="AI147" s="45">
        <f t="shared" si="32"/>
        <v>0</v>
      </c>
      <c r="AJ147" s="45"/>
      <c r="AK147" s="35">
        <v>0</v>
      </c>
      <c r="AL147" s="35"/>
      <c r="AM147" s="35">
        <v>0</v>
      </c>
      <c r="AN147" s="35"/>
      <c r="AO147" s="35">
        <v>0</v>
      </c>
      <c r="AP147" s="35"/>
      <c r="AQ147" s="35">
        <v>0</v>
      </c>
      <c r="AR147" s="35"/>
      <c r="AS147" s="45">
        <f t="shared" si="36"/>
        <v>0</v>
      </c>
      <c r="AT147" s="45"/>
      <c r="AU147" s="35">
        <v>0</v>
      </c>
      <c r="AV147" s="35"/>
      <c r="AW147" s="35">
        <v>0</v>
      </c>
      <c r="AX147" s="35"/>
      <c r="AY147" s="35">
        <f t="shared" si="37"/>
        <v>0</v>
      </c>
      <c r="AZ147" s="35"/>
      <c r="BA147" s="35" t="s">
        <v>184</v>
      </c>
      <c r="BB147" s="55"/>
      <c r="BC147" s="35" t="s">
        <v>89</v>
      </c>
      <c r="BD147" s="35"/>
      <c r="BE147" s="35">
        <v>0</v>
      </c>
      <c r="BF147" s="35"/>
      <c r="BG147" s="35">
        <v>0</v>
      </c>
      <c r="BH147" s="35"/>
      <c r="BI147" s="35">
        <v>0</v>
      </c>
      <c r="BJ147" s="35"/>
      <c r="BK147" s="35">
        <v>0</v>
      </c>
      <c r="BL147" s="35"/>
      <c r="BM147" s="35">
        <f t="shared" si="38"/>
        <v>0</v>
      </c>
      <c r="BN147" s="54" t="s">
        <v>347</v>
      </c>
    </row>
    <row r="148" spans="1:66" ht="12.75" hidden="1" customHeight="1">
      <c r="A148" s="35" t="s">
        <v>181</v>
      </c>
      <c r="C148" s="35" t="s">
        <v>125</v>
      </c>
      <c r="D148" s="35"/>
      <c r="E148" s="35">
        <f t="shared" si="34"/>
        <v>0</v>
      </c>
      <c r="F148" s="35"/>
      <c r="G148" s="35">
        <v>0</v>
      </c>
      <c r="H148" s="35"/>
      <c r="I148" s="35">
        <v>0</v>
      </c>
      <c r="J148" s="35"/>
      <c r="K148" s="35">
        <f t="shared" si="35"/>
        <v>0</v>
      </c>
      <c r="L148" s="35"/>
      <c r="M148" s="35">
        <v>0</v>
      </c>
      <c r="N148" s="35"/>
      <c r="O148" s="35">
        <v>0</v>
      </c>
      <c r="P148" s="35"/>
      <c r="Q148" s="35">
        <v>0</v>
      </c>
      <c r="R148" s="35"/>
      <c r="S148" s="35">
        <v>0</v>
      </c>
      <c r="T148" s="35"/>
      <c r="U148" s="35">
        <v>0</v>
      </c>
      <c r="V148" s="35"/>
      <c r="W148" s="35">
        <f t="shared" si="33"/>
        <v>0</v>
      </c>
      <c r="X148" s="35"/>
      <c r="Y148" s="35" t="s">
        <v>181</v>
      </c>
      <c r="Z148" s="55"/>
      <c r="AA148" s="35" t="s">
        <v>125</v>
      </c>
      <c r="AB148" s="35"/>
      <c r="AC148" s="35">
        <v>0</v>
      </c>
      <c r="AD148" s="35"/>
      <c r="AE148" s="35">
        <v>0</v>
      </c>
      <c r="AF148" s="35"/>
      <c r="AG148" s="35">
        <v>0</v>
      </c>
      <c r="AH148" s="35"/>
      <c r="AI148" s="45">
        <f t="shared" si="32"/>
        <v>0</v>
      </c>
      <c r="AJ148" s="45"/>
      <c r="AK148" s="35">
        <v>0</v>
      </c>
      <c r="AL148" s="35"/>
      <c r="AM148" s="35">
        <v>0</v>
      </c>
      <c r="AN148" s="35"/>
      <c r="AO148" s="35">
        <v>0</v>
      </c>
      <c r="AP148" s="35"/>
      <c r="AQ148" s="35">
        <v>0</v>
      </c>
      <c r="AR148" s="35"/>
      <c r="AS148" s="45">
        <f t="shared" si="36"/>
        <v>0</v>
      </c>
      <c r="AT148" s="45"/>
      <c r="AU148" s="35">
        <v>0</v>
      </c>
      <c r="AV148" s="35"/>
      <c r="AW148" s="35">
        <v>0</v>
      </c>
      <c r="AX148" s="35"/>
      <c r="AY148" s="35">
        <f t="shared" si="37"/>
        <v>0</v>
      </c>
      <c r="AZ148" s="35"/>
      <c r="BA148" s="35" t="s">
        <v>181</v>
      </c>
      <c r="BB148" s="55"/>
      <c r="BC148" s="35" t="s">
        <v>125</v>
      </c>
      <c r="BD148" s="35"/>
      <c r="BE148" s="35">
        <v>0</v>
      </c>
      <c r="BF148" s="35"/>
      <c r="BG148" s="35">
        <v>0</v>
      </c>
      <c r="BH148" s="35"/>
      <c r="BI148" s="35">
        <v>0</v>
      </c>
      <c r="BJ148" s="35"/>
      <c r="BK148" s="35">
        <v>0</v>
      </c>
      <c r="BL148" s="35"/>
      <c r="BM148" s="35">
        <f t="shared" si="38"/>
        <v>0</v>
      </c>
      <c r="BN148" s="54" t="s">
        <v>347</v>
      </c>
    </row>
    <row r="149" spans="1:66" ht="12.75" customHeight="1">
      <c r="A149" s="35" t="s">
        <v>185</v>
      </c>
      <c r="C149" s="35" t="s">
        <v>80</v>
      </c>
      <c r="D149" s="35"/>
      <c r="E149" s="35">
        <f t="shared" si="34"/>
        <v>1685826</v>
      </c>
      <c r="F149" s="35"/>
      <c r="G149" s="35">
        <v>11011212</v>
      </c>
      <c r="H149" s="35"/>
      <c r="I149" s="35">
        <v>12697038</v>
      </c>
      <c r="J149" s="35"/>
      <c r="K149" s="35">
        <f t="shared" si="35"/>
        <v>2310557</v>
      </c>
      <c r="L149" s="35"/>
      <c r="M149" s="35">
        <v>4252409</v>
      </c>
      <c r="N149" s="35"/>
      <c r="O149" s="35">
        <v>6562966</v>
      </c>
      <c r="P149" s="35"/>
      <c r="Q149" s="35">
        <v>4970033</v>
      </c>
      <c r="R149" s="35"/>
      <c r="S149" s="35">
        <v>0</v>
      </c>
      <c r="T149" s="35"/>
      <c r="U149" s="35">
        <v>1164039</v>
      </c>
      <c r="V149" s="35"/>
      <c r="W149" s="35">
        <f t="shared" si="33"/>
        <v>6134072</v>
      </c>
      <c r="X149" s="35"/>
      <c r="Y149" s="35" t="s">
        <v>185</v>
      </c>
      <c r="Z149" s="55"/>
      <c r="AA149" s="35" t="s">
        <v>80</v>
      </c>
      <c r="AB149" s="35"/>
      <c r="AC149" s="35">
        <v>22516636</v>
      </c>
      <c r="AD149" s="35"/>
      <c r="AE149" s="35">
        <f>27790437-671291</f>
        <v>27119146</v>
      </c>
      <c r="AF149" s="35"/>
      <c r="AG149" s="35">
        <v>671291</v>
      </c>
      <c r="AH149" s="35"/>
      <c r="AI149" s="45">
        <f t="shared" si="32"/>
        <v>-5273801</v>
      </c>
      <c r="AJ149" s="45"/>
      <c r="AK149" s="35">
        <v>366191</v>
      </c>
      <c r="AL149" s="35"/>
      <c r="AM149" s="35">
        <v>0</v>
      </c>
      <c r="AN149" s="35"/>
      <c r="AO149" s="35">
        <v>0</v>
      </c>
      <c r="AP149" s="35"/>
      <c r="AQ149" s="35">
        <v>0</v>
      </c>
      <c r="AR149" s="35"/>
      <c r="AS149" s="45">
        <f t="shared" si="36"/>
        <v>-4907610</v>
      </c>
      <c r="AT149" s="45"/>
      <c r="AU149" s="35">
        <v>0</v>
      </c>
      <c r="AV149" s="35"/>
      <c r="AW149" s="35">
        <v>0</v>
      </c>
      <c r="AX149" s="35"/>
      <c r="AY149" s="35">
        <f t="shared" si="37"/>
        <v>-624731</v>
      </c>
      <c r="AZ149" s="35"/>
      <c r="BA149" s="35" t="s">
        <v>185</v>
      </c>
      <c r="BB149" s="55"/>
      <c r="BC149" s="35" t="s">
        <v>80</v>
      </c>
      <c r="BD149" s="35"/>
      <c r="BE149" s="35">
        <v>0</v>
      </c>
      <c r="BF149" s="35"/>
      <c r="BG149" s="35">
        <v>0</v>
      </c>
      <c r="BH149" s="35"/>
      <c r="BI149" s="35">
        <v>0</v>
      </c>
      <c r="BJ149" s="35"/>
      <c r="BK149" s="35">
        <f>269376+3983033+14636</f>
        <v>4267045</v>
      </c>
      <c r="BL149" s="35"/>
      <c r="BM149" s="35">
        <f t="shared" si="38"/>
        <v>4267045</v>
      </c>
      <c r="BN149" s="54" t="s">
        <v>347</v>
      </c>
    </row>
    <row r="150" spans="1:66" ht="12.75" hidden="1" customHeight="1">
      <c r="A150" s="35" t="s">
        <v>186</v>
      </c>
      <c r="C150" s="35" t="s">
        <v>15</v>
      </c>
      <c r="D150" s="35"/>
      <c r="E150" s="35">
        <f t="shared" si="34"/>
        <v>0</v>
      </c>
      <c r="F150" s="35"/>
      <c r="G150" s="35">
        <v>0</v>
      </c>
      <c r="H150" s="35"/>
      <c r="I150" s="35">
        <v>0</v>
      </c>
      <c r="J150" s="35"/>
      <c r="K150" s="35">
        <f t="shared" si="35"/>
        <v>0</v>
      </c>
      <c r="L150" s="35"/>
      <c r="M150" s="35">
        <v>0</v>
      </c>
      <c r="N150" s="35"/>
      <c r="O150" s="35">
        <v>0</v>
      </c>
      <c r="P150" s="35"/>
      <c r="Q150" s="35">
        <v>0</v>
      </c>
      <c r="R150" s="35"/>
      <c r="S150" s="35">
        <v>0</v>
      </c>
      <c r="T150" s="35"/>
      <c r="U150" s="35">
        <v>0</v>
      </c>
      <c r="V150" s="35"/>
      <c r="W150" s="35">
        <f t="shared" si="33"/>
        <v>0</v>
      </c>
      <c r="X150" s="35"/>
      <c r="Y150" s="35" t="s">
        <v>186</v>
      </c>
      <c r="Z150" s="55"/>
      <c r="AA150" s="35" t="s">
        <v>15</v>
      </c>
      <c r="AB150" s="35"/>
      <c r="AC150" s="35">
        <v>0</v>
      </c>
      <c r="AD150" s="35"/>
      <c r="AE150" s="35">
        <v>0</v>
      </c>
      <c r="AF150" s="35"/>
      <c r="AG150" s="35">
        <v>0</v>
      </c>
      <c r="AH150" s="35"/>
      <c r="AI150" s="45">
        <f t="shared" si="32"/>
        <v>0</v>
      </c>
      <c r="AJ150" s="45"/>
      <c r="AK150" s="35">
        <v>0</v>
      </c>
      <c r="AL150" s="35"/>
      <c r="AM150" s="35">
        <v>0</v>
      </c>
      <c r="AN150" s="35"/>
      <c r="AO150" s="35">
        <v>0</v>
      </c>
      <c r="AP150" s="35"/>
      <c r="AQ150" s="35">
        <v>0</v>
      </c>
      <c r="AR150" s="35"/>
      <c r="AS150" s="45">
        <f t="shared" si="36"/>
        <v>0</v>
      </c>
      <c r="AT150" s="45"/>
      <c r="AU150" s="35">
        <v>0</v>
      </c>
      <c r="AV150" s="35"/>
      <c r="AW150" s="35">
        <v>0</v>
      </c>
      <c r="AX150" s="35"/>
      <c r="AY150" s="35">
        <f t="shared" si="37"/>
        <v>0</v>
      </c>
      <c r="AZ150" s="35"/>
      <c r="BA150" s="35" t="s">
        <v>186</v>
      </c>
      <c r="BB150" s="55"/>
      <c r="BC150" s="35" t="s">
        <v>15</v>
      </c>
      <c r="BD150" s="35"/>
      <c r="BE150" s="35">
        <v>0</v>
      </c>
      <c r="BF150" s="35"/>
      <c r="BG150" s="35">
        <v>0</v>
      </c>
      <c r="BH150" s="35"/>
      <c r="BI150" s="35">
        <v>0</v>
      </c>
      <c r="BJ150" s="35"/>
      <c r="BK150" s="35">
        <v>0</v>
      </c>
      <c r="BL150" s="35"/>
      <c r="BM150" s="35">
        <f t="shared" si="38"/>
        <v>0</v>
      </c>
      <c r="BN150" s="54" t="s">
        <v>347</v>
      </c>
    </row>
    <row r="151" spans="1:66" ht="12.75" hidden="1" customHeight="1">
      <c r="A151" s="35" t="s">
        <v>187</v>
      </c>
      <c r="C151" s="35" t="s">
        <v>27</v>
      </c>
      <c r="D151" s="35"/>
      <c r="E151" s="35">
        <f t="shared" si="34"/>
        <v>0</v>
      </c>
      <c r="F151" s="35"/>
      <c r="G151" s="35">
        <v>0</v>
      </c>
      <c r="H151" s="35"/>
      <c r="I151" s="35">
        <v>0</v>
      </c>
      <c r="J151" s="35"/>
      <c r="K151" s="35">
        <f t="shared" si="35"/>
        <v>0</v>
      </c>
      <c r="L151" s="35"/>
      <c r="M151" s="35">
        <v>0</v>
      </c>
      <c r="N151" s="35"/>
      <c r="O151" s="35">
        <v>0</v>
      </c>
      <c r="P151" s="35"/>
      <c r="Q151" s="35">
        <v>0</v>
      </c>
      <c r="R151" s="35"/>
      <c r="S151" s="35">
        <v>0</v>
      </c>
      <c r="T151" s="35"/>
      <c r="U151" s="35">
        <v>0</v>
      </c>
      <c r="V151" s="35"/>
      <c r="W151" s="35">
        <f t="shared" si="33"/>
        <v>0</v>
      </c>
      <c r="X151" s="35"/>
      <c r="Y151" s="35" t="s">
        <v>187</v>
      </c>
      <c r="Z151" s="55"/>
      <c r="AA151" s="35" t="s">
        <v>27</v>
      </c>
      <c r="AB151" s="35"/>
      <c r="AC151" s="35">
        <v>0</v>
      </c>
      <c r="AD151" s="35"/>
      <c r="AE151" s="35">
        <v>0</v>
      </c>
      <c r="AF151" s="35"/>
      <c r="AG151" s="35">
        <v>0</v>
      </c>
      <c r="AH151" s="35"/>
      <c r="AI151" s="45">
        <f t="shared" si="32"/>
        <v>0</v>
      </c>
      <c r="AJ151" s="45"/>
      <c r="AK151" s="35">
        <v>0</v>
      </c>
      <c r="AL151" s="35"/>
      <c r="AM151" s="35">
        <v>0</v>
      </c>
      <c r="AN151" s="35"/>
      <c r="AO151" s="35">
        <v>0</v>
      </c>
      <c r="AP151" s="35"/>
      <c r="AQ151" s="35">
        <v>0</v>
      </c>
      <c r="AR151" s="35"/>
      <c r="AS151" s="45">
        <f t="shared" si="36"/>
        <v>0</v>
      </c>
      <c r="AT151" s="45"/>
      <c r="AU151" s="35">
        <v>0</v>
      </c>
      <c r="AV151" s="35"/>
      <c r="AW151" s="35">
        <v>0</v>
      </c>
      <c r="AX151" s="35"/>
      <c r="AY151" s="35">
        <f t="shared" si="37"/>
        <v>0</v>
      </c>
      <c r="AZ151" s="35"/>
      <c r="BA151" s="35" t="s">
        <v>187</v>
      </c>
      <c r="BB151" s="55"/>
      <c r="BC151" s="35" t="s">
        <v>27</v>
      </c>
      <c r="BD151" s="35"/>
      <c r="BE151" s="35">
        <v>0</v>
      </c>
      <c r="BF151" s="35"/>
      <c r="BG151" s="35">
        <v>0</v>
      </c>
      <c r="BH151" s="35"/>
      <c r="BI151" s="35">
        <v>0</v>
      </c>
      <c r="BJ151" s="35"/>
      <c r="BK151" s="35">
        <v>0</v>
      </c>
      <c r="BL151" s="35"/>
      <c r="BM151" s="35">
        <f t="shared" si="38"/>
        <v>0</v>
      </c>
      <c r="BN151" s="54" t="s">
        <v>347</v>
      </c>
    </row>
    <row r="152" spans="1:66" ht="12.75" hidden="1" customHeight="1">
      <c r="A152" s="35" t="s">
        <v>189</v>
      </c>
      <c r="C152" s="35" t="s">
        <v>17</v>
      </c>
      <c r="D152" s="35"/>
      <c r="E152" s="35">
        <f t="shared" si="34"/>
        <v>0</v>
      </c>
      <c r="F152" s="35"/>
      <c r="G152" s="35">
        <v>0</v>
      </c>
      <c r="H152" s="35"/>
      <c r="I152" s="35">
        <v>0</v>
      </c>
      <c r="J152" s="35"/>
      <c r="K152" s="35">
        <f t="shared" si="35"/>
        <v>0</v>
      </c>
      <c r="L152" s="35"/>
      <c r="M152" s="35">
        <v>0</v>
      </c>
      <c r="N152" s="35"/>
      <c r="O152" s="35">
        <v>0</v>
      </c>
      <c r="P152" s="35"/>
      <c r="Q152" s="35">
        <v>0</v>
      </c>
      <c r="R152" s="35"/>
      <c r="S152" s="35">
        <v>0</v>
      </c>
      <c r="T152" s="35"/>
      <c r="U152" s="35">
        <v>0</v>
      </c>
      <c r="V152" s="35"/>
      <c r="W152" s="35">
        <f t="shared" si="33"/>
        <v>0</v>
      </c>
      <c r="X152" s="35"/>
      <c r="Y152" s="35" t="s">
        <v>189</v>
      </c>
      <c r="Z152" s="55"/>
      <c r="AA152" s="35" t="s">
        <v>17</v>
      </c>
      <c r="AB152" s="35"/>
      <c r="AC152" s="35">
        <v>0</v>
      </c>
      <c r="AD152" s="35"/>
      <c r="AE152" s="35">
        <v>0</v>
      </c>
      <c r="AF152" s="35"/>
      <c r="AG152" s="35">
        <v>0</v>
      </c>
      <c r="AH152" s="35"/>
      <c r="AI152" s="45">
        <f t="shared" si="32"/>
        <v>0</v>
      </c>
      <c r="AJ152" s="45"/>
      <c r="AK152" s="35">
        <v>0</v>
      </c>
      <c r="AL152" s="35"/>
      <c r="AM152" s="35">
        <v>0</v>
      </c>
      <c r="AN152" s="35"/>
      <c r="AO152" s="35">
        <v>0</v>
      </c>
      <c r="AP152" s="35"/>
      <c r="AQ152" s="35">
        <v>0</v>
      </c>
      <c r="AR152" s="35"/>
      <c r="AS152" s="45">
        <f t="shared" si="36"/>
        <v>0</v>
      </c>
      <c r="AT152" s="45"/>
      <c r="AU152" s="35">
        <v>0</v>
      </c>
      <c r="AV152" s="35"/>
      <c r="AW152" s="35">
        <v>0</v>
      </c>
      <c r="AX152" s="35"/>
      <c r="AY152" s="35">
        <f t="shared" si="37"/>
        <v>0</v>
      </c>
      <c r="AZ152" s="35"/>
      <c r="BA152" s="35" t="s">
        <v>189</v>
      </c>
      <c r="BB152" s="55"/>
      <c r="BC152" s="35" t="s">
        <v>17</v>
      </c>
      <c r="BD152" s="35"/>
      <c r="BE152" s="35">
        <v>0</v>
      </c>
      <c r="BF152" s="35"/>
      <c r="BG152" s="35">
        <v>0</v>
      </c>
      <c r="BH152" s="35"/>
      <c r="BI152" s="35">
        <v>0</v>
      </c>
      <c r="BJ152" s="35"/>
      <c r="BK152" s="35">
        <v>0</v>
      </c>
      <c r="BL152" s="35"/>
      <c r="BM152" s="35">
        <f t="shared" si="38"/>
        <v>0</v>
      </c>
      <c r="BN152" s="54" t="s">
        <v>347</v>
      </c>
    </row>
    <row r="153" spans="1:66" ht="12.75" hidden="1" customHeight="1">
      <c r="A153" s="35" t="s">
        <v>188</v>
      </c>
      <c r="C153" s="35" t="s">
        <v>27</v>
      </c>
      <c r="D153" s="35"/>
      <c r="E153" s="35">
        <f t="shared" si="34"/>
        <v>0</v>
      </c>
      <c r="F153" s="35"/>
      <c r="G153" s="35">
        <v>0</v>
      </c>
      <c r="H153" s="35"/>
      <c r="I153" s="35">
        <v>0</v>
      </c>
      <c r="J153" s="35"/>
      <c r="K153" s="35">
        <f t="shared" si="35"/>
        <v>0</v>
      </c>
      <c r="L153" s="35"/>
      <c r="M153" s="35">
        <v>0</v>
      </c>
      <c r="N153" s="35"/>
      <c r="O153" s="35">
        <v>0</v>
      </c>
      <c r="P153" s="35"/>
      <c r="Q153" s="35">
        <v>0</v>
      </c>
      <c r="R153" s="35"/>
      <c r="S153" s="35">
        <v>0</v>
      </c>
      <c r="T153" s="35"/>
      <c r="U153" s="35">
        <v>0</v>
      </c>
      <c r="V153" s="35"/>
      <c r="W153" s="35">
        <f t="shared" si="33"/>
        <v>0</v>
      </c>
      <c r="X153" s="35"/>
      <c r="Y153" s="35" t="s">
        <v>188</v>
      </c>
      <c r="Z153" s="55"/>
      <c r="AA153" s="35" t="s">
        <v>27</v>
      </c>
      <c r="AB153" s="35"/>
      <c r="AC153" s="35">
        <v>0</v>
      </c>
      <c r="AD153" s="35"/>
      <c r="AE153" s="35">
        <v>0</v>
      </c>
      <c r="AF153" s="35"/>
      <c r="AG153" s="35">
        <v>0</v>
      </c>
      <c r="AH153" s="35"/>
      <c r="AI153" s="45">
        <f t="shared" si="32"/>
        <v>0</v>
      </c>
      <c r="AJ153" s="45"/>
      <c r="AK153" s="35">
        <v>0</v>
      </c>
      <c r="AL153" s="35"/>
      <c r="AM153" s="35">
        <v>0</v>
      </c>
      <c r="AN153" s="35"/>
      <c r="AO153" s="35">
        <v>0</v>
      </c>
      <c r="AP153" s="35"/>
      <c r="AQ153" s="35">
        <v>0</v>
      </c>
      <c r="AR153" s="35"/>
      <c r="AS153" s="45">
        <f t="shared" si="36"/>
        <v>0</v>
      </c>
      <c r="AT153" s="45"/>
      <c r="AU153" s="35">
        <v>0</v>
      </c>
      <c r="AV153" s="35"/>
      <c r="AW153" s="35">
        <v>0</v>
      </c>
      <c r="AX153" s="35"/>
      <c r="AY153" s="35">
        <f t="shared" si="37"/>
        <v>0</v>
      </c>
      <c r="AZ153" s="35"/>
      <c r="BA153" s="35" t="s">
        <v>188</v>
      </c>
      <c r="BB153" s="55"/>
      <c r="BC153" s="35" t="s">
        <v>27</v>
      </c>
      <c r="BD153" s="35"/>
      <c r="BE153" s="35">
        <v>0</v>
      </c>
      <c r="BF153" s="35"/>
      <c r="BG153" s="35">
        <v>0</v>
      </c>
      <c r="BH153" s="35"/>
      <c r="BI153" s="35">
        <v>0</v>
      </c>
      <c r="BJ153" s="35"/>
      <c r="BK153" s="35">
        <v>0</v>
      </c>
      <c r="BL153" s="35"/>
      <c r="BM153" s="35">
        <f t="shared" si="38"/>
        <v>0</v>
      </c>
      <c r="BN153" s="54" t="s">
        <v>347</v>
      </c>
    </row>
    <row r="154" spans="1:66" ht="12.75" hidden="1" customHeight="1">
      <c r="A154" s="35" t="s">
        <v>190</v>
      </c>
      <c r="C154" s="35" t="s">
        <v>47</v>
      </c>
      <c r="D154" s="35"/>
      <c r="E154" s="35">
        <f t="shared" si="34"/>
        <v>0</v>
      </c>
      <c r="F154" s="35"/>
      <c r="G154" s="35">
        <v>0</v>
      </c>
      <c r="H154" s="35"/>
      <c r="I154" s="35">
        <v>0</v>
      </c>
      <c r="J154" s="35"/>
      <c r="K154" s="35">
        <f t="shared" si="35"/>
        <v>0</v>
      </c>
      <c r="L154" s="35"/>
      <c r="M154" s="35">
        <v>0</v>
      </c>
      <c r="N154" s="35"/>
      <c r="O154" s="35">
        <v>0</v>
      </c>
      <c r="P154" s="35"/>
      <c r="Q154" s="35">
        <v>0</v>
      </c>
      <c r="R154" s="35"/>
      <c r="S154" s="35">
        <v>0</v>
      </c>
      <c r="T154" s="35"/>
      <c r="U154" s="35">
        <v>0</v>
      </c>
      <c r="V154" s="35"/>
      <c r="W154" s="35">
        <f t="shared" si="33"/>
        <v>0</v>
      </c>
      <c r="X154" s="35"/>
      <c r="Y154" s="35" t="s">
        <v>190</v>
      </c>
      <c r="Z154" s="55"/>
      <c r="AA154" s="35" t="s">
        <v>47</v>
      </c>
      <c r="AB154" s="35"/>
      <c r="AC154" s="35">
        <v>0</v>
      </c>
      <c r="AD154" s="35"/>
      <c r="AE154" s="35">
        <v>0</v>
      </c>
      <c r="AF154" s="35"/>
      <c r="AG154" s="35">
        <v>0</v>
      </c>
      <c r="AH154" s="35"/>
      <c r="AI154" s="45">
        <f t="shared" si="32"/>
        <v>0</v>
      </c>
      <c r="AJ154" s="45"/>
      <c r="AK154" s="35">
        <v>0</v>
      </c>
      <c r="AL154" s="35"/>
      <c r="AM154" s="35">
        <v>0</v>
      </c>
      <c r="AN154" s="35"/>
      <c r="AO154" s="35">
        <v>0</v>
      </c>
      <c r="AP154" s="35"/>
      <c r="AQ154" s="35">
        <v>0</v>
      </c>
      <c r="AR154" s="35"/>
      <c r="AS154" s="45">
        <f t="shared" si="36"/>
        <v>0</v>
      </c>
      <c r="AT154" s="45"/>
      <c r="AU154" s="35">
        <v>0</v>
      </c>
      <c r="AV154" s="35"/>
      <c r="AW154" s="35">
        <v>0</v>
      </c>
      <c r="AX154" s="35"/>
      <c r="AY154" s="35">
        <f t="shared" si="37"/>
        <v>0</v>
      </c>
      <c r="AZ154" s="35"/>
      <c r="BA154" s="35" t="s">
        <v>190</v>
      </c>
      <c r="BB154" s="55"/>
      <c r="BC154" s="35" t="s">
        <v>47</v>
      </c>
      <c r="BD154" s="35"/>
      <c r="BE154" s="35">
        <v>0</v>
      </c>
      <c r="BF154" s="35"/>
      <c r="BG154" s="35">
        <v>0</v>
      </c>
      <c r="BH154" s="35"/>
      <c r="BI154" s="35">
        <v>0</v>
      </c>
      <c r="BJ154" s="35"/>
      <c r="BK154" s="35">
        <v>0</v>
      </c>
      <c r="BL154" s="35"/>
      <c r="BM154" s="35">
        <f t="shared" si="38"/>
        <v>0</v>
      </c>
      <c r="BN154" s="54" t="s">
        <v>347</v>
      </c>
    </row>
    <row r="155" spans="1:66" ht="12.75" hidden="1" customHeight="1">
      <c r="A155" s="35" t="s">
        <v>191</v>
      </c>
      <c r="C155" s="35" t="s">
        <v>13</v>
      </c>
      <c r="D155" s="35"/>
      <c r="E155" s="35">
        <f t="shared" si="34"/>
        <v>0</v>
      </c>
      <c r="F155" s="35"/>
      <c r="G155" s="35">
        <v>0</v>
      </c>
      <c r="H155" s="35"/>
      <c r="I155" s="35">
        <v>0</v>
      </c>
      <c r="J155" s="35"/>
      <c r="K155" s="35">
        <f t="shared" si="35"/>
        <v>0</v>
      </c>
      <c r="L155" s="35"/>
      <c r="M155" s="35">
        <v>0</v>
      </c>
      <c r="N155" s="35"/>
      <c r="O155" s="35">
        <v>0</v>
      </c>
      <c r="P155" s="35"/>
      <c r="Q155" s="35">
        <v>0</v>
      </c>
      <c r="R155" s="35"/>
      <c r="S155" s="35">
        <v>0</v>
      </c>
      <c r="T155" s="35"/>
      <c r="U155" s="35">
        <v>0</v>
      </c>
      <c r="V155" s="35"/>
      <c r="W155" s="35">
        <f t="shared" si="33"/>
        <v>0</v>
      </c>
      <c r="X155" s="35"/>
      <c r="Y155" s="35" t="s">
        <v>191</v>
      </c>
      <c r="Z155" s="55"/>
      <c r="AA155" s="35" t="s">
        <v>13</v>
      </c>
      <c r="AB155" s="35"/>
      <c r="AC155" s="35">
        <v>0</v>
      </c>
      <c r="AD155" s="35"/>
      <c r="AE155" s="35">
        <v>0</v>
      </c>
      <c r="AF155" s="35"/>
      <c r="AG155" s="35">
        <v>0</v>
      </c>
      <c r="AH155" s="35"/>
      <c r="AI155" s="45">
        <f t="shared" si="32"/>
        <v>0</v>
      </c>
      <c r="AJ155" s="45"/>
      <c r="AK155" s="35">
        <v>0</v>
      </c>
      <c r="AL155" s="35"/>
      <c r="AM155" s="35">
        <v>0</v>
      </c>
      <c r="AN155" s="35"/>
      <c r="AO155" s="35">
        <v>0</v>
      </c>
      <c r="AP155" s="35"/>
      <c r="AQ155" s="35">
        <v>0</v>
      </c>
      <c r="AR155" s="35"/>
      <c r="AS155" s="45">
        <f t="shared" si="36"/>
        <v>0</v>
      </c>
      <c r="AT155" s="45"/>
      <c r="AU155" s="35">
        <v>0</v>
      </c>
      <c r="AV155" s="35"/>
      <c r="AW155" s="35">
        <v>0</v>
      </c>
      <c r="AX155" s="35"/>
      <c r="AY155" s="35">
        <f t="shared" si="37"/>
        <v>0</v>
      </c>
      <c r="AZ155" s="35"/>
      <c r="BA155" s="35" t="s">
        <v>191</v>
      </c>
      <c r="BB155" s="55"/>
      <c r="BC155" s="35" t="s">
        <v>13</v>
      </c>
      <c r="BD155" s="35"/>
      <c r="BE155" s="35">
        <v>0</v>
      </c>
      <c r="BF155" s="35"/>
      <c r="BG155" s="35">
        <v>0</v>
      </c>
      <c r="BH155" s="35"/>
      <c r="BI155" s="35">
        <v>0</v>
      </c>
      <c r="BJ155" s="35"/>
      <c r="BK155" s="35">
        <v>0</v>
      </c>
      <c r="BL155" s="35"/>
      <c r="BM155" s="35">
        <f t="shared" si="38"/>
        <v>0</v>
      </c>
      <c r="BN155" s="54" t="s">
        <v>347</v>
      </c>
    </row>
    <row r="156" spans="1:66" ht="12.75" hidden="1" customHeight="1">
      <c r="A156" s="35" t="s">
        <v>192</v>
      </c>
      <c r="C156" s="35" t="s">
        <v>38</v>
      </c>
      <c r="D156" s="35"/>
      <c r="E156" s="35">
        <f t="shared" si="34"/>
        <v>0</v>
      </c>
      <c r="F156" s="35"/>
      <c r="G156" s="35">
        <v>0</v>
      </c>
      <c r="H156" s="35"/>
      <c r="I156" s="35">
        <v>0</v>
      </c>
      <c r="J156" s="35"/>
      <c r="K156" s="35">
        <f t="shared" si="35"/>
        <v>0</v>
      </c>
      <c r="L156" s="35"/>
      <c r="M156" s="35">
        <v>0</v>
      </c>
      <c r="N156" s="35"/>
      <c r="O156" s="35">
        <v>0</v>
      </c>
      <c r="P156" s="35"/>
      <c r="Q156" s="35">
        <v>0</v>
      </c>
      <c r="R156" s="35"/>
      <c r="S156" s="35">
        <v>0</v>
      </c>
      <c r="T156" s="35"/>
      <c r="U156" s="35">
        <v>0</v>
      </c>
      <c r="V156" s="35"/>
      <c r="W156" s="35">
        <f t="shared" si="33"/>
        <v>0</v>
      </c>
      <c r="X156" s="35"/>
      <c r="Y156" s="35" t="s">
        <v>192</v>
      </c>
      <c r="Z156" s="55"/>
      <c r="AA156" s="35" t="s">
        <v>38</v>
      </c>
      <c r="AB156" s="35"/>
      <c r="AC156" s="35">
        <v>0</v>
      </c>
      <c r="AD156" s="35"/>
      <c r="AE156" s="35">
        <v>0</v>
      </c>
      <c r="AF156" s="35"/>
      <c r="AG156" s="35">
        <v>0</v>
      </c>
      <c r="AH156" s="35"/>
      <c r="AI156" s="45">
        <f t="shared" si="32"/>
        <v>0</v>
      </c>
      <c r="AJ156" s="45"/>
      <c r="AK156" s="35">
        <v>0</v>
      </c>
      <c r="AL156" s="35"/>
      <c r="AM156" s="35">
        <v>0</v>
      </c>
      <c r="AN156" s="35"/>
      <c r="AO156" s="35">
        <v>0</v>
      </c>
      <c r="AP156" s="35"/>
      <c r="AQ156" s="35">
        <v>0</v>
      </c>
      <c r="AR156" s="35"/>
      <c r="AS156" s="45">
        <f t="shared" si="36"/>
        <v>0</v>
      </c>
      <c r="AT156" s="45"/>
      <c r="AU156" s="35">
        <v>0</v>
      </c>
      <c r="AV156" s="35"/>
      <c r="AW156" s="35">
        <v>0</v>
      </c>
      <c r="AX156" s="35"/>
      <c r="AY156" s="35">
        <f t="shared" si="37"/>
        <v>0</v>
      </c>
      <c r="AZ156" s="35"/>
      <c r="BA156" s="35" t="s">
        <v>192</v>
      </c>
      <c r="BB156" s="55"/>
      <c r="BC156" s="35" t="s">
        <v>38</v>
      </c>
      <c r="BD156" s="35"/>
      <c r="BE156" s="35">
        <v>0</v>
      </c>
      <c r="BF156" s="35"/>
      <c r="BG156" s="35">
        <v>0</v>
      </c>
      <c r="BH156" s="35"/>
      <c r="BI156" s="35">
        <v>0</v>
      </c>
      <c r="BJ156" s="35"/>
      <c r="BK156" s="35">
        <v>0</v>
      </c>
      <c r="BL156" s="35"/>
      <c r="BM156" s="35">
        <f t="shared" si="38"/>
        <v>0</v>
      </c>
      <c r="BN156" s="54" t="s">
        <v>347</v>
      </c>
    </row>
    <row r="157" spans="1:66" ht="12.75" hidden="1" customHeight="1">
      <c r="A157" s="35" t="s">
        <v>193</v>
      </c>
      <c r="C157" s="35" t="s">
        <v>45</v>
      </c>
      <c r="D157" s="35"/>
      <c r="E157" s="35">
        <f t="shared" si="34"/>
        <v>0</v>
      </c>
      <c r="F157" s="35"/>
      <c r="G157" s="35">
        <v>0</v>
      </c>
      <c r="H157" s="35"/>
      <c r="I157" s="35">
        <v>0</v>
      </c>
      <c r="J157" s="35"/>
      <c r="K157" s="35">
        <f t="shared" si="35"/>
        <v>0</v>
      </c>
      <c r="L157" s="35"/>
      <c r="M157" s="35">
        <v>0</v>
      </c>
      <c r="N157" s="35"/>
      <c r="O157" s="35">
        <v>0</v>
      </c>
      <c r="P157" s="35"/>
      <c r="Q157" s="35">
        <v>0</v>
      </c>
      <c r="R157" s="35"/>
      <c r="S157" s="35">
        <v>0</v>
      </c>
      <c r="T157" s="35"/>
      <c r="U157" s="35">
        <v>0</v>
      </c>
      <c r="V157" s="35"/>
      <c r="W157" s="35">
        <f t="shared" si="33"/>
        <v>0</v>
      </c>
      <c r="X157" s="35"/>
      <c r="Y157" s="35" t="s">
        <v>193</v>
      </c>
      <c r="Z157" s="55"/>
      <c r="AA157" s="35" t="s">
        <v>45</v>
      </c>
      <c r="AB157" s="35"/>
      <c r="AC157" s="35">
        <v>0</v>
      </c>
      <c r="AD157" s="35"/>
      <c r="AE157" s="35">
        <v>0</v>
      </c>
      <c r="AF157" s="35"/>
      <c r="AG157" s="35">
        <v>0</v>
      </c>
      <c r="AH157" s="35"/>
      <c r="AI157" s="45">
        <f t="shared" si="32"/>
        <v>0</v>
      </c>
      <c r="AJ157" s="45"/>
      <c r="AK157" s="35">
        <v>0</v>
      </c>
      <c r="AL157" s="35"/>
      <c r="AM157" s="35">
        <v>0</v>
      </c>
      <c r="AN157" s="35"/>
      <c r="AO157" s="35">
        <v>0</v>
      </c>
      <c r="AP157" s="35"/>
      <c r="AQ157" s="35">
        <v>0</v>
      </c>
      <c r="AR157" s="35"/>
      <c r="AS157" s="45">
        <f t="shared" si="36"/>
        <v>0</v>
      </c>
      <c r="AT157" s="45"/>
      <c r="AU157" s="35">
        <v>0</v>
      </c>
      <c r="AV157" s="35"/>
      <c r="AW157" s="35">
        <v>0</v>
      </c>
      <c r="AX157" s="35"/>
      <c r="AY157" s="35">
        <f t="shared" si="37"/>
        <v>0</v>
      </c>
      <c r="AZ157" s="35"/>
      <c r="BA157" s="35" t="s">
        <v>193</v>
      </c>
      <c r="BB157" s="55"/>
      <c r="BC157" s="35" t="s">
        <v>45</v>
      </c>
      <c r="BD157" s="35"/>
      <c r="BE157" s="35">
        <v>0</v>
      </c>
      <c r="BF157" s="35"/>
      <c r="BG157" s="35">
        <v>0</v>
      </c>
      <c r="BH157" s="35"/>
      <c r="BI157" s="35">
        <v>0</v>
      </c>
      <c r="BJ157" s="35"/>
      <c r="BK157" s="35">
        <v>0</v>
      </c>
      <c r="BL157" s="35"/>
      <c r="BM157" s="35">
        <f t="shared" si="38"/>
        <v>0</v>
      </c>
      <c r="BN157" s="54" t="s">
        <v>347</v>
      </c>
    </row>
    <row r="158" spans="1:66" ht="12.75" hidden="1" customHeight="1">
      <c r="A158" s="35" t="s">
        <v>194</v>
      </c>
      <c r="C158" s="35" t="s">
        <v>66</v>
      </c>
      <c r="D158" s="35"/>
      <c r="E158" s="35">
        <f t="shared" si="34"/>
        <v>0</v>
      </c>
      <c r="F158" s="35"/>
      <c r="G158" s="35">
        <v>0</v>
      </c>
      <c r="H158" s="35"/>
      <c r="I158" s="35">
        <v>0</v>
      </c>
      <c r="J158" s="35"/>
      <c r="K158" s="35">
        <f t="shared" si="35"/>
        <v>0</v>
      </c>
      <c r="L158" s="35"/>
      <c r="M158" s="35">
        <v>0</v>
      </c>
      <c r="N158" s="35"/>
      <c r="O158" s="35">
        <v>0</v>
      </c>
      <c r="P158" s="35"/>
      <c r="Q158" s="35">
        <v>0</v>
      </c>
      <c r="R158" s="35"/>
      <c r="S158" s="35">
        <v>0</v>
      </c>
      <c r="T158" s="35"/>
      <c r="U158" s="35">
        <v>0</v>
      </c>
      <c r="V158" s="35"/>
      <c r="W158" s="35">
        <f t="shared" si="33"/>
        <v>0</v>
      </c>
      <c r="X158" s="35"/>
      <c r="Y158" s="35" t="s">
        <v>194</v>
      </c>
      <c r="Z158" s="55"/>
      <c r="AA158" s="35" t="s">
        <v>66</v>
      </c>
      <c r="AB158" s="35"/>
      <c r="AC158" s="35">
        <v>0</v>
      </c>
      <c r="AD158" s="35"/>
      <c r="AE158" s="35">
        <v>0</v>
      </c>
      <c r="AF158" s="35"/>
      <c r="AG158" s="35">
        <v>0</v>
      </c>
      <c r="AH158" s="35"/>
      <c r="AI158" s="45">
        <f t="shared" si="32"/>
        <v>0</v>
      </c>
      <c r="AJ158" s="45"/>
      <c r="AK158" s="35">
        <v>0</v>
      </c>
      <c r="AL158" s="35"/>
      <c r="AM158" s="35">
        <v>0</v>
      </c>
      <c r="AN158" s="35"/>
      <c r="AO158" s="35">
        <v>0</v>
      </c>
      <c r="AP158" s="35"/>
      <c r="AQ158" s="35">
        <v>0</v>
      </c>
      <c r="AR158" s="35"/>
      <c r="AS158" s="45">
        <f t="shared" si="36"/>
        <v>0</v>
      </c>
      <c r="AT158" s="45"/>
      <c r="AU158" s="35">
        <v>0</v>
      </c>
      <c r="AV158" s="35"/>
      <c r="AW158" s="35">
        <v>0</v>
      </c>
      <c r="AX158" s="35"/>
      <c r="AY158" s="35">
        <f t="shared" si="37"/>
        <v>0</v>
      </c>
      <c r="AZ158" s="35"/>
      <c r="BA158" s="35" t="s">
        <v>194</v>
      </c>
      <c r="BB158" s="55"/>
      <c r="BC158" s="35" t="s">
        <v>66</v>
      </c>
      <c r="BD158" s="35"/>
      <c r="BE158" s="35">
        <v>0</v>
      </c>
      <c r="BF158" s="35"/>
      <c r="BG158" s="35">
        <v>0</v>
      </c>
      <c r="BH158" s="35"/>
      <c r="BI158" s="35">
        <v>0</v>
      </c>
      <c r="BJ158" s="35"/>
      <c r="BK158" s="35">
        <v>0</v>
      </c>
      <c r="BL158" s="35"/>
      <c r="BM158" s="35">
        <f t="shared" si="38"/>
        <v>0</v>
      </c>
      <c r="BN158" s="54" t="s">
        <v>347</v>
      </c>
    </row>
    <row r="159" spans="1:66" ht="12.75" customHeight="1">
      <c r="A159" s="35" t="s">
        <v>195</v>
      </c>
      <c r="C159" s="35" t="s">
        <v>17</v>
      </c>
      <c r="D159" s="35"/>
      <c r="E159" s="35">
        <f t="shared" si="34"/>
        <v>7420054</v>
      </c>
      <c r="F159" s="35"/>
      <c r="G159" s="35">
        <f>1990770+954338</f>
        <v>2945108</v>
      </c>
      <c r="H159" s="35"/>
      <c r="I159" s="35">
        <v>10365162</v>
      </c>
      <c r="J159" s="35"/>
      <c r="K159" s="35">
        <f t="shared" si="35"/>
        <v>208409</v>
      </c>
      <c r="L159" s="35"/>
      <c r="M159" s="35">
        <f>153203+508782</f>
        <v>661985</v>
      </c>
      <c r="N159" s="35"/>
      <c r="O159" s="35">
        <v>870394</v>
      </c>
      <c r="P159" s="35"/>
      <c r="Q159" s="35">
        <v>1990770</v>
      </c>
      <c r="R159" s="35"/>
      <c r="S159" s="35">
        <v>0</v>
      </c>
      <c r="T159" s="35"/>
      <c r="U159" s="35">
        <v>7503998</v>
      </c>
      <c r="V159" s="35"/>
      <c r="W159" s="35">
        <f t="shared" si="33"/>
        <v>9494768</v>
      </c>
      <c r="X159" s="35"/>
      <c r="Y159" s="35" t="s">
        <v>195</v>
      </c>
      <c r="Z159" s="55"/>
      <c r="AA159" s="35" t="s">
        <v>17</v>
      </c>
      <c r="AB159" s="35"/>
      <c r="AC159" s="35">
        <v>10884897</v>
      </c>
      <c r="AD159" s="35"/>
      <c r="AE159" s="35">
        <f>10339829-582082</f>
        <v>9757747</v>
      </c>
      <c r="AF159" s="35"/>
      <c r="AG159" s="35">
        <v>582082</v>
      </c>
      <c r="AH159" s="35"/>
      <c r="AI159" s="45">
        <f t="shared" si="32"/>
        <v>545068</v>
      </c>
      <c r="AJ159" s="45"/>
      <c r="AK159" s="35">
        <v>-443314</v>
      </c>
      <c r="AL159" s="35"/>
      <c r="AM159" s="35">
        <v>0</v>
      </c>
      <c r="AN159" s="35"/>
      <c r="AO159" s="35">
        <v>0</v>
      </c>
      <c r="AP159" s="35"/>
      <c r="AQ159" s="35">
        <v>0</v>
      </c>
      <c r="AR159" s="35"/>
      <c r="AS159" s="45">
        <f>+AI159+AK159+AM159-AO159+AQ159</f>
        <v>101754</v>
      </c>
      <c r="AT159" s="45"/>
      <c r="AU159" s="35">
        <v>0</v>
      </c>
      <c r="AV159" s="35"/>
      <c r="AW159" s="35">
        <v>0</v>
      </c>
      <c r="AX159" s="35"/>
      <c r="AY159" s="35">
        <f t="shared" si="37"/>
        <v>7211645</v>
      </c>
      <c r="AZ159" s="35"/>
      <c r="BA159" s="35" t="s">
        <v>195</v>
      </c>
      <c r="BB159" s="55"/>
      <c r="BC159" s="35" t="s">
        <v>17</v>
      </c>
      <c r="BD159" s="35"/>
      <c r="BE159" s="35">
        <v>0</v>
      </c>
      <c r="BF159" s="35"/>
      <c r="BG159" s="35">
        <v>0</v>
      </c>
      <c r="BH159" s="35"/>
      <c r="BI159" s="35">
        <v>0</v>
      </c>
      <c r="BJ159" s="35"/>
      <c r="BK159" s="35">
        <f>153203+508782</f>
        <v>661985</v>
      </c>
      <c r="BL159" s="35"/>
      <c r="BM159" s="35">
        <f t="shared" si="38"/>
        <v>661985</v>
      </c>
      <c r="BN159" s="54" t="s">
        <v>347</v>
      </c>
    </row>
    <row r="160" spans="1:66" ht="12.75" hidden="1" customHeight="1">
      <c r="A160" s="35" t="s">
        <v>196</v>
      </c>
      <c r="C160" s="35" t="s">
        <v>27</v>
      </c>
      <c r="D160" s="35"/>
      <c r="E160" s="35">
        <f t="shared" si="34"/>
        <v>0</v>
      </c>
      <c r="F160" s="35"/>
      <c r="G160" s="35">
        <v>0</v>
      </c>
      <c r="H160" s="35"/>
      <c r="I160" s="35">
        <v>0</v>
      </c>
      <c r="J160" s="35"/>
      <c r="K160" s="35">
        <f t="shared" si="35"/>
        <v>0</v>
      </c>
      <c r="L160" s="35"/>
      <c r="M160" s="35">
        <v>0</v>
      </c>
      <c r="N160" s="35"/>
      <c r="O160" s="35">
        <v>0</v>
      </c>
      <c r="P160" s="35"/>
      <c r="Q160" s="35">
        <v>0</v>
      </c>
      <c r="R160" s="35"/>
      <c r="S160" s="35">
        <v>0</v>
      </c>
      <c r="T160" s="35"/>
      <c r="U160" s="35">
        <v>0</v>
      </c>
      <c r="V160" s="35"/>
      <c r="W160" s="35">
        <f t="shared" si="33"/>
        <v>0</v>
      </c>
      <c r="X160" s="35"/>
      <c r="Y160" s="35" t="s">
        <v>196</v>
      </c>
      <c r="Z160" s="55"/>
      <c r="AA160" s="35" t="s">
        <v>27</v>
      </c>
      <c r="AB160" s="35"/>
      <c r="AC160" s="35">
        <v>0</v>
      </c>
      <c r="AD160" s="35"/>
      <c r="AE160" s="35">
        <v>0</v>
      </c>
      <c r="AF160" s="35"/>
      <c r="AG160" s="35">
        <v>0</v>
      </c>
      <c r="AH160" s="35"/>
      <c r="AI160" s="45">
        <f t="shared" si="32"/>
        <v>0</v>
      </c>
      <c r="AJ160" s="45"/>
      <c r="AK160" s="35">
        <v>0</v>
      </c>
      <c r="AL160" s="35"/>
      <c r="AM160" s="35">
        <v>0</v>
      </c>
      <c r="AN160" s="35"/>
      <c r="AO160" s="35">
        <v>0</v>
      </c>
      <c r="AP160" s="35"/>
      <c r="AQ160" s="35">
        <v>0</v>
      </c>
      <c r="AR160" s="35"/>
      <c r="AS160" s="45">
        <f t="shared" si="36"/>
        <v>0</v>
      </c>
      <c r="AT160" s="45"/>
      <c r="AU160" s="35">
        <v>0</v>
      </c>
      <c r="AV160" s="35"/>
      <c r="AW160" s="35">
        <v>0</v>
      </c>
      <c r="AX160" s="35"/>
      <c r="AY160" s="35">
        <f t="shared" si="37"/>
        <v>0</v>
      </c>
      <c r="AZ160" s="35"/>
      <c r="BA160" s="35" t="s">
        <v>196</v>
      </c>
      <c r="BB160" s="55"/>
      <c r="BC160" s="35" t="s">
        <v>27</v>
      </c>
      <c r="BD160" s="35"/>
      <c r="BE160" s="35">
        <v>0</v>
      </c>
      <c r="BF160" s="35"/>
      <c r="BG160" s="35">
        <v>0</v>
      </c>
      <c r="BH160" s="35"/>
      <c r="BI160" s="35">
        <v>0</v>
      </c>
      <c r="BJ160" s="35"/>
      <c r="BK160" s="35">
        <v>0</v>
      </c>
      <c r="BL160" s="35"/>
      <c r="BM160" s="35">
        <f t="shared" si="38"/>
        <v>0</v>
      </c>
      <c r="BN160" s="54" t="s">
        <v>347</v>
      </c>
    </row>
    <row r="161" spans="1:67" ht="12.75" hidden="1" customHeight="1">
      <c r="A161" s="35" t="s">
        <v>402</v>
      </c>
      <c r="C161" s="35" t="s">
        <v>153</v>
      </c>
      <c r="D161" s="35"/>
      <c r="E161" s="35">
        <f t="shared" si="34"/>
        <v>0</v>
      </c>
      <c r="F161" s="35"/>
      <c r="G161" s="35">
        <v>0</v>
      </c>
      <c r="H161" s="35"/>
      <c r="I161" s="35">
        <v>0</v>
      </c>
      <c r="J161" s="35"/>
      <c r="K161" s="35">
        <f t="shared" si="35"/>
        <v>0</v>
      </c>
      <c r="L161" s="35"/>
      <c r="M161" s="35">
        <v>0</v>
      </c>
      <c r="N161" s="35"/>
      <c r="O161" s="35">
        <v>0</v>
      </c>
      <c r="P161" s="35"/>
      <c r="Q161" s="35">
        <v>0</v>
      </c>
      <c r="R161" s="35"/>
      <c r="S161" s="35">
        <v>0</v>
      </c>
      <c r="T161" s="35"/>
      <c r="U161" s="35">
        <v>0</v>
      </c>
      <c r="V161" s="35"/>
      <c r="W161" s="35">
        <f t="shared" si="33"/>
        <v>0</v>
      </c>
      <c r="X161" s="35"/>
      <c r="Y161" s="35" t="s">
        <v>402</v>
      </c>
      <c r="Z161" s="55"/>
      <c r="AA161" s="35" t="s">
        <v>153</v>
      </c>
      <c r="AB161" s="35"/>
      <c r="AC161" s="35">
        <v>0</v>
      </c>
      <c r="AD161" s="35"/>
      <c r="AE161" s="35">
        <v>0</v>
      </c>
      <c r="AF161" s="35"/>
      <c r="AG161" s="35">
        <v>0</v>
      </c>
      <c r="AH161" s="35"/>
      <c r="AI161" s="45">
        <f t="shared" si="32"/>
        <v>0</v>
      </c>
      <c r="AJ161" s="45"/>
      <c r="AK161" s="35">
        <v>0</v>
      </c>
      <c r="AL161" s="35"/>
      <c r="AM161" s="35">
        <v>0</v>
      </c>
      <c r="AN161" s="35"/>
      <c r="AO161" s="35">
        <v>0</v>
      </c>
      <c r="AP161" s="35"/>
      <c r="AQ161" s="35">
        <v>0</v>
      </c>
      <c r="AR161" s="35"/>
      <c r="AS161" s="45">
        <f t="shared" si="36"/>
        <v>0</v>
      </c>
      <c r="AT161" s="45"/>
      <c r="AU161" s="35">
        <v>0</v>
      </c>
      <c r="AV161" s="35"/>
      <c r="AW161" s="35">
        <v>0</v>
      </c>
      <c r="AX161" s="35"/>
      <c r="AY161" s="35">
        <f t="shared" si="37"/>
        <v>0</v>
      </c>
      <c r="AZ161" s="35"/>
      <c r="BA161" s="35" t="s">
        <v>402</v>
      </c>
      <c r="BB161" s="55"/>
      <c r="BC161" s="35" t="s">
        <v>153</v>
      </c>
      <c r="BD161" s="35"/>
      <c r="BE161" s="35">
        <v>0</v>
      </c>
      <c r="BF161" s="35"/>
      <c r="BG161" s="35">
        <v>0</v>
      </c>
      <c r="BH161" s="35"/>
      <c r="BI161" s="35">
        <v>0</v>
      </c>
      <c r="BJ161" s="35"/>
      <c r="BK161" s="35">
        <v>0</v>
      </c>
      <c r="BL161" s="35"/>
      <c r="BM161" s="35">
        <f t="shared" si="38"/>
        <v>0</v>
      </c>
      <c r="BN161" s="54" t="s">
        <v>347</v>
      </c>
    </row>
    <row r="162" spans="1:67" ht="12.75" hidden="1" customHeight="1">
      <c r="A162" s="35" t="s">
        <v>197</v>
      </c>
      <c r="C162" s="35" t="s">
        <v>163</v>
      </c>
      <c r="D162" s="35"/>
      <c r="E162" s="35">
        <f t="shared" si="34"/>
        <v>0</v>
      </c>
      <c r="F162" s="35"/>
      <c r="G162" s="35">
        <v>0</v>
      </c>
      <c r="H162" s="35"/>
      <c r="I162" s="35">
        <v>0</v>
      </c>
      <c r="J162" s="35"/>
      <c r="K162" s="35">
        <f t="shared" si="35"/>
        <v>0</v>
      </c>
      <c r="L162" s="35"/>
      <c r="M162" s="35">
        <v>0</v>
      </c>
      <c r="N162" s="35"/>
      <c r="O162" s="35">
        <v>0</v>
      </c>
      <c r="P162" s="35"/>
      <c r="Q162" s="35">
        <v>0</v>
      </c>
      <c r="R162" s="35"/>
      <c r="S162" s="35">
        <v>0</v>
      </c>
      <c r="T162" s="35"/>
      <c r="U162" s="35">
        <v>0</v>
      </c>
      <c r="V162" s="35"/>
      <c r="W162" s="35">
        <f t="shared" si="33"/>
        <v>0</v>
      </c>
      <c r="X162" s="35"/>
      <c r="Y162" s="35" t="s">
        <v>197</v>
      </c>
      <c r="Z162" s="55"/>
      <c r="AA162" s="35" t="s">
        <v>163</v>
      </c>
      <c r="AB162" s="35"/>
      <c r="AC162" s="35">
        <v>0</v>
      </c>
      <c r="AD162" s="35"/>
      <c r="AE162" s="35">
        <v>0</v>
      </c>
      <c r="AF162" s="35"/>
      <c r="AG162" s="35">
        <v>0</v>
      </c>
      <c r="AH162" s="35"/>
      <c r="AI162" s="45">
        <f t="shared" si="32"/>
        <v>0</v>
      </c>
      <c r="AJ162" s="45"/>
      <c r="AK162" s="35">
        <v>0</v>
      </c>
      <c r="AL162" s="35"/>
      <c r="AM162" s="35">
        <v>0</v>
      </c>
      <c r="AN162" s="35"/>
      <c r="AO162" s="35">
        <v>0</v>
      </c>
      <c r="AP162" s="35"/>
      <c r="AQ162" s="35">
        <v>0</v>
      </c>
      <c r="AR162" s="35"/>
      <c r="AS162" s="45">
        <f t="shared" si="36"/>
        <v>0</v>
      </c>
      <c r="AT162" s="45"/>
      <c r="AU162" s="35">
        <v>0</v>
      </c>
      <c r="AV162" s="35"/>
      <c r="AW162" s="35">
        <v>0</v>
      </c>
      <c r="AX162" s="35"/>
      <c r="AY162" s="35">
        <f t="shared" si="37"/>
        <v>0</v>
      </c>
      <c r="AZ162" s="35"/>
      <c r="BA162" s="35" t="s">
        <v>197</v>
      </c>
      <c r="BB162" s="55"/>
      <c r="BC162" s="35" t="s">
        <v>163</v>
      </c>
      <c r="BD162" s="35"/>
      <c r="BE162" s="35">
        <v>0</v>
      </c>
      <c r="BF162" s="35"/>
      <c r="BG162" s="35">
        <v>0</v>
      </c>
      <c r="BH162" s="35"/>
      <c r="BI162" s="35">
        <v>0</v>
      </c>
      <c r="BJ162" s="35"/>
      <c r="BK162" s="35">
        <v>0</v>
      </c>
      <c r="BL162" s="35"/>
      <c r="BM162" s="35">
        <f t="shared" si="38"/>
        <v>0</v>
      </c>
      <c r="BN162" s="54" t="s">
        <v>347</v>
      </c>
    </row>
    <row r="163" spans="1:67" ht="12.75" customHeight="1">
      <c r="A163" s="35" t="s">
        <v>198</v>
      </c>
      <c r="C163" s="35" t="s">
        <v>199</v>
      </c>
      <c r="D163" s="35"/>
      <c r="E163" s="35">
        <f t="shared" si="34"/>
        <v>21910268</v>
      </c>
      <c r="F163" s="35"/>
      <c r="G163" s="35">
        <v>24875131</v>
      </c>
      <c r="H163" s="35"/>
      <c r="I163" s="35">
        <v>46785399</v>
      </c>
      <c r="J163" s="35"/>
      <c r="K163" s="35">
        <f t="shared" si="35"/>
        <v>3521928</v>
      </c>
      <c r="L163" s="35"/>
      <c r="M163" s="35">
        <v>1457994</v>
      </c>
      <c r="N163" s="35"/>
      <c r="O163" s="35">
        <v>4979922</v>
      </c>
      <c r="P163" s="35"/>
      <c r="Q163" s="35">
        <v>20028028</v>
      </c>
      <c r="R163" s="35"/>
      <c r="S163" s="35">
        <f>1500000+1631662</f>
        <v>3131662</v>
      </c>
      <c r="T163" s="35"/>
      <c r="U163" s="35">
        <v>18645787</v>
      </c>
      <c r="V163" s="35"/>
      <c r="W163" s="35">
        <f t="shared" si="33"/>
        <v>41805477</v>
      </c>
      <c r="X163" s="35"/>
      <c r="Y163" s="35" t="s">
        <v>198</v>
      </c>
      <c r="Z163" s="55"/>
      <c r="AA163" s="35" t="s">
        <v>199</v>
      </c>
      <c r="AB163" s="35"/>
      <c r="AC163" s="35">
        <v>21872170</v>
      </c>
      <c r="AD163" s="35"/>
      <c r="AE163" s="35">
        <f>22231570-1899203</f>
        <v>20332367</v>
      </c>
      <c r="AF163" s="35"/>
      <c r="AG163" s="35">
        <v>1899203</v>
      </c>
      <c r="AH163" s="35"/>
      <c r="AI163" s="45">
        <f t="shared" si="32"/>
        <v>-359400</v>
      </c>
      <c r="AJ163" s="45"/>
      <c r="AK163" s="35">
        <v>-356197</v>
      </c>
      <c r="AL163" s="35"/>
      <c r="AM163" s="35">
        <v>847907</v>
      </c>
      <c r="AN163" s="35"/>
      <c r="AO163" s="35">
        <v>0</v>
      </c>
      <c r="AP163" s="35"/>
      <c r="AQ163" s="35">
        <v>0</v>
      </c>
      <c r="AR163" s="35"/>
      <c r="AS163" s="45">
        <f t="shared" si="36"/>
        <v>132310</v>
      </c>
      <c r="AT163" s="45"/>
      <c r="AU163" s="35">
        <v>0</v>
      </c>
      <c r="AV163" s="35"/>
      <c r="AW163" s="35">
        <v>0</v>
      </c>
      <c r="AX163" s="35"/>
      <c r="AY163" s="35">
        <f t="shared" si="37"/>
        <v>18388340</v>
      </c>
      <c r="AZ163" s="35"/>
      <c r="BA163" s="35" t="s">
        <v>198</v>
      </c>
      <c r="BB163" s="55"/>
      <c r="BC163" s="35" t="s">
        <v>199</v>
      </c>
      <c r="BD163" s="35"/>
      <c r="BE163" s="35">
        <v>0</v>
      </c>
      <c r="BF163" s="35"/>
      <c r="BG163" s="35">
        <v>0</v>
      </c>
      <c r="BH163" s="35"/>
      <c r="BI163" s="35">
        <v>0</v>
      </c>
      <c r="BJ163" s="35"/>
      <c r="BK163" s="35">
        <f>1270000+187994+300000+131027</f>
        <v>1889021</v>
      </c>
      <c r="BL163" s="35"/>
      <c r="BM163" s="35">
        <f t="shared" si="38"/>
        <v>1889021</v>
      </c>
      <c r="BN163" s="54" t="s">
        <v>347</v>
      </c>
      <c r="BO163" s="55" t="s">
        <v>371</v>
      </c>
    </row>
    <row r="164" spans="1:67" ht="12.75" hidden="1" customHeight="1">
      <c r="A164" s="35" t="s">
        <v>200</v>
      </c>
      <c r="C164" s="35" t="s">
        <v>103</v>
      </c>
      <c r="D164" s="35"/>
      <c r="E164" s="35">
        <f t="shared" si="34"/>
        <v>0</v>
      </c>
      <c r="F164" s="35"/>
      <c r="G164" s="35">
        <v>0</v>
      </c>
      <c r="H164" s="35"/>
      <c r="I164" s="35">
        <v>0</v>
      </c>
      <c r="J164" s="35"/>
      <c r="K164" s="35">
        <f t="shared" si="35"/>
        <v>0</v>
      </c>
      <c r="L164" s="35"/>
      <c r="M164" s="35">
        <v>0</v>
      </c>
      <c r="N164" s="35"/>
      <c r="O164" s="35">
        <v>0</v>
      </c>
      <c r="P164" s="35"/>
      <c r="Q164" s="35">
        <v>0</v>
      </c>
      <c r="R164" s="35"/>
      <c r="S164" s="35">
        <v>0</v>
      </c>
      <c r="T164" s="35"/>
      <c r="U164" s="35">
        <v>0</v>
      </c>
      <c r="V164" s="35"/>
      <c r="W164" s="35">
        <f t="shared" si="33"/>
        <v>0</v>
      </c>
      <c r="X164" s="35"/>
      <c r="Y164" s="35" t="s">
        <v>200</v>
      </c>
      <c r="Z164" s="55"/>
      <c r="AA164" s="35" t="s">
        <v>103</v>
      </c>
      <c r="AB164" s="35"/>
      <c r="AC164" s="35">
        <v>0</v>
      </c>
      <c r="AD164" s="35"/>
      <c r="AE164" s="35">
        <v>0</v>
      </c>
      <c r="AF164" s="35"/>
      <c r="AG164" s="35">
        <v>0</v>
      </c>
      <c r="AH164" s="35"/>
      <c r="AI164" s="45">
        <f t="shared" si="32"/>
        <v>0</v>
      </c>
      <c r="AJ164" s="45"/>
      <c r="AK164" s="35">
        <v>0</v>
      </c>
      <c r="AL164" s="35"/>
      <c r="AM164" s="35">
        <v>0</v>
      </c>
      <c r="AN164" s="35"/>
      <c r="AO164" s="35">
        <v>0</v>
      </c>
      <c r="AP164" s="35"/>
      <c r="AQ164" s="35">
        <v>0</v>
      </c>
      <c r="AR164" s="35"/>
      <c r="AS164" s="45">
        <f t="shared" si="36"/>
        <v>0</v>
      </c>
      <c r="AT164" s="45"/>
      <c r="AU164" s="35">
        <v>0</v>
      </c>
      <c r="AV164" s="35"/>
      <c r="AW164" s="35">
        <v>0</v>
      </c>
      <c r="AX164" s="35"/>
      <c r="AY164" s="35">
        <f t="shared" si="37"/>
        <v>0</v>
      </c>
      <c r="AZ164" s="35"/>
      <c r="BA164" s="35" t="s">
        <v>200</v>
      </c>
      <c r="BB164" s="55"/>
      <c r="BC164" s="35" t="s">
        <v>103</v>
      </c>
      <c r="BD164" s="35"/>
      <c r="BE164" s="35">
        <v>0</v>
      </c>
      <c r="BF164" s="35"/>
      <c r="BG164" s="35">
        <v>0</v>
      </c>
      <c r="BH164" s="35"/>
      <c r="BI164" s="35">
        <v>0</v>
      </c>
      <c r="BJ164" s="35"/>
      <c r="BK164" s="35">
        <v>0</v>
      </c>
      <c r="BL164" s="35"/>
      <c r="BM164" s="35">
        <f t="shared" si="38"/>
        <v>0</v>
      </c>
      <c r="BN164" s="54" t="s">
        <v>347</v>
      </c>
    </row>
    <row r="165" spans="1:67" ht="12.75" customHeight="1">
      <c r="A165" s="35" t="s">
        <v>201</v>
      </c>
      <c r="C165" s="35" t="s">
        <v>92</v>
      </c>
      <c r="D165" s="35"/>
      <c r="E165" s="35">
        <f t="shared" si="34"/>
        <v>22144969</v>
      </c>
      <c r="F165" s="35"/>
      <c r="G165" s="35">
        <v>22419326</v>
      </c>
      <c r="H165" s="35"/>
      <c r="I165" s="35">
        <v>44564295</v>
      </c>
      <c r="J165" s="35"/>
      <c r="K165" s="35">
        <f t="shared" si="35"/>
        <v>2444946</v>
      </c>
      <c r="L165" s="35"/>
      <c r="M165" s="35">
        <v>2139552</v>
      </c>
      <c r="N165" s="35"/>
      <c r="O165" s="35">
        <v>4584498</v>
      </c>
      <c r="P165" s="35"/>
      <c r="Q165" s="35">
        <v>17980985</v>
      </c>
      <c r="R165" s="35"/>
      <c r="S165" s="35">
        <v>0</v>
      </c>
      <c r="T165" s="35"/>
      <c r="U165" s="35">
        <v>21998812</v>
      </c>
      <c r="V165" s="35"/>
      <c r="W165" s="35">
        <f t="shared" si="33"/>
        <v>39979797</v>
      </c>
      <c r="X165" s="35"/>
      <c r="Y165" s="35" t="s">
        <v>201</v>
      </c>
      <c r="Z165" s="55"/>
      <c r="AA165" s="35" t="s">
        <v>92</v>
      </c>
      <c r="AB165" s="35"/>
      <c r="AC165" s="35">
        <v>22269413</v>
      </c>
      <c r="AD165" s="35"/>
      <c r="AE165" s="35">
        <f>19932025-767604</f>
        <v>19164421</v>
      </c>
      <c r="AF165" s="35"/>
      <c r="AG165" s="35">
        <v>767604</v>
      </c>
      <c r="AH165" s="35"/>
      <c r="AI165" s="45">
        <f t="shared" si="32"/>
        <v>2337388</v>
      </c>
      <c r="AJ165" s="45"/>
      <c r="AK165" s="35">
        <v>60362</v>
      </c>
      <c r="AL165" s="35"/>
      <c r="AM165" s="35">
        <v>0</v>
      </c>
      <c r="AN165" s="35"/>
      <c r="AO165" s="35">
        <v>1249257</v>
      </c>
      <c r="AP165" s="35"/>
      <c r="AQ165" s="35">
        <v>0</v>
      </c>
      <c r="AR165" s="35"/>
      <c r="AS165" s="45">
        <f t="shared" si="36"/>
        <v>1148493</v>
      </c>
      <c r="AT165" s="45"/>
      <c r="AU165" s="35">
        <v>0</v>
      </c>
      <c r="AV165" s="35"/>
      <c r="AW165" s="35">
        <v>0</v>
      </c>
      <c r="AX165" s="35"/>
      <c r="AY165" s="35">
        <f t="shared" si="37"/>
        <v>19700023</v>
      </c>
      <c r="AZ165" s="35"/>
      <c r="BA165" s="35" t="s">
        <v>201</v>
      </c>
      <c r="BB165" s="55"/>
      <c r="BC165" s="35" t="s">
        <v>92</v>
      </c>
      <c r="BD165" s="35"/>
      <c r="BE165" s="35">
        <v>0</v>
      </c>
      <c r="BF165" s="35"/>
      <c r="BG165" s="35">
        <f>1655177+155539</f>
        <v>1810716</v>
      </c>
      <c r="BH165" s="35"/>
      <c r="BI165" s="35">
        <v>0</v>
      </c>
      <c r="BJ165" s="35"/>
      <c r="BK165" s="35">
        <f>23774+273952+171722+312653</f>
        <v>782101</v>
      </c>
      <c r="BL165" s="35"/>
      <c r="BM165" s="35">
        <f t="shared" si="38"/>
        <v>2592817</v>
      </c>
      <c r="BN165" s="54" t="s">
        <v>347</v>
      </c>
    </row>
    <row r="166" spans="1:67" ht="12.75" hidden="1" customHeight="1">
      <c r="A166" s="35" t="s">
        <v>202</v>
      </c>
      <c r="C166" s="35" t="s">
        <v>27</v>
      </c>
      <c r="D166" s="35"/>
      <c r="E166" s="35">
        <f t="shared" si="34"/>
        <v>0</v>
      </c>
      <c r="F166" s="35"/>
      <c r="G166" s="35">
        <v>0</v>
      </c>
      <c r="H166" s="35"/>
      <c r="I166" s="35">
        <v>0</v>
      </c>
      <c r="J166" s="35"/>
      <c r="K166" s="35">
        <f t="shared" si="35"/>
        <v>0</v>
      </c>
      <c r="L166" s="35"/>
      <c r="M166" s="35">
        <v>0</v>
      </c>
      <c r="N166" s="35"/>
      <c r="O166" s="35">
        <v>0</v>
      </c>
      <c r="P166" s="35"/>
      <c r="Q166" s="35">
        <v>0</v>
      </c>
      <c r="R166" s="35"/>
      <c r="S166" s="35">
        <v>0</v>
      </c>
      <c r="T166" s="35"/>
      <c r="U166" s="35">
        <v>0</v>
      </c>
      <c r="V166" s="35"/>
      <c r="W166" s="35">
        <f t="shared" si="33"/>
        <v>0</v>
      </c>
      <c r="X166" s="35"/>
      <c r="Y166" s="35" t="s">
        <v>202</v>
      </c>
      <c r="Z166" s="55"/>
      <c r="AA166" s="35" t="s">
        <v>27</v>
      </c>
      <c r="AB166" s="35"/>
      <c r="AC166" s="35">
        <v>0</v>
      </c>
      <c r="AD166" s="35"/>
      <c r="AE166" s="35">
        <v>0</v>
      </c>
      <c r="AF166" s="35"/>
      <c r="AG166" s="35">
        <v>0</v>
      </c>
      <c r="AH166" s="35"/>
      <c r="AI166" s="45">
        <f t="shared" si="32"/>
        <v>0</v>
      </c>
      <c r="AJ166" s="45"/>
      <c r="AK166" s="35">
        <v>0</v>
      </c>
      <c r="AL166" s="35"/>
      <c r="AM166" s="35">
        <v>0</v>
      </c>
      <c r="AN166" s="35"/>
      <c r="AO166" s="35">
        <v>0</v>
      </c>
      <c r="AP166" s="35"/>
      <c r="AQ166" s="35">
        <v>0</v>
      </c>
      <c r="AR166" s="35"/>
      <c r="AS166" s="45">
        <f t="shared" si="36"/>
        <v>0</v>
      </c>
      <c r="AT166" s="45"/>
      <c r="AU166" s="35">
        <v>0</v>
      </c>
      <c r="AV166" s="35"/>
      <c r="AW166" s="35">
        <v>0</v>
      </c>
      <c r="AX166" s="35"/>
      <c r="AY166" s="35">
        <f t="shared" si="37"/>
        <v>0</v>
      </c>
      <c r="AZ166" s="35"/>
      <c r="BA166" s="35" t="s">
        <v>202</v>
      </c>
      <c r="BB166" s="55"/>
      <c r="BC166" s="35" t="s">
        <v>27</v>
      </c>
      <c r="BD166" s="35"/>
      <c r="BE166" s="35">
        <v>0</v>
      </c>
      <c r="BF166" s="35"/>
      <c r="BG166" s="35">
        <v>0</v>
      </c>
      <c r="BH166" s="35"/>
      <c r="BI166" s="35">
        <v>0</v>
      </c>
      <c r="BJ166" s="35"/>
      <c r="BK166" s="35">
        <v>0</v>
      </c>
      <c r="BL166" s="35"/>
      <c r="BM166" s="35">
        <f t="shared" si="38"/>
        <v>0</v>
      </c>
      <c r="BN166" s="54" t="s">
        <v>347</v>
      </c>
    </row>
    <row r="167" spans="1:67" ht="12.75" hidden="1" customHeight="1">
      <c r="A167" s="35" t="s">
        <v>203</v>
      </c>
      <c r="C167" s="35" t="s">
        <v>27</v>
      </c>
      <c r="D167" s="35"/>
      <c r="E167" s="35">
        <f t="shared" si="34"/>
        <v>0</v>
      </c>
      <c r="F167" s="35"/>
      <c r="G167" s="35">
        <v>0</v>
      </c>
      <c r="H167" s="35"/>
      <c r="I167" s="35">
        <v>0</v>
      </c>
      <c r="J167" s="35"/>
      <c r="K167" s="35">
        <f t="shared" si="35"/>
        <v>0</v>
      </c>
      <c r="L167" s="35"/>
      <c r="M167" s="35">
        <v>0</v>
      </c>
      <c r="N167" s="35"/>
      <c r="O167" s="35">
        <v>0</v>
      </c>
      <c r="P167" s="35"/>
      <c r="Q167" s="35">
        <v>0</v>
      </c>
      <c r="R167" s="35"/>
      <c r="S167" s="35">
        <v>0</v>
      </c>
      <c r="T167" s="35"/>
      <c r="U167" s="35">
        <v>0</v>
      </c>
      <c r="V167" s="35"/>
      <c r="W167" s="35">
        <f t="shared" si="33"/>
        <v>0</v>
      </c>
      <c r="X167" s="35"/>
      <c r="Y167" s="35" t="s">
        <v>203</v>
      </c>
      <c r="Z167" s="55"/>
      <c r="AA167" s="35" t="s">
        <v>27</v>
      </c>
      <c r="AB167" s="35"/>
      <c r="AC167" s="35">
        <v>0</v>
      </c>
      <c r="AD167" s="35"/>
      <c r="AE167" s="35">
        <v>0</v>
      </c>
      <c r="AF167" s="35"/>
      <c r="AG167" s="35">
        <v>0</v>
      </c>
      <c r="AH167" s="35"/>
      <c r="AI167" s="45">
        <f t="shared" si="32"/>
        <v>0</v>
      </c>
      <c r="AJ167" s="45"/>
      <c r="AK167" s="35">
        <v>0</v>
      </c>
      <c r="AL167" s="35"/>
      <c r="AM167" s="35">
        <v>0</v>
      </c>
      <c r="AN167" s="35"/>
      <c r="AO167" s="35">
        <v>0</v>
      </c>
      <c r="AP167" s="35"/>
      <c r="AQ167" s="35">
        <v>0</v>
      </c>
      <c r="AR167" s="35"/>
      <c r="AS167" s="45">
        <f t="shared" si="36"/>
        <v>0</v>
      </c>
      <c r="AT167" s="45"/>
      <c r="AU167" s="35">
        <v>0</v>
      </c>
      <c r="AV167" s="35"/>
      <c r="AW167" s="35">
        <v>0</v>
      </c>
      <c r="AX167" s="35"/>
      <c r="AY167" s="35">
        <f t="shared" si="37"/>
        <v>0</v>
      </c>
      <c r="AZ167" s="35"/>
      <c r="BA167" s="35" t="s">
        <v>203</v>
      </c>
      <c r="BB167" s="55"/>
      <c r="BC167" s="35" t="s">
        <v>27</v>
      </c>
      <c r="BD167" s="35"/>
      <c r="BE167" s="35">
        <v>0</v>
      </c>
      <c r="BF167" s="35"/>
      <c r="BG167" s="35">
        <v>0</v>
      </c>
      <c r="BH167" s="35"/>
      <c r="BI167" s="35">
        <v>0</v>
      </c>
      <c r="BJ167" s="35"/>
      <c r="BK167" s="35">
        <v>0</v>
      </c>
      <c r="BL167" s="35"/>
      <c r="BM167" s="35">
        <f t="shared" si="38"/>
        <v>0</v>
      </c>
      <c r="BN167" s="54" t="s">
        <v>347</v>
      </c>
    </row>
    <row r="168" spans="1:67" ht="12.75" hidden="1" customHeight="1">
      <c r="A168" s="35" t="s">
        <v>204</v>
      </c>
      <c r="C168" s="35" t="s">
        <v>125</v>
      </c>
      <c r="D168" s="35"/>
      <c r="E168" s="35">
        <f t="shared" si="34"/>
        <v>0</v>
      </c>
      <c r="F168" s="35"/>
      <c r="G168" s="35">
        <v>0</v>
      </c>
      <c r="H168" s="35"/>
      <c r="I168" s="35">
        <v>0</v>
      </c>
      <c r="J168" s="35"/>
      <c r="K168" s="35">
        <f t="shared" si="35"/>
        <v>0</v>
      </c>
      <c r="L168" s="35"/>
      <c r="M168" s="35">
        <v>0</v>
      </c>
      <c r="N168" s="35"/>
      <c r="O168" s="35">
        <v>0</v>
      </c>
      <c r="P168" s="35"/>
      <c r="Q168" s="35">
        <v>0</v>
      </c>
      <c r="R168" s="35"/>
      <c r="S168" s="35">
        <v>0</v>
      </c>
      <c r="T168" s="35"/>
      <c r="U168" s="35">
        <v>0</v>
      </c>
      <c r="V168" s="35"/>
      <c r="W168" s="35">
        <f t="shared" si="33"/>
        <v>0</v>
      </c>
      <c r="X168" s="35"/>
      <c r="Y168" s="35" t="s">
        <v>204</v>
      </c>
      <c r="Z168" s="55"/>
      <c r="AA168" s="35" t="s">
        <v>125</v>
      </c>
      <c r="AB168" s="35"/>
      <c r="AC168" s="35">
        <v>0</v>
      </c>
      <c r="AD168" s="35"/>
      <c r="AE168" s="35">
        <v>0</v>
      </c>
      <c r="AF168" s="35"/>
      <c r="AG168" s="35">
        <v>0</v>
      </c>
      <c r="AH168" s="35"/>
      <c r="AI168" s="45">
        <f t="shared" si="32"/>
        <v>0</v>
      </c>
      <c r="AJ168" s="45"/>
      <c r="AK168" s="35">
        <v>0</v>
      </c>
      <c r="AL168" s="35"/>
      <c r="AM168" s="35">
        <v>0</v>
      </c>
      <c r="AN168" s="35"/>
      <c r="AO168" s="35">
        <v>0</v>
      </c>
      <c r="AP168" s="35"/>
      <c r="AQ168" s="35">
        <v>0</v>
      </c>
      <c r="AR168" s="35"/>
      <c r="AS168" s="45">
        <f t="shared" si="36"/>
        <v>0</v>
      </c>
      <c r="AT168" s="45"/>
      <c r="AU168" s="35">
        <v>0</v>
      </c>
      <c r="AV168" s="35"/>
      <c r="AW168" s="35">
        <v>0</v>
      </c>
      <c r="AX168" s="35"/>
      <c r="AY168" s="35">
        <f t="shared" si="37"/>
        <v>0</v>
      </c>
      <c r="AZ168" s="35"/>
      <c r="BA168" s="35" t="s">
        <v>204</v>
      </c>
      <c r="BB168" s="55"/>
      <c r="BC168" s="35" t="s">
        <v>125</v>
      </c>
      <c r="BD168" s="35"/>
      <c r="BE168" s="35">
        <v>0</v>
      </c>
      <c r="BF168" s="35"/>
      <c r="BG168" s="35">
        <v>0</v>
      </c>
      <c r="BH168" s="35"/>
      <c r="BI168" s="35">
        <v>0</v>
      </c>
      <c r="BJ168" s="35"/>
      <c r="BK168" s="35">
        <v>0</v>
      </c>
      <c r="BL168" s="35"/>
      <c r="BM168" s="35">
        <f t="shared" si="38"/>
        <v>0</v>
      </c>
      <c r="BN168" s="54" t="s">
        <v>347</v>
      </c>
    </row>
    <row r="169" spans="1:67" ht="12.75" hidden="1" customHeight="1">
      <c r="A169" s="35" t="s">
        <v>205</v>
      </c>
      <c r="C169" s="35" t="s">
        <v>27</v>
      </c>
      <c r="D169" s="35"/>
      <c r="E169" s="35">
        <f t="shared" si="34"/>
        <v>0</v>
      </c>
      <c r="F169" s="35"/>
      <c r="G169" s="35">
        <v>0</v>
      </c>
      <c r="H169" s="35"/>
      <c r="I169" s="35">
        <v>0</v>
      </c>
      <c r="J169" s="35"/>
      <c r="K169" s="35">
        <f t="shared" si="35"/>
        <v>0</v>
      </c>
      <c r="L169" s="35"/>
      <c r="M169" s="35">
        <v>0</v>
      </c>
      <c r="N169" s="35"/>
      <c r="O169" s="35">
        <v>0</v>
      </c>
      <c r="P169" s="35"/>
      <c r="Q169" s="35">
        <v>0</v>
      </c>
      <c r="R169" s="35"/>
      <c r="S169" s="35">
        <v>0</v>
      </c>
      <c r="T169" s="35"/>
      <c r="U169" s="35">
        <v>0</v>
      </c>
      <c r="V169" s="35"/>
      <c r="W169" s="35">
        <f t="shared" si="33"/>
        <v>0</v>
      </c>
      <c r="X169" s="35"/>
      <c r="Y169" s="35" t="s">
        <v>205</v>
      </c>
      <c r="Z169" s="55"/>
      <c r="AA169" s="35" t="s">
        <v>27</v>
      </c>
      <c r="AB169" s="35"/>
      <c r="AC169" s="35">
        <v>0</v>
      </c>
      <c r="AD169" s="35"/>
      <c r="AE169" s="35">
        <v>0</v>
      </c>
      <c r="AF169" s="35"/>
      <c r="AG169" s="35">
        <v>0</v>
      </c>
      <c r="AH169" s="35"/>
      <c r="AI169" s="45">
        <f t="shared" si="32"/>
        <v>0</v>
      </c>
      <c r="AJ169" s="45"/>
      <c r="AK169" s="35">
        <v>0</v>
      </c>
      <c r="AL169" s="35"/>
      <c r="AM169" s="35">
        <v>0</v>
      </c>
      <c r="AN169" s="35"/>
      <c r="AO169" s="35">
        <v>0</v>
      </c>
      <c r="AP169" s="35"/>
      <c r="AQ169" s="35">
        <v>0</v>
      </c>
      <c r="AR169" s="35"/>
      <c r="AS169" s="45">
        <f t="shared" si="36"/>
        <v>0</v>
      </c>
      <c r="AT169" s="45"/>
      <c r="AU169" s="35">
        <v>0</v>
      </c>
      <c r="AV169" s="35"/>
      <c r="AW169" s="35">
        <v>0</v>
      </c>
      <c r="AX169" s="35"/>
      <c r="AY169" s="35">
        <f t="shared" si="37"/>
        <v>0</v>
      </c>
      <c r="AZ169" s="35"/>
      <c r="BA169" s="35" t="s">
        <v>205</v>
      </c>
      <c r="BB169" s="55"/>
      <c r="BC169" s="35" t="s">
        <v>27</v>
      </c>
      <c r="BD169" s="35"/>
      <c r="BE169" s="35">
        <v>0</v>
      </c>
      <c r="BF169" s="35"/>
      <c r="BG169" s="35">
        <v>0</v>
      </c>
      <c r="BH169" s="35"/>
      <c r="BI169" s="35">
        <v>0</v>
      </c>
      <c r="BJ169" s="35"/>
      <c r="BK169" s="35">
        <v>0</v>
      </c>
      <c r="BL169" s="35"/>
      <c r="BM169" s="35">
        <f t="shared" si="38"/>
        <v>0</v>
      </c>
      <c r="BN169" s="54" t="s">
        <v>347</v>
      </c>
    </row>
    <row r="170" spans="1:67" ht="12.75" hidden="1" customHeight="1">
      <c r="A170" s="35" t="s">
        <v>206</v>
      </c>
      <c r="C170" s="35" t="s">
        <v>47</v>
      </c>
      <c r="D170" s="35"/>
      <c r="E170" s="35">
        <f t="shared" si="34"/>
        <v>0</v>
      </c>
      <c r="F170" s="35"/>
      <c r="G170" s="35">
        <v>0</v>
      </c>
      <c r="H170" s="35"/>
      <c r="I170" s="35">
        <v>0</v>
      </c>
      <c r="J170" s="35"/>
      <c r="K170" s="35">
        <f t="shared" si="35"/>
        <v>0</v>
      </c>
      <c r="L170" s="35"/>
      <c r="M170" s="35">
        <v>0</v>
      </c>
      <c r="N170" s="35"/>
      <c r="O170" s="35">
        <v>0</v>
      </c>
      <c r="P170" s="35"/>
      <c r="Q170" s="35">
        <v>0</v>
      </c>
      <c r="R170" s="35"/>
      <c r="S170" s="35">
        <v>0</v>
      </c>
      <c r="T170" s="35"/>
      <c r="U170" s="35">
        <v>0</v>
      </c>
      <c r="V170" s="35"/>
      <c r="W170" s="35">
        <f t="shared" si="33"/>
        <v>0</v>
      </c>
      <c r="X170" s="35"/>
      <c r="Y170" s="35" t="s">
        <v>206</v>
      </c>
      <c r="Z170" s="55"/>
      <c r="AA170" s="35" t="s">
        <v>47</v>
      </c>
      <c r="AB170" s="35"/>
      <c r="AC170" s="35">
        <v>0</v>
      </c>
      <c r="AD170" s="35"/>
      <c r="AE170" s="35">
        <v>0</v>
      </c>
      <c r="AF170" s="35"/>
      <c r="AG170" s="35">
        <v>0</v>
      </c>
      <c r="AH170" s="35"/>
      <c r="AI170" s="45">
        <f t="shared" si="32"/>
        <v>0</v>
      </c>
      <c r="AJ170" s="45"/>
      <c r="AK170" s="35">
        <v>0</v>
      </c>
      <c r="AL170" s="35"/>
      <c r="AM170" s="35">
        <v>0</v>
      </c>
      <c r="AN170" s="35"/>
      <c r="AO170" s="35">
        <v>0</v>
      </c>
      <c r="AP170" s="35"/>
      <c r="AQ170" s="35">
        <v>0</v>
      </c>
      <c r="AR170" s="35"/>
      <c r="AS170" s="45">
        <f t="shared" si="36"/>
        <v>0</v>
      </c>
      <c r="AT170" s="45"/>
      <c r="AU170" s="35">
        <v>0</v>
      </c>
      <c r="AV170" s="35"/>
      <c r="AW170" s="35">
        <v>0</v>
      </c>
      <c r="AX170" s="35"/>
      <c r="AY170" s="35">
        <f t="shared" si="37"/>
        <v>0</v>
      </c>
      <c r="AZ170" s="35"/>
      <c r="BA170" s="35" t="s">
        <v>206</v>
      </c>
      <c r="BB170" s="55"/>
      <c r="BC170" s="35" t="s">
        <v>47</v>
      </c>
      <c r="BD170" s="35"/>
      <c r="BE170" s="35">
        <v>0</v>
      </c>
      <c r="BF170" s="35"/>
      <c r="BG170" s="35">
        <v>0</v>
      </c>
      <c r="BH170" s="35"/>
      <c r="BI170" s="35">
        <v>0</v>
      </c>
      <c r="BJ170" s="35"/>
      <c r="BK170" s="35">
        <v>0</v>
      </c>
      <c r="BL170" s="35"/>
      <c r="BM170" s="35">
        <f t="shared" si="38"/>
        <v>0</v>
      </c>
      <c r="BN170" s="54" t="s">
        <v>347</v>
      </c>
    </row>
    <row r="171" spans="1:67" ht="12.75" hidden="1" customHeight="1">
      <c r="A171" s="35" t="s">
        <v>207</v>
      </c>
      <c r="C171" s="35" t="s">
        <v>102</v>
      </c>
      <c r="D171" s="35"/>
      <c r="E171" s="35">
        <f t="shared" si="34"/>
        <v>0</v>
      </c>
      <c r="F171" s="35"/>
      <c r="G171" s="35">
        <v>0</v>
      </c>
      <c r="H171" s="35"/>
      <c r="I171" s="35">
        <v>0</v>
      </c>
      <c r="J171" s="35"/>
      <c r="K171" s="35">
        <f t="shared" si="35"/>
        <v>0</v>
      </c>
      <c r="L171" s="35"/>
      <c r="M171" s="35">
        <v>0</v>
      </c>
      <c r="N171" s="35"/>
      <c r="O171" s="35">
        <v>0</v>
      </c>
      <c r="P171" s="35"/>
      <c r="Q171" s="35">
        <v>0</v>
      </c>
      <c r="R171" s="35"/>
      <c r="S171" s="35">
        <v>0</v>
      </c>
      <c r="T171" s="35"/>
      <c r="U171" s="35">
        <v>0</v>
      </c>
      <c r="V171" s="35"/>
      <c r="W171" s="35">
        <f t="shared" ref="W171:W202" si="39">SUM(Q171:U171)</f>
        <v>0</v>
      </c>
      <c r="X171" s="35"/>
      <c r="Y171" s="35" t="s">
        <v>207</v>
      </c>
      <c r="Z171" s="55"/>
      <c r="AA171" s="35" t="s">
        <v>102</v>
      </c>
      <c r="AB171" s="35"/>
      <c r="AC171" s="35">
        <v>0</v>
      </c>
      <c r="AD171" s="35"/>
      <c r="AE171" s="35">
        <v>0</v>
      </c>
      <c r="AF171" s="35"/>
      <c r="AG171" s="35">
        <v>0</v>
      </c>
      <c r="AH171" s="35"/>
      <c r="AI171" s="45">
        <f t="shared" si="32"/>
        <v>0</v>
      </c>
      <c r="AJ171" s="45"/>
      <c r="AK171" s="35">
        <v>0</v>
      </c>
      <c r="AL171" s="35"/>
      <c r="AM171" s="35">
        <v>0</v>
      </c>
      <c r="AN171" s="35"/>
      <c r="AO171" s="35">
        <v>0</v>
      </c>
      <c r="AP171" s="35"/>
      <c r="AQ171" s="35">
        <v>0</v>
      </c>
      <c r="AR171" s="35"/>
      <c r="AS171" s="45">
        <f t="shared" si="36"/>
        <v>0</v>
      </c>
      <c r="AT171" s="45"/>
      <c r="AU171" s="35">
        <v>0</v>
      </c>
      <c r="AV171" s="35"/>
      <c r="AW171" s="35">
        <v>0</v>
      </c>
      <c r="AX171" s="35"/>
      <c r="AY171" s="35">
        <f t="shared" si="37"/>
        <v>0</v>
      </c>
      <c r="AZ171" s="35"/>
      <c r="BA171" s="35" t="s">
        <v>207</v>
      </c>
      <c r="BB171" s="55"/>
      <c r="BC171" s="35" t="s">
        <v>102</v>
      </c>
      <c r="BD171" s="35"/>
      <c r="BE171" s="35">
        <v>0</v>
      </c>
      <c r="BF171" s="35"/>
      <c r="BG171" s="35">
        <v>0</v>
      </c>
      <c r="BH171" s="35"/>
      <c r="BI171" s="35">
        <v>0</v>
      </c>
      <c r="BJ171" s="35"/>
      <c r="BK171" s="35">
        <v>0</v>
      </c>
      <c r="BL171" s="35"/>
      <c r="BM171" s="35">
        <f t="shared" si="38"/>
        <v>0</v>
      </c>
      <c r="BN171" s="54" t="s">
        <v>347</v>
      </c>
    </row>
    <row r="172" spans="1:67" ht="12.75" customHeight="1">
      <c r="A172" s="35" t="s">
        <v>208</v>
      </c>
      <c r="C172" s="35" t="s">
        <v>209</v>
      </c>
      <c r="D172" s="35"/>
      <c r="E172" s="35">
        <f t="shared" si="34"/>
        <v>15055958</v>
      </c>
      <c r="F172" s="35"/>
      <c r="G172" s="35">
        <v>32034419</v>
      </c>
      <c r="H172" s="35"/>
      <c r="I172" s="35">
        <v>47090377</v>
      </c>
      <c r="J172" s="35"/>
      <c r="K172" s="35">
        <f t="shared" si="35"/>
        <v>2403970</v>
      </c>
      <c r="L172" s="35"/>
      <c r="M172" s="35">
        <v>710560</v>
      </c>
      <c r="N172" s="35"/>
      <c r="O172" s="35">
        <v>3114530</v>
      </c>
      <c r="P172" s="35"/>
      <c r="Q172" s="35">
        <v>31252654</v>
      </c>
      <c r="R172" s="35"/>
      <c r="S172" s="35">
        <v>0</v>
      </c>
      <c r="T172" s="35"/>
      <c r="U172" s="35">
        <v>12723193</v>
      </c>
      <c r="V172" s="35"/>
      <c r="W172" s="35">
        <f t="shared" si="39"/>
        <v>43975847</v>
      </c>
      <c r="X172" s="35"/>
      <c r="Y172" s="35" t="s">
        <v>208</v>
      </c>
      <c r="Z172" s="55"/>
      <c r="AA172" s="35" t="s">
        <v>209</v>
      </c>
      <c r="AB172" s="35"/>
      <c r="AC172" s="35">
        <v>23175114</v>
      </c>
      <c r="AD172" s="35"/>
      <c r="AE172" s="35">
        <f>22247111-1663835</f>
        <v>20583276</v>
      </c>
      <c r="AF172" s="35"/>
      <c r="AG172" s="35">
        <v>1663835</v>
      </c>
      <c r="AH172" s="35"/>
      <c r="AI172" s="45">
        <f t="shared" si="32"/>
        <v>928003</v>
      </c>
      <c r="AJ172" s="45"/>
      <c r="AK172" s="35">
        <v>245060</v>
      </c>
      <c r="AL172" s="35"/>
      <c r="AM172" s="35">
        <v>0</v>
      </c>
      <c r="AN172" s="35"/>
      <c r="AO172" s="35">
        <v>0</v>
      </c>
      <c r="AP172" s="35"/>
      <c r="AQ172" s="35">
        <v>0</v>
      </c>
      <c r="AR172" s="35"/>
      <c r="AS172" s="45">
        <f t="shared" si="36"/>
        <v>1173063</v>
      </c>
      <c r="AT172" s="45"/>
      <c r="AU172" s="35">
        <v>0</v>
      </c>
      <c r="AV172" s="35"/>
      <c r="AW172" s="35">
        <v>0</v>
      </c>
      <c r="AX172" s="35"/>
      <c r="AY172" s="35">
        <f t="shared" si="37"/>
        <v>12651988</v>
      </c>
      <c r="AZ172" s="35"/>
      <c r="BA172" s="35" t="s">
        <v>208</v>
      </c>
      <c r="BB172" s="55"/>
      <c r="BC172" s="35" t="s">
        <v>209</v>
      </c>
      <c r="BD172" s="35"/>
      <c r="BE172" s="35">
        <f>384558+380000</f>
        <v>764558</v>
      </c>
      <c r="BF172" s="35"/>
      <c r="BG172" s="35">
        <v>0</v>
      </c>
      <c r="BH172" s="35"/>
      <c r="BI172" s="35">
        <v>0</v>
      </c>
      <c r="BJ172" s="35"/>
      <c r="BK172" s="35">
        <f>54069+326002</f>
        <v>380071</v>
      </c>
      <c r="BL172" s="35"/>
      <c r="BM172" s="35">
        <f t="shared" si="38"/>
        <v>1144629</v>
      </c>
      <c r="BN172" s="54" t="s">
        <v>347</v>
      </c>
    </row>
    <row r="173" spans="1:67" ht="12.75" hidden="1" customHeight="1">
      <c r="A173" s="44" t="s">
        <v>210</v>
      </c>
      <c r="C173" s="44" t="s">
        <v>211</v>
      </c>
      <c r="D173" s="44"/>
      <c r="E173" s="35">
        <f t="shared" si="34"/>
        <v>0</v>
      </c>
      <c r="F173" s="35"/>
      <c r="G173" s="35">
        <v>0</v>
      </c>
      <c r="H173" s="35"/>
      <c r="I173" s="35">
        <v>0</v>
      </c>
      <c r="J173" s="35"/>
      <c r="K173" s="35">
        <f t="shared" si="35"/>
        <v>0</v>
      </c>
      <c r="L173" s="35"/>
      <c r="M173" s="35">
        <v>0</v>
      </c>
      <c r="N173" s="35"/>
      <c r="O173" s="35">
        <v>0</v>
      </c>
      <c r="P173" s="35"/>
      <c r="Q173" s="35">
        <v>0</v>
      </c>
      <c r="R173" s="35"/>
      <c r="S173" s="35">
        <v>0</v>
      </c>
      <c r="T173" s="35"/>
      <c r="U173" s="35">
        <v>0</v>
      </c>
      <c r="V173" s="35"/>
      <c r="W173" s="35">
        <f t="shared" si="39"/>
        <v>0</v>
      </c>
      <c r="X173" s="35"/>
      <c r="Y173" s="44" t="s">
        <v>210</v>
      </c>
      <c r="Z173" s="55"/>
      <c r="AA173" s="44" t="s">
        <v>211</v>
      </c>
      <c r="AB173" s="44"/>
      <c r="AC173" s="35">
        <v>0</v>
      </c>
      <c r="AD173" s="35"/>
      <c r="AE173" s="35">
        <v>0</v>
      </c>
      <c r="AF173" s="35"/>
      <c r="AG173" s="35">
        <v>0</v>
      </c>
      <c r="AH173" s="35"/>
      <c r="AI173" s="45">
        <f t="shared" si="32"/>
        <v>0</v>
      </c>
      <c r="AJ173" s="45"/>
      <c r="AK173" s="35">
        <v>0</v>
      </c>
      <c r="AL173" s="35"/>
      <c r="AM173" s="35">
        <v>0</v>
      </c>
      <c r="AN173" s="35"/>
      <c r="AO173" s="35">
        <v>0</v>
      </c>
      <c r="AP173" s="35"/>
      <c r="AQ173" s="35">
        <v>0</v>
      </c>
      <c r="AR173" s="35"/>
      <c r="AS173" s="45">
        <f t="shared" si="36"/>
        <v>0</v>
      </c>
      <c r="AT173" s="45"/>
      <c r="AU173" s="35">
        <v>0</v>
      </c>
      <c r="AV173" s="35"/>
      <c r="AW173" s="35">
        <v>0</v>
      </c>
      <c r="AX173" s="35"/>
      <c r="AY173" s="35">
        <f t="shared" si="37"/>
        <v>0</v>
      </c>
      <c r="AZ173" s="35"/>
      <c r="BA173" s="44" t="s">
        <v>210</v>
      </c>
      <c r="BB173" s="55"/>
      <c r="BC173" s="44" t="s">
        <v>211</v>
      </c>
      <c r="BD173" s="44"/>
      <c r="BE173" s="35">
        <v>0</v>
      </c>
      <c r="BF173" s="35"/>
      <c r="BG173" s="35">
        <v>0</v>
      </c>
      <c r="BH173" s="35"/>
      <c r="BI173" s="35">
        <v>0</v>
      </c>
      <c r="BJ173" s="35"/>
      <c r="BK173" s="35">
        <v>0</v>
      </c>
      <c r="BL173" s="35"/>
      <c r="BM173" s="35">
        <f t="shared" si="38"/>
        <v>0</v>
      </c>
      <c r="BN173" s="54" t="s">
        <v>347</v>
      </c>
    </row>
    <row r="174" spans="1:67" ht="12.75" hidden="1" customHeight="1">
      <c r="A174" s="44" t="s">
        <v>212</v>
      </c>
      <c r="C174" s="44" t="s">
        <v>213</v>
      </c>
      <c r="D174" s="44"/>
      <c r="E174" s="35">
        <f t="shared" si="34"/>
        <v>0</v>
      </c>
      <c r="F174" s="35"/>
      <c r="G174" s="35">
        <v>0</v>
      </c>
      <c r="H174" s="35"/>
      <c r="I174" s="35">
        <v>0</v>
      </c>
      <c r="J174" s="35"/>
      <c r="K174" s="35">
        <f t="shared" si="35"/>
        <v>0</v>
      </c>
      <c r="L174" s="35"/>
      <c r="M174" s="35">
        <v>0</v>
      </c>
      <c r="N174" s="35"/>
      <c r="O174" s="35">
        <v>0</v>
      </c>
      <c r="P174" s="35"/>
      <c r="Q174" s="35">
        <v>0</v>
      </c>
      <c r="R174" s="35"/>
      <c r="S174" s="35">
        <v>0</v>
      </c>
      <c r="T174" s="35"/>
      <c r="U174" s="35">
        <v>0</v>
      </c>
      <c r="V174" s="35"/>
      <c r="W174" s="35">
        <f t="shared" si="39"/>
        <v>0</v>
      </c>
      <c r="X174" s="35"/>
      <c r="Y174" s="44" t="s">
        <v>212</v>
      </c>
      <c r="Z174" s="55"/>
      <c r="AA174" s="44" t="s">
        <v>213</v>
      </c>
      <c r="AB174" s="44"/>
      <c r="AC174" s="35">
        <v>0</v>
      </c>
      <c r="AD174" s="35"/>
      <c r="AE174" s="35">
        <v>0</v>
      </c>
      <c r="AF174" s="35"/>
      <c r="AG174" s="35">
        <v>0</v>
      </c>
      <c r="AH174" s="35"/>
      <c r="AI174" s="45">
        <f t="shared" si="32"/>
        <v>0</v>
      </c>
      <c r="AJ174" s="45"/>
      <c r="AK174" s="35">
        <v>0</v>
      </c>
      <c r="AL174" s="35"/>
      <c r="AM174" s="35">
        <v>0</v>
      </c>
      <c r="AN174" s="35"/>
      <c r="AO174" s="35">
        <v>0</v>
      </c>
      <c r="AP174" s="35"/>
      <c r="AQ174" s="35">
        <v>0</v>
      </c>
      <c r="AR174" s="35"/>
      <c r="AS174" s="45">
        <f t="shared" si="36"/>
        <v>0</v>
      </c>
      <c r="AT174" s="45"/>
      <c r="AU174" s="35">
        <v>0</v>
      </c>
      <c r="AV174" s="35"/>
      <c r="AW174" s="35">
        <v>0</v>
      </c>
      <c r="AX174" s="35"/>
      <c r="AY174" s="35">
        <f t="shared" si="37"/>
        <v>0</v>
      </c>
      <c r="AZ174" s="35"/>
      <c r="BA174" s="44" t="s">
        <v>212</v>
      </c>
      <c r="BB174" s="55"/>
      <c r="BC174" s="44" t="s">
        <v>213</v>
      </c>
      <c r="BD174" s="44"/>
      <c r="BE174" s="35">
        <v>0</v>
      </c>
      <c r="BF174" s="35"/>
      <c r="BG174" s="35">
        <v>0</v>
      </c>
      <c r="BH174" s="35"/>
      <c r="BI174" s="35">
        <v>0</v>
      </c>
      <c r="BJ174" s="35"/>
      <c r="BK174" s="35">
        <v>0</v>
      </c>
      <c r="BL174" s="35"/>
      <c r="BM174" s="35">
        <f t="shared" si="38"/>
        <v>0</v>
      </c>
      <c r="BN174" s="54" t="s">
        <v>347</v>
      </c>
    </row>
    <row r="175" spans="1:67" ht="12.75" hidden="1" customHeight="1">
      <c r="A175" s="44" t="s">
        <v>214</v>
      </c>
      <c r="C175" s="44" t="s">
        <v>86</v>
      </c>
      <c r="D175" s="44"/>
      <c r="E175" s="35">
        <f t="shared" si="34"/>
        <v>0</v>
      </c>
      <c r="F175" s="35"/>
      <c r="G175" s="35">
        <v>0</v>
      </c>
      <c r="H175" s="35"/>
      <c r="I175" s="35">
        <v>0</v>
      </c>
      <c r="J175" s="35"/>
      <c r="K175" s="35">
        <f t="shared" si="35"/>
        <v>0</v>
      </c>
      <c r="L175" s="35"/>
      <c r="M175" s="35">
        <v>0</v>
      </c>
      <c r="N175" s="35"/>
      <c r="O175" s="35">
        <v>0</v>
      </c>
      <c r="P175" s="35"/>
      <c r="Q175" s="35">
        <v>0</v>
      </c>
      <c r="R175" s="35"/>
      <c r="S175" s="35">
        <v>0</v>
      </c>
      <c r="T175" s="35"/>
      <c r="U175" s="35">
        <v>0</v>
      </c>
      <c r="V175" s="35"/>
      <c r="W175" s="35">
        <f t="shared" si="39"/>
        <v>0</v>
      </c>
      <c r="X175" s="35"/>
      <c r="Y175" s="44" t="s">
        <v>214</v>
      </c>
      <c r="Z175" s="55"/>
      <c r="AA175" s="44" t="s">
        <v>86</v>
      </c>
      <c r="AB175" s="44"/>
      <c r="AC175" s="35">
        <v>0</v>
      </c>
      <c r="AD175" s="35"/>
      <c r="AE175" s="35">
        <v>0</v>
      </c>
      <c r="AF175" s="35"/>
      <c r="AG175" s="35">
        <v>0</v>
      </c>
      <c r="AH175" s="35"/>
      <c r="AI175" s="45">
        <f t="shared" si="32"/>
        <v>0</v>
      </c>
      <c r="AJ175" s="45"/>
      <c r="AK175" s="35">
        <v>0</v>
      </c>
      <c r="AL175" s="35"/>
      <c r="AM175" s="35">
        <v>0</v>
      </c>
      <c r="AN175" s="35"/>
      <c r="AO175" s="35">
        <v>0</v>
      </c>
      <c r="AP175" s="35"/>
      <c r="AQ175" s="35">
        <v>0</v>
      </c>
      <c r="AR175" s="35"/>
      <c r="AS175" s="45">
        <f t="shared" si="36"/>
        <v>0</v>
      </c>
      <c r="AT175" s="45"/>
      <c r="AU175" s="35">
        <v>0</v>
      </c>
      <c r="AV175" s="35"/>
      <c r="AW175" s="35">
        <v>0</v>
      </c>
      <c r="AX175" s="35"/>
      <c r="AY175" s="35">
        <f t="shared" si="37"/>
        <v>0</v>
      </c>
      <c r="AZ175" s="35"/>
      <c r="BA175" s="44" t="s">
        <v>214</v>
      </c>
      <c r="BB175" s="55"/>
      <c r="BC175" s="44" t="s">
        <v>86</v>
      </c>
      <c r="BD175" s="44"/>
      <c r="BE175" s="35">
        <v>0</v>
      </c>
      <c r="BF175" s="35"/>
      <c r="BG175" s="35">
        <v>0</v>
      </c>
      <c r="BH175" s="35"/>
      <c r="BI175" s="35">
        <v>0</v>
      </c>
      <c r="BJ175" s="35"/>
      <c r="BK175" s="35">
        <v>0</v>
      </c>
      <c r="BL175" s="35"/>
      <c r="BM175" s="35">
        <f t="shared" si="38"/>
        <v>0</v>
      </c>
      <c r="BN175" s="54" t="s">
        <v>347</v>
      </c>
    </row>
    <row r="176" spans="1:67" ht="12.75" hidden="1" customHeight="1">
      <c r="A176" s="35" t="s">
        <v>215</v>
      </c>
      <c r="C176" s="35" t="s">
        <v>22</v>
      </c>
      <c r="D176" s="35"/>
      <c r="E176" s="35">
        <f t="shared" si="34"/>
        <v>0</v>
      </c>
      <c r="F176" s="35"/>
      <c r="G176" s="35">
        <v>0</v>
      </c>
      <c r="H176" s="35"/>
      <c r="I176" s="35">
        <v>0</v>
      </c>
      <c r="J176" s="35"/>
      <c r="K176" s="35">
        <f t="shared" si="35"/>
        <v>0</v>
      </c>
      <c r="L176" s="35"/>
      <c r="M176" s="35">
        <v>0</v>
      </c>
      <c r="N176" s="35"/>
      <c r="O176" s="35">
        <v>0</v>
      </c>
      <c r="P176" s="35"/>
      <c r="Q176" s="35">
        <v>0</v>
      </c>
      <c r="R176" s="35"/>
      <c r="S176" s="35">
        <v>0</v>
      </c>
      <c r="T176" s="35"/>
      <c r="U176" s="35">
        <v>0</v>
      </c>
      <c r="V176" s="35"/>
      <c r="W176" s="35">
        <f t="shared" si="39"/>
        <v>0</v>
      </c>
      <c r="X176" s="35"/>
      <c r="Y176" s="35" t="s">
        <v>215</v>
      </c>
      <c r="Z176" s="55"/>
      <c r="AA176" s="35" t="s">
        <v>22</v>
      </c>
      <c r="AB176" s="35"/>
      <c r="AC176" s="35">
        <v>0</v>
      </c>
      <c r="AD176" s="35"/>
      <c r="AE176" s="35">
        <v>0</v>
      </c>
      <c r="AF176" s="35"/>
      <c r="AG176" s="35">
        <v>0</v>
      </c>
      <c r="AH176" s="35"/>
      <c r="AI176" s="45">
        <f t="shared" si="32"/>
        <v>0</v>
      </c>
      <c r="AJ176" s="45"/>
      <c r="AK176" s="35">
        <v>0</v>
      </c>
      <c r="AL176" s="35"/>
      <c r="AM176" s="35">
        <v>0</v>
      </c>
      <c r="AN176" s="35"/>
      <c r="AO176" s="35">
        <v>0</v>
      </c>
      <c r="AP176" s="35"/>
      <c r="AQ176" s="35">
        <v>0</v>
      </c>
      <c r="AR176" s="35"/>
      <c r="AS176" s="45">
        <f t="shared" si="36"/>
        <v>0</v>
      </c>
      <c r="AT176" s="45"/>
      <c r="AU176" s="35">
        <v>0</v>
      </c>
      <c r="AV176" s="35"/>
      <c r="AW176" s="35">
        <v>0</v>
      </c>
      <c r="AX176" s="35"/>
      <c r="AY176" s="35">
        <f t="shared" si="37"/>
        <v>0</v>
      </c>
      <c r="AZ176" s="35"/>
      <c r="BA176" s="35" t="s">
        <v>215</v>
      </c>
      <c r="BB176" s="55"/>
      <c r="BC176" s="35" t="s">
        <v>22</v>
      </c>
      <c r="BD176" s="35"/>
      <c r="BE176" s="35">
        <v>0</v>
      </c>
      <c r="BF176" s="35"/>
      <c r="BG176" s="35">
        <v>0</v>
      </c>
      <c r="BH176" s="35"/>
      <c r="BI176" s="35">
        <v>0</v>
      </c>
      <c r="BJ176" s="35"/>
      <c r="BK176" s="35">
        <v>0</v>
      </c>
      <c r="BL176" s="35"/>
      <c r="BM176" s="35">
        <f t="shared" si="38"/>
        <v>0</v>
      </c>
      <c r="BN176" s="54" t="s">
        <v>347</v>
      </c>
    </row>
    <row r="177" spans="1:68" ht="12.75" hidden="1" customHeight="1">
      <c r="A177" s="35" t="s">
        <v>216</v>
      </c>
      <c r="C177" s="35" t="s">
        <v>45</v>
      </c>
      <c r="D177" s="35"/>
      <c r="E177" s="35">
        <f t="shared" si="34"/>
        <v>0</v>
      </c>
      <c r="F177" s="35"/>
      <c r="G177" s="35">
        <v>0</v>
      </c>
      <c r="H177" s="35"/>
      <c r="I177" s="35">
        <v>0</v>
      </c>
      <c r="J177" s="35"/>
      <c r="K177" s="35">
        <f t="shared" si="35"/>
        <v>0</v>
      </c>
      <c r="L177" s="35"/>
      <c r="M177" s="35">
        <v>0</v>
      </c>
      <c r="N177" s="35"/>
      <c r="O177" s="35">
        <v>0</v>
      </c>
      <c r="P177" s="35"/>
      <c r="Q177" s="35">
        <v>0</v>
      </c>
      <c r="R177" s="35"/>
      <c r="S177" s="35">
        <v>0</v>
      </c>
      <c r="T177" s="35"/>
      <c r="U177" s="35">
        <v>0</v>
      </c>
      <c r="V177" s="35"/>
      <c r="W177" s="35">
        <f t="shared" si="39"/>
        <v>0</v>
      </c>
      <c r="X177" s="35"/>
      <c r="Y177" s="35" t="s">
        <v>216</v>
      </c>
      <c r="Z177" s="55"/>
      <c r="AA177" s="35" t="s">
        <v>45</v>
      </c>
      <c r="AB177" s="35"/>
      <c r="AC177" s="35">
        <v>0</v>
      </c>
      <c r="AD177" s="35"/>
      <c r="AE177" s="35">
        <v>0</v>
      </c>
      <c r="AF177" s="35"/>
      <c r="AG177" s="35">
        <v>0</v>
      </c>
      <c r="AH177" s="35"/>
      <c r="AI177" s="45">
        <f t="shared" si="32"/>
        <v>0</v>
      </c>
      <c r="AJ177" s="45"/>
      <c r="AK177" s="35">
        <v>0</v>
      </c>
      <c r="AL177" s="35"/>
      <c r="AM177" s="35">
        <v>0</v>
      </c>
      <c r="AN177" s="35"/>
      <c r="AO177" s="35">
        <v>0</v>
      </c>
      <c r="AP177" s="35"/>
      <c r="AQ177" s="35">
        <v>0</v>
      </c>
      <c r="AR177" s="35"/>
      <c r="AS177" s="45">
        <f t="shared" si="36"/>
        <v>0</v>
      </c>
      <c r="AT177" s="45"/>
      <c r="AU177" s="35">
        <v>0</v>
      </c>
      <c r="AV177" s="35"/>
      <c r="AW177" s="35">
        <v>0</v>
      </c>
      <c r="AX177" s="35"/>
      <c r="AY177" s="35">
        <f t="shared" si="37"/>
        <v>0</v>
      </c>
      <c r="AZ177" s="35"/>
      <c r="BA177" s="35" t="s">
        <v>216</v>
      </c>
      <c r="BB177" s="55"/>
      <c r="BC177" s="35" t="s">
        <v>45</v>
      </c>
      <c r="BD177" s="35"/>
      <c r="BE177" s="35">
        <v>0</v>
      </c>
      <c r="BF177" s="35"/>
      <c r="BG177" s="35">
        <v>0</v>
      </c>
      <c r="BH177" s="35"/>
      <c r="BI177" s="35">
        <v>0</v>
      </c>
      <c r="BJ177" s="35"/>
      <c r="BK177" s="35">
        <v>0</v>
      </c>
      <c r="BL177" s="35"/>
      <c r="BM177" s="35">
        <f t="shared" si="38"/>
        <v>0</v>
      </c>
      <c r="BN177" s="54" t="s">
        <v>347</v>
      </c>
    </row>
    <row r="178" spans="1:68" ht="12.75" hidden="1" customHeight="1">
      <c r="A178" s="35" t="s">
        <v>217</v>
      </c>
      <c r="C178" s="35" t="s">
        <v>43</v>
      </c>
      <c r="D178" s="35"/>
      <c r="E178" s="35">
        <f t="shared" si="34"/>
        <v>0</v>
      </c>
      <c r="F178" s="35"/>
      <c r="G178" s="35">
        <v>0</v>
      </c>
      <c r="H178" s="35"/>
      <c r="I178" s="35">
        <v>0</v>
      </c>
      <c r="J178" s="35"/>
      <c r="K178" s="35">
        <f t="shared" si="35"/>
        <v>0</v>
      </c>
      <c r="L178" s="35"/>
      <c r="M178" s="35">
        <v>0</v>
      </c>
      <c r="N178" s="35"/>
      <c r="O178" s="35">
        <v>0</v>
      </c>
      <c r="P178" s="35"/>
      <c r="Q178" s="35">
        <v>0</v>
      </c>
      <c r="R178" s="35"/>
      <c r="S178" s="35">
        <v>0</v>
      </c>
      <c r="T178" s="35"/>
      <c r="U178" s="35">
        <v>0</v>
      </c>
      <c r="V178" s="35"/>
      <c r="W178" s="35">
        <f t="shared" si="39"/>
        <v>0</v>
      </c>
      <c r="X178" s="35"/>
      <c r="Y178" s="35" t="s">
        <v>217</v>
      </c>
      <c r="Z178" s="55"/>
      <c r="AA178" s="35" t="s">
        <v>43</v>
      </c>
      <c r="AB178" s="35"/>
      <c r="AC178" s="35">
        <v>0</v>
      </c>
      <c r="AD178" s="35"/>
      <c r="AE178" s="35">
        <v>0</v>
      </c>
      <c r="AF178" s="35"/>
      <c r="AG178" s="35">
        <v>0</v>
      </c>
      <c r="AH178" s="35"/>
      <c r="AI178" s="45">
        <f t="shared" si="32"/>
        <v>0</v>
      </c>
      <c r="AJ178" s="45"/>
      <c r="AK178" s="35">
        <v>0</v>
      </c>
      <c r="AL178" s="35"/>
      <c r="AM178" s="35">
        <v>0</v>
      </c>
      <c r="AN178" s="35"/>
      <c r="AO178" s="35">
        <v>0</v>
      </c>
      <c r="AP178" s="35"/>
      <c r="AQ178" s="35">
        <v>0</v>
      </c>
      <c r="AR178" s="35"/>
      <c r="AS178" s="45">
        <f t="shared" si="36"/>
        <v>0</v>
      </c>
      <c r="AT178" s="45"/>
      <c r="AU178" s="35">
        <v>0</v>
      </c>
      <c r="AV178" s="35"/>
      <c r="AW178" s="35">
        <v>0</v>
      </c>
      <c r="AX178" s="35"/>
      <c r="AY178" s="35">
        <f t="shared" si="37"/>
        <v>0</v>
      </c>
      <c r="AZ178" s="35"/>
      <c r="BA178" s="35" t="s">
        <v>217</v>
      </c>
      <c r="BB178" s="55"/>
      <c r="BC178" s="35" t="s">
        <v>43</v>
      </c>
      <c r="BD178" s="35"/>
      <c r="BE178" s="35">
        <v>0</v>
      </c>
      <c r="BF178" s="35"/>
      <c r="BG178" s="35">
        <v>0</v>
      </c>
      <c r="BH178" s="35"/>
      <c r="BI178" s="35">
        <v>0</v>
      </c>
      <c r="BJ178" s="35"/>
      <c r="BK178" s="35">
        <v>0</v>
      </c>
      <c r="BL178" s="35"/>
      <c r="BM178" s="35">
        <f t="shared" si="38"/>
        <v>0</v>
      </c>
      <c r="BN178" s="54" t="s">
        <v>347</v>
      </c>
    </row>
    <row r="179" spans="1:68" ht="12.75" hidden="1" customHeight="1">
      <c r="A179" s="35" t="s">
        <v>218</v>
      </c>
      <c r="C179" s="35" t="s">
        <v>27</v>
      </c>
      <c r="D179" s="35"/>
      <c r="E179" s="35">
        <f t="shared" si="34"/>
        <v>0</v>
      </c>
      <c r="F179" s="35"/>
      <c r="G179" s="35">
        <v>0</v>
      </c>
      <c r="H179" s="35"/>
      <c r="I179" s="35">
        <v>0</v>
      </c>
      <c r="J179" s="35"/>
      <c r="K179" s="35">
        <f t="shared" si="35"/>
        <v>0</v>
      </c>
      <c r="L179" s="35"/>
      <c r="M179" s="35">
        <v>0</v>
      </c>
      <c r="N179" s="35"/>
      <c r="O179" s="35">
        <v>0</v>
      </c>
      <c r="P179" s="35"/>
      <c r="Q179" s="35">
        <v>0</v>
      </c>
      <c r="R179" s="35"/>
      <c r="S179" s="35">
        <v>0</v>
      </c>
      <c r="T179" s="35"/>
      <c r="U179" s="35">
        <v>0</v>
      </c>
      <c r="V179" s="35"/>
      <c r="W179" s="35">
        <f t="shared" si="39"/>
        <v>0</v>
      </c>
      <c r="X179" s="35"/>
      <c r="Y179" s="35" t="s">
        <v>218</v>
      </c>
      <c r="Z179" s="55"/>
      <c r="AA179" s="35" t="s">
        <v>27</v>
      </c>
      <c r="AB179" s="35"/>
      <c r="AC179" s="35">
        <v>0</v>
      </c>
      <c r="AD179" s="35"/>
      <c r="AE179" s="35">
        <v>0</v>
      </c>
      <c r="AF179" s="35"/>
      <c r="AG179" s="35">
        <v>0</v>
      </c>
      <c r="AH179" s="35"/>
      <c r="AI179" s="45">
        <f t="shared" si="32"/>
        <v>0</v>
      </c>
      <c r="AJ179" s="45"/>
      <c r="AK179" s="35">
        <v>0</v>
      </c>
      <c r="AL179" s="35"/>
      <c r="AM179" s="35">
        <v>0</v>
      </c>
      <c r="AN179" s="35"/>
      <c r="AO179" s="35">
        <v>0</v>
      </c>
      <c r="AP179" s="35"/>
      <c r="AQ179" s="35">
        <v>0</v>
      </c>
      <c r="AR179" s="35"/>
      <c r="AS179" s="45">
        <f t="shared" si="36"/>
        <v>0</v>
      </c>
      <c r="AT179" s="45"/>
      <c r="AU179" s="35">
        <v>0</v>
      </c>
      <c r="AV179" s="35"/>
      <c r="AW179" s="35">
        <v>0</v>
      </c>
      <c r="AX179" s="35"/>
      <c r="AY179" s="35">
        <f t="shared" si="37"/>
        <v>0</v>
      </c>
      <c r="AZ179" s="35"/>
      <c r="BA179" s="35" t="s">
        <v>218</v>
      </c>
      <c r="BB179" s="55"/>
      <c r="BC179" s="35" t="s">
        <v>27</v>
      </c>
      <c r="BD179" s="35"/>
      <c r="BE179" s="35">
        <v>0</v>
      </c>
      <c r="BF179" s="35"/>
      <c r="BG179" s="35">
        <v>0</v>
      </c>
      <c r="BH179" s="35"/>
      <c r="BI179" s="35">
        <v>0</v>
      </c>
      <c r="BJ179" s="35"/>
      <c r="BK179" s="35">
        <v>0</v>
      </c>
      <c r="BL179" s="35"/>
      <c r="BM179" s="35">
        <f t="shared" si="38"/>
        <v>0</v>
      </c>
      <c r="BN179" s="54" t="s">
        <v>347</v>
      </c>
      <c r="BO179" s="35"/>
      <c r="BP179" s="35"/>
    </row>
    <row r="180" spans="1:68" ht="12.75" hidden="1" customHeight="1">
      <c r="A180" s="35" t="s">
        <v>219</v>
      </c>
      <c r="C180" s="35" t="s">
        <v>199</v>
      </c>
      <c r="D180" s="35"/>
      <c r="E180" s="35">
        <f t="shared" si="34"/>
        <v>0</v>
      </c>
      <c r="F180" s="35"/>
      <c r="G180" s="35">
        <v>0</v>
      </c>
      <c r="H180" s="35"/>
      <c r="I180" s="35">
        <v>0</v>
      </c>
      <c r="J180" s="35"/>
      <c r="K180" s="35">
        <f t="shared" si="35"/>
        <v>0</v>
      </c>
      <c r="L180" s="35"/>
      <c r="M180" s="35">
        <v>0</v>
      </c>
      <c r="N180" s="35"/>
      <c r="O180" s="35">
        <v>0</v>
      </c>
      <c r="P180" s="35"/>
      <c r="Q180" s="35">
        <v>0</v>
      </c>
      <c r="R180" s="35"/>
      <c r="S180" s="35">
        <v>0</v>
      </c>
      <c r="T180" s="35"/>
      <c r="U180" s="35">
        <v>0</v>
      </c>
      <c r="V180" s="35"/>
      <c r="W180" s="35">
        <f t="shared" si="39"/>
        <v>0</v>
      </c>
      <c r="X180" s="35"/>
      <c r="Y180" s="35" t="s">
        <v>219</v>
      </c>
      <c r="Z180" s="55"/>
      <c r="AA180" s="35" t="s">
        <v>199</v>
      </c>
      <c r="AB180" s="35"/>
      <c r="AC180" s="35">
        <v>0</v>
      </c>
      <c r="AD180" s="35"/>
      <c r="AE180" s="35">
        <v>0</v>
      </c>
      <c r="AF180" s="35"/>
      <c r="AG180" s="35">
        <v>0</v>
      </c>
      <c r="AH180" s="35"/>
      <c r="AI180" s="45">
        <f t="shared" si="32"/>
        <v>0</v>
      </c>
      <c r="AJ180" s="45"/>
      <c r="AK180" s="35">
        <v>0</v>
      </c>
      <c r="AL180" s="35"/>
      <c r="AM180" s="35">
        <v>0</v>
      </c>
      <c r="AN180" s="35"/>
      <c r="AO180" s="35">
        <v>0</v>
      </c>
      <c r="AP180" s="35"/>
      <c r="AQ180" s="35">
        <v>0</v>
      </c>
      <c r="AR180" s="35"/>
      <c r="AS180" s="45">
        <f t="shared" si="36"/>
        <v>0</v>
      </c>
      <c r="AT180" s="45"/>
      <c r="AU180" s="35">
        <v>0</v>
      </c>
      <c r="AV180" s="35"/>
      <c r="AW180" s="35">
        <v>0</v>
      </c>
      <c r="AX180" s="35"/>
      <c r="AY180" s="35">
        <f t="shared" si="37"/>
        <v>0</v>
      </c>
      <c r="AZ180" s="35"/>
      <c r="BA180" s="35" t="s">
        <v>219</v>
      </c>
      <c r="BB180" s="55"/>
      <c r="BC180" s="35" t="s">
        <v>199</v>
      </c>
      <c r="BD180" s="35"/>
      <c r="BE180" s="35">
        <v>0</v>
      </c>
      <c r="BF180" s="35"/>
      <c r="BG180" s="35">
        <v>0</v>
      </c>
      <c r="BH180" s="35"/>
      <c r="BI180" s="35">
        <v>0</v>
      </c>
      <c r="BJ180" s="35"/>
      <c r="BK180" s="35">
        <v>0</v>
      </c>
      <c r="BL180" s="35"/>
      <c r="BM180" s="35">
        <f t="shared" si="38"/>
        <v>0</v>
      </c>
      <c r="BN180" s="54" t="s">
        <v>347</v>
      </c>
    </row>
    <row r="181" spans="1:68" ht="12.75" hidden="1" customHeight="1">
      <c r="A181" s="35" t="s">
        <v>220</v>
      </c>
      <c r="C181" s="35" t="s">
        <v>66</v>
      </c>
      <c r="D181" s="35"/>
      <c r="E181" s="35">
        <f t="shared" si="34"/>
        <v>0</v>
      </c>
      <c r="F181" s="35"/>
      <c r="G181" s="35">
        <v>0</v>
      </c>
      <c r="H181" s="35"/>
      <c r="I181" s="35">
        <v>0</v>
      </c>
      <c r="J181" s="35"/>
      <c r="K181" s="35">
        <f t="shared" si="35"/>
        <v>0</v>
      </c>
      <c r="L181" s="35"/>
      <c r="M181" s="35">
        <v>0</v>
      </c>
      <c r="N181" s="35"/>
      <c r="O181" s="35">
        <v>0</v>
      </c>
      <c r="P181" s="35"/>
      <c r="Q181" s="35">
        <v>0</v>
      </c>
      <c r="R181" s="35"/>
      <c r="S181" s="35">
        <v>0</v>
      </c>
      <c r="T181" s="35"/>
      <c r="U181" s="35">
        <v>0</v>
      </c>
      <c r="V181" s="35"/>
      <c r="W181" s="35">
        <f t="shared" si="39"/>
        <v>0</v>
      </c>
      <c r="X181" s="35"/>
      <c r="Y181" s="35" t="s">
        <v>220</v>
      </c>
      <c r="Z181" s="55"/>
      <c r="AA181" s="35" t="s">
        <v>66</v>
      </c>
      <c r="AB181" s="35"/>
      <c r="AC181" s="35">
        <v>0</v>
      </c>
      <c r="AD181" s="35"/>
      <c r="AE181" s="35">
        <v>0</v>
      </c>
      <c r="AF181" s="35"/>
      <c r="AG181" s="35">
        <v>0</v>
      </c>
      <c r="AH181" s="35"/>
      <c r="AI181" s="45">
        <f t="shared" si="32"/>
        <v>0</v>
      </c>
      <c r="AJ181" s="45"/>
      <c r="AK181" s="35">
        <v>0</v>
      </c>
      <c r="AL181" s="35"/>
      <c r="AM181" s="35">
        <v>0</v>
      </c>
      <c r="AN181" s="35"/>
      <c r="AO181" s="35">
        <v>0</v>
      </c>
      <c r="AP181" s="35"/>
      <c r="AQ181" s="35">
        <v>0</v>
      </c>
      <c r="AR181" s="35"/>
      <c r="AS181" s="45">
        <f t="shared" si="36"/>
        <v>0</v>
      </c>
      <c r="AT181" s="45"/>
      <c r="AU181" s="35">
        <v>0</v>
      </c>
      <c r="AV181" s="35"/>
      <c r="AW181" s="35">
        <v>0</v>
      </c>
      <c r="AX181" s="35"/>
      <c r="AY181" s="35">
        <f t="shared" si="37"/>
        <v>0</v>
      </c>
      <c r="AZ181" s="35"/>
      <c r="BA181" s="35" t="s">
        <v>220</v>
      </c>
      <c r="BB181" s="55"/>
      <c r="BC181" s="35" t="s">
        <v>66</v>
      </c>
      <c r="BD181" s="35"/>
      <c r="BE181" s="35">
        <v>0</v>
      </c>
      <c r="BF181" s="35"/>
      <c r="BG181" s="35">
        <v>0</v>
      </c>
      <c r="BH181" s="35"/>
      <c r="BI181" s="35">
        <v>0</v>
      </c>
      <c r="BJ181" s="35"/>
      <c r="BK181" s="35">
        <v>0</v>
      </c>
      <c r="BL181" s="35"/>
      <c r="BM181" s="35">
        <f t="shared" si="38"/>
        <v>0</v>
      </c>
      <c r="BN181" s="89" t="s">
        <v>347</v>
      </c>
    </row>
    <row r="182" spans="1:68" ht="12.75" hidden="1" customHeight="1">
      <c r="A182" s="35" t="s">
        <v>221</v>
      </c>
      <c r="C182" s="35" t="s">
        <v>27</v>
      </c>
      <c r="D182" s="35"/>
      <c r="E182" s="35">
        <f t="shared" si="34"/>
        <v>0</v>
      </c>
      <c r="F182" s="35"/>
      <c r="G182" s="35">
        <v>0</v>
      </c>
      <c r="H182" s="35"/>
      <c r="I182" s="35">
        <v>0</v>
      </c>
      <c r="J182" s="35"/>
      <c r="K182" s="35">
        <f t="shared" si="35"/>
        <v>0</v>
      </c>
      <c r="L182" s="35"/>
      <c r="M182" s="35">
        <v>0</v>
      </c>
      <c r="N182" s="35"/>
      <c r="O182" s="35">
        <v>0</v>
      </c>
      <c r="P182" s="35"/>
      <c r="Q182" s="35">
        <v>0</v>
      </c>
      <c r="R182" s="35"/>
      <c r="S182" s="35">
        <v>0</v>
      </c>
      <c r="T182" s="35"/>
      <c r="U182" s="35">
        <v>0</v>
      </c>
      <c r="V182" s="35"/>
      <c r="W182" s="35">
        <f t="shared" si="39"/>
        <v>0</v>
      </c>
      <c r="X182" s="35"/>
      <c r="Y182" s="35" t="s">
        <v>221</v>
      </c>
      <c r="Z182" s="55"/>
      <c r="AA182" s="35" t="s">
        <v>27</v>
      </c>
      <c r="AB182" s="35"/>
      <c r="AC182" s="35">
        <v>0</v>
      </c>
      <c r="AD182" s="35"/>
      <c r="AE182" s="35">
        <v>0</v>
      </c>
      <c r="AF182" s="35"/>
      <c r="AG182" s="35">
        <v>0</v>
      </c>
      <c r="AH182" s="35"/>
      <c r="AI182" s="45">
        <f t="shared" si="32"/>
        <v>0</v>
      </c>
      <c r="AJ182" s="45"/>
      <c r="AK182" s="35">
        <v>0</v>
      </c>
      <c r="AL182" s="35"/>
      <c r="AM182" s="35">
        <v>0</v>
      </c>
      <c r="AN182" s="35"/>
      <c r="AO182" s="35">
        <v>0</v>
      </c>
      <c r="AP182" s="35"/>
      <c r="AQ182" s="35">
        <v>0</v>
      </c>
      <c r="AR182" s="35"/>
      <c r="AS182" s="45">
        <f t="shared" si="36"/>
        <v>0</v>
      </c>
      <c r="AT182" s="45"/>
      <c r="AU182" s="35">
        <v>0</v>
      </c>
      <c r="AV182" s="35"/>
      <c r="AW182" s="35">
        <v>0</v>
      </c>
      <c r="AX182" s="35"/>
      <c r="AY182" s="35">
        <f t="shared" si="37"/>
        <v>0</v>
      </c>
      <c r="AZ182" s="35"/>
      <c r="BA182" s="35" t="s">
        <v>221</v>
      </c>
      <c r="BB182" s="55"/>
      <c r="BC182" s="35" t="s">
        <v>27</v>
      </c>
      <c r="BD182" s="35"/>
      <c r="BE182" s="35">
        <v>0</v>
      </c>
      <c r="BF182" s="35"/>
      <c r="BG182" s="35">
        <v>0</v>
      </c>
      <c r="BH182" s="35"/>
      <c r="BI182" s="35">
        <v>0</v>
      </c>
      <c r="BJ182" s="35"/>
      <c r="BK182" s="35">
        <v>0</v>
      </c>
      <c r="BL182" s="35"/>
      <c r="BM182" s="35">
        <f t="shared" si="38"/>
        <v>0</v>
      </c>
      <c r="BN182" s="89" t="s">
        <v>347</v>
      </c>
    </row>
    <row r="183" spans="1:68" ht="12.75" hidden="1" customHeight="1">
      <c r="A183" s="35" t="s">
        <v>222</v>
      </c>
      <c r="C183" s="35" t="s">
        <v>47</v>
      </c>
      <c r="D183" s="35"/>
      <c r="E183" s="35">
        <f t="shared" si="34"/>
        <v>0</v>
      </c>
      <c r="F183" s="35"/>
      <c r="G183" s="35">
        <v>0</v>
      </c>
      <c r="H183" s="35"/>
      <c r="I183" s="35">
        <v>0</v>
      </c>
      <c r="J183" s="35"/>
      <c r="K183" s="35">
        <f t="shared" si="35"/>
        <v>0</v>
      </c>
      <c r="L183" s="35"/>
      <c r="M183" s="35">
        <v>0</v>
      </c>
      <c r="N183" s="35"/>
      <c r="O183" s="35">
        <v>0</v>
      </c>
      <c r="P183" s="35"/>
      <c r="Q183" s="35">
        <v>0</v>
      </c>
      <c r="R183" s="35"/>
      <c r="S183" s="35">
        <v>0</v>
      </c>
      <c r="T183" s="35"/>
      <c r="U183" s="35">
        <v>0</v>
      </c>
      <c r="V183" s="35"/>
      <c r="W183" s="35">
        <f t="shared" si="39"/>
        <v>0</v>
      </c>
      <c r="X183" s="35"/>
      <c r="Y183" s="35" t="s">
        <v>222</v>
      </c>
      <c r="Z183" s="55"/>
      <c r="AA183" s="35" t="s">
        <v>47</v>
      </c>
      <c r="AB183" s="35"/>
      <c r="AC183" s="35">
        <v>0</v>
      </c>
      <c r="AD183" s="35"/>
      <c r="AE183" s="35">
        <v>0</v>
      </c>
      <c r="AF183" s="35"/>
      <c r="AG183" s="35">
        <v>0</v>
      </c>
      <c r="AH183" s="35"/>
      <c r="AI183" s="45">
        <f t="shared" si="32"/>
        <v>0</v>
      </c>
      <c r="AJ183" s="45"/>
      <c r="AK183" s="35">
        <v>0</v>
      </c>
      <c r="AL183" s="35"/>
      <c r="AM183" s="35">
        <v>0</v>
      </c>
      <c r="AN183" s="35"/>
      <c r="AO183" s="35">
        <v>0</v>
      </c>
      <c r="AP183" s="35"/>
      <c r="AQ183" s="35">
        <v>0</v>
      </c>
      <c r="AR183" s="35"/>
      <c r="AS183" s="45">
        <f t="shared" si="36"/>
        <v>0</v>
      </c>
      <c r="AT183" s="45"/>
      <c r="AU183" s="35">
        <v>0</v>
      </c>
      <c r="AV183" s="35"/>
      <c r="AW183" s="35">
        <v>0</v>
      </c>
      <c r="AX183" s="35"/>
      <c r="AY183" s="35">
        <f t="shared" si="37"/>
        <v>0</v>
      </c>
      <c r="AZ183" s="35"/>
      <c r="BA183" s="35" t="s">
        <v>222</v>
      </c>
      <c r="BB183" s="55"/>
      <c r="BC183" s="35" t="s">
        <v>47</v>
      </c>
      <c r="BD183" s="35"/>
      <c r="BE183" s="35">
        <v>0</v>
      </c>
      <c r="BF183" s="35"/>
      <c r="BG183" s="35">
        <v>0</v>
      </c>
      <c r="BH183" s="35"/>
      <c r="BI183" s="35">
        <v>0</v>
      </c>
      <c r="BJ183" s="35"/>
      <c r="BK183" s="35">
        <v>0</v>
      </c>
      <c r="BL183" s="35"/>
      <c r="BM183" s="35">
        <f t="shared" si="38"/>
        <v>0</v>
      </c>
      <c r="BN183" s="89" t="s">
        <v>347</v>
      </c>
    </row>
    <row r="184" spans="1:68" ht="12.75" hidden="1" customHeight="1">
      <c r="A184" s="35" t="s">
        <v>223</v>
      </c>
      <c r="C184" s="35" t="s">
        <v>94</v>
      </c>
      <c r="D184" s="35"/>
      <c r="E184" s="35">
        <f t="shared" si="34"/>
        <v>0</v>
      </c>
      <c r="F184" s="35"/>
      <c r="G184" s="35">
        <v>0</v>
      </c>
      <c r="H184" s="35"/>
      <c r="I184" s="35">
        <v>0</v>
      </c>
      <c r="J184" s="35"/>
      <c r="K184" s="35">
        <f t="shared" si="35"/>
        <v>0</v>
      </c>
      <c r="L184" s="35"/>
      <c r="M184" s="35">
        <v>0</v>
      </c>
      <c r="N184" s="35"/>
      <c r="O184" s="35">
        <v>0</v>
      </c>
      <c r="P184" s="35"/>
      <c r="Q184" s="35">
        <v>0</v>
      </c>
      <c r="R184" s="35"/>
      <c r="S184" s="35">
        <v>0</v>
      </c>
      <c r="T184" s="35"/>
      <c r="U184" s="35">
        <v>0</v>
      </c>
      <c r="V184" s="35"/>
      <c r="W184" s="35">
        <f t="shared" si="39"/>
        <v>0</v>
      </c>
      <c r="X184" s="35"/>
      <c r="Y184" s="35" t="s">
        <v>223</v>
      </c>
      <c r="Z184" s="55"/>
      <c r="AA184" s="35" t="s">
        <v>94</v>
      </c>
      <c r="AB184" s="35"/>
      <c r="AC184" s="35">
        <v>0</v>
      </c>
      <c r="AD184" s="35"/>
      <c r="AE184" s="35">
        <v>0</v>
      </c>
      <c r="AF184" s="35"/>
      <c r="AG184" s="35">
        <v>0</v>
      </c>
      <c r="AH184" s="35"/>
      <c r="AI184" s="45">
        <f t="shared" si="32"/>
        <v>0</v>
      </c>
      <c r="AJ184" s="45"/>
      <c r="AK184" s="35">
        <v>0</v>
      </c>
      <c r="AL184" s="35"/>
      <c r="AM184" s="35">
        <v>0</v>
      </c>
      <c r="AN184" s="35"/>
      <c r="AO184" s="35">
        <v>0</v>
      </c>
      <c r="AP184" s="35"/>
      <c r="AQ184" s="35">
        <v>0</v>
      </c>
      <c r="AR184" s="35"/>
      <c r="AS184" s="45">
        <f t="shared" si="36"/>
        <v>0</v>
      </c>
      <c r="AT184" s="45"/>
      <c r="AU184" s="35">
        <v>0</v>
      </c>
      <c r="AV184" s="35"/>
      <c r="AW184" s="35">
        <v>0</v>
      </c>
      <c r="AX184" s="35"/>
      <c r="AY184" s="35">
        <f t="shared" si="37"/>
        <v>0</v>
      </c>
      <c r="AZ184" s="35"/>
      <c r="BA184" s="35" t="s">
        <v>223</v>
      </c>
      <c r="BB184" s="55"/>
      <c r="BC184" s="35" t="s">
        <v>94</v>
      </c>
      <c r="BD184" s="35"/>
      <c r="BE184" s="35">
        <v>0</v>
      </c>
      <c r="BF184" s="35"/>
      <c r="BG184" s="35">
        <v>0</v>
      </c>
      <c r="BH184" s="35"/>
      <c r="BI184" s="35">
        <v>0</v>
      </c>
      <c r="BJ184" s="35"/>
      <c r="BK184" s="35">
        <v>0</v>
      </c>
      <c r="BL184" s="35"/>
      <c r="BM184" s="35">
        <f t="shared" si="38"/>
        <v>0</v>
      </c>
      <c r="BN184" s="89" t="s">
        <v>347</v>
      </c>
    </row>
    <row r="185" spans="1:68" ht="12.75" hidden="1" customHeight="1">
      <c r="A185" s="35" t="s">
        <v>76</v>
      </c>
      <c r="C185" s="35" t="s">
        <v>132</v>
      </c>
      <c r="D185" s="35"/>
      <c r="E185" s="35">
        <f t="shared" si="34"/>
        <v>0</v>
      </c>
      <c r="F185" s="35"/>
      <c r="G185" s="35">
        <v>0</v>
      </c>
      <c r="H185" s="35"/>
      <c r="I185" s="35">
        <v>0</v>
      </c>
      <c r="J185" s="35"/>
      <c r="K185" s="35">
        <f t="shared" si="35"/>
        <v>0</v>
      </c>
      <c r="L185" s="35"/>
      <c r="M185" s="35">
        <v>0</v>
      </c>
      <c r="N185" s="35"/>
      <c r="O185" s="35">
        <v>0</v>
      </c>
      <c r="P185" s="35"/>
      <c r="Q185" s="35">
        <v>0</v>
      </c>
      <c r="R185" s="35"/>
      <c r="S185" s="35">
        <v>0</v>
      </c>
      <c r="T185" s="35"/>
      <c r="U185" s="35">
        <v>0</v>
      </c>
      <c r="V185" s="35"/>
      <c r="W185" s="35">
        <f t="shared" si="39"/>
        <v>0</v>
      </c>
      <c r="X185" s="35"/>
      <c r="Y185" s="35" t="s">
        <v>76</v>
      </c>
      <c r="Z185" s="55"/>
      <c r="AA185" s="35" t="s">
        <v>132</v>
      </c>
      <c r="AB185" s="35"/>
      <c r="AC185" s="35">
        <v>0</v>
      </c>
      <c r="AD185" s="35"/>
      <c r="AE185" s="35">
        <v>0</v>
      </c>
      <c r="AF185" s="35"/>
      <c r="AG185" s="35">
        <v>0</v>
      </c>
      <c r="AH185" s="35"/>
      <c r="AI185" s="45">
        <f t="shared" si="32"/>
        <v>0</v>
      </c>
      <c r="AJ185" s="45"/>
      <c r="AK185" s="35">
        <v>0</v>
      </c>
      <c r="AL185" s="35"/>
      <c r="AM185" s="35">
        <v>0</v>
      </c>
      <c r="AN185" s="35"/>
      <c r="AO185" s="35">
        <v>0</v>
      </c>
      <c r="AP185" s="35"/>
      <c r="AQ185" s="35">
        <v>0</v>
      </c>
      <c r="AR185" s="35"/>
      <c r="AS185" s="45">
        <f t="shared" si="36"/>
        <v>0</v>
      </c>
      <c r="AT185" s="45"/>
      <c r="AU185" s="35">
        <v>0</v>
      </c>
      <c r="AV185" s="35"/>
      <c r="AW185" s="35">
        <v>0</v>
      </c>
      <c r="AX185" s="35"/>
      <c r="AY185" s="35">
        <f t="shared" si="37"/>
        <v>0</v>
      </c>
      <c r="AZ185" s="35"/>
      <c r="BA185" s="35" t="s">
        <v>76</v>
      </c>
      <c r="BB185" s="55"/>
      <c r="BC185" s="35" t="s">
        <v>132</v>
      </c>
      <c r="BD185" s="35"/>
      <c r="BE185" s="35">
        <v>0</v>
      </c>
      <c r="BF185" s="35"/>
      <c r="BG185" s="35">
        <v>0</v>
      </c>
      <c r="BH185" s="35"/>
      <c r="BI185" s="35">
        <v>0</v>
      </c>
      <c r="BJ185" s="35"/>
      <c r="BK185" s="35">
        <v>0</v>
      </c>
      <c r="BL185" s="35"/>
      <c r="BM185" s="35">
        <f t="shared" si="38"/>
        <v>0</v>
      </c>
      <c r="BN185" s="54" t="s">
        <v>347</v>
      </c>
    </row>
    <row r="186" spans="1:68" ht="12.75" hidden="1" customHeight="1">
      <c r="A186" s="35" t="s">
        <v>224</v>
      </c>
      <c r="C186" s="35" t="s">
        <v>27</v>
      </c>
      <c r="D186" s="35"/>
      <c r="E186" s="35">
        <f t="shared" si="34"/>
        <v>0</v>
      </c>
      <c r="F186" s="35"/>
      <c r="G186" s="35">
        <v>0</v>
      </c>
      <c r="H186" s="35"/>
      <c r="I186" s="35">
        <v>0</v>
      </c>
      <c r="J186" s="35"/>
      <c r="K186" s="35">
        <f t="shared" si="35"/>
        <v>0</v>
      </c>
      <c r="L186" s="35"/>
      <c r="M186" s="35">
        <v>0</v>
      </c>
      <c r="N186" s="35"/>
      <c r="O186" s="35">
        <v>0</v>
      </c>
      <c r="P186" s="35"/>
      <c r="Q186" s="35">
        <v>0</v>
      </c>
      <c r="R186" s="35"/>
      <c r="S186" s="35">
        <v>0</v>
      </c>
      <c r="T186" s="35"/>
      <c r="U186" s="35">
        <v>0</v>
      </c>
      <c r="V186" s="35"/>
      <c r="W186" s="35">
        <f t="shared" si="39"/>
        <v>0</v>
      </c>
      <c r="X186" s="35"/>
      <c r="Y186" s="35" t="s">
        <v>224</v>
      </c>
      <c r="Z186" s="55"/>
      <c r="AA186" s="35" t="s">
        <v>27</v>
      </c>
      <c r="AB186" s="35"/>
      <c r="AC186" s="35">
        <v>0</v>
      </c>
      <c r="AD186" s="35"/>
      <c r="AE186" s="35">
        <v>0</v>
      </c>
      <c r="AF186" s="35"/>
      <c r="AG186" s="35">
        <v>0</v>
      </c>
      <c r="AH186" s="35"/>
      <c r="AI186" s="45">
        <f t="shared" si="32"/>
        <v>0</v>
      </c>
      <c r="AJ186" s="45"/>
      <c r="AK186" s="35">
        <v>0</v>
      </c>
      <c r="AL186" s="35"/>
      <c r="AM186" s="35">
        <v>0</v>
      </c>
      <c r="AN186" s="35"/>
      <c r="AO186" s="35">
        <v>0</v>
      </c>
      <c r="AP186" s="35"/>
      <c r="AQ186" s="35">
        <v>0</v>
      </c>
      <c r="AR186" s="35"/>
      <c r="AS186" s="45">
        <f t="shared" si="36"/>
        <v>0</v>
      </c>
      <c r="AT186" s="45"/>
      <c r="AU186" s="35">
        <v>0</v>
      </c>
      <c r="AV186" s="35"/>
      <c r="AW186" s="35">
        <v>0</v>
      </c>
      <c r="AX186" s="35"/>
      <c r="AY186" s="35">
        <f t="shared" si="37"/>
        <v>0</v>
      </c>
      <c r="AZ186" s="35"/>
      <c r="BA186" s="35" t="s">
        <v>224</v>
      </c>
      <c r="BB186" s="55"/>
      <c r="BC186" s="35" t="s">
        <v>27</v>
      </c>
      <c r="BD186" s="35"/>
      <c r="BE186" s="35">
        <v>0</v>
      </c>
      <c r="BF186" s="35"/>
      <c r="BG186" s="35">
        <v>0</v>
      </c>
      <c r="BH186" s="35"/>
      <c r="BI186" s="35">
        <v>0</v>
      </c>
      <c r="BJ186" s="35"/>
      <c r="BK186" s="35">
        <v>0</v>
      </c>
      <c r="BL186" s="35"/>
      <c r="BM186" s="35">
        <f t="shared" si="38"/>
        <v>0</v>
      </c>
      <c r="BN186" s="54" t="s">
        <v>347</v>
      </c>
      <c r="BO186" s="35"/>
      <c r="BP186" s="35"/>
    </row>
    <row r="187" spans="1:68" ht="12.75" hidden="1" customHeight="1">
      <c r="A187" s="35" t="s">
        <v>225</v>
      </c>
      <c r="C187" s="35" t="s">
        <v>27</v>
      </c>
      <c r="D187" s="35"/>
      <c r="E187" s="35">
        <f t="shared" si="34"/>
        <v>0</v>
      </c>
      <c r="F187" s="35"/>
      <c r="G187" s="35">
        <v>0</v>
      </c>
      <c r="H187" s="35"/>
      <c r="I187" s="35">
        <v>0</v>
      </c>
      <c r="J187" s="35"/>
      <c r="K187" s="35">
        <f t="shared" si="35"/>
        <v>0</v>
      </c>
      <c r="L187" s="35"/>
      <c r="M187" s="35">
        <v>0</v>
      </c>
      <c r="N187" s="35"/>
      <c r="O187" s="35">
        <v>0</v>
      </c>
      <c r="P187" s="35"/>
      <c r="Q187" s="35">
        <v>0</v>
      </c>
      <c r="R187" s="35"/>
      <c r="S187" s="35">
        <v>0</v>
      </c>
      <c r="T187" s="35"/>
      <c r="U187" s="35">
        <v>0</v>
      </c>
      <c r="V187" s="35"/>
      <c r="W187" s="35">
        <f t="shared" si="39"/>
        <v>0</v>
      </c>
      <c r="X187" s="35"/>
      <c r="Y187" s="35" t="s">
        <v>225</v>
      </c>
      <c r="Z187" s="55"/>
      <c r="AA187" s="35" t="s">
        <v>27</v>
      </c>
      <c r="AB187" s="35"/>
      <c r="AC187" s="35">
        <v>0</v>
      </c>
      <c r="AD187" s="35"/>
      <c r="AE187" s="35">
        <v>0</v>
      </c>
      <c r="AF187" s="35"/>
      <c r="AG187" s="35">
        <v>0</v>
      </c>
      <c r="AH187" s="35"/>
      <c r="AI187" s="45">
        <f t="shared" si="32"/>
        <v>0</v>
      </c>
      <c r="AJ187" s="45"/>
      <c r="AK187" s="35">
        <v>0</v>
      </c>
      <c r="AL187" s="35"/>
      <c r="AM187" s="35">
        <v>0</v>
      </c>
      <c r="AN187" s="35"/>
      <c r="AO187" s="35">
        <v>0</v>
      </c>
      <c r="AP187" s="35"/>
      <c r="AQ187" s="35">
        <v>0</v>
      </c>
      <c r="AR187" s="35"/>
      <c r="AS187" s="45">
        <f t="shared" si="36"/>
        <v>0</v>
      </c>
      <c r="AT187" s="45"/>
      <c r="AU187" s="35">
        <v>0</v>
      </c>
      <c r="AV187" s="35"/>
      <c r="AW187" s="35">
        <v>0</v>
      </c>
      <c r="AX187" s="35"/>
      <c r="AY187" s="35">
        <f t="shared" si="37"/>
        <v>0</v>
      </c>
      <c r="AZ187" s="35"/>
      <c r="BA187" s="35" t="s">
        <v>225</v>
      </c>
      <c r="BB187" s="55"/>
      <c r="BC187" s="35" t="s">
        <v>27</v>
      </c>
      <c r="BD187" s="35"/>
      <c r="BE187" s="35">
        <v>0</v>
      </c>
      <c r="BF187" s="35"/>
      <c r="BG187" s="35">
        <v>0</v>
      </c>
      <c r="BH187" s="35"/>
      <c r="BI187" s="35">
        <v>0</v>
      </c>
      <c r="BJ187" s="35"/>
      <c r="BK187" s="35">
        <v>0</v>
      </c>
      <c r="BL187" s="35"/>
      <c r="BM187" s="35">
        <f t="shared" si="38"/>
        <v>0</v>
      </c>
      <c r="BN187" s="54" t="s">
        <v>347</v>
      </c>
    </row>
    <row r="188" spans="1:68" ht="12.75" hidden="1" customHeight="1">
      <c r="A188" s="35" t="s">
        <v>226</v>
      </c>
      <c r="C188" s="35" t="s">
        <v>45</v>
      </c>
      <c r="D188" s="35"/>
      <c r="E188" s="35">
        <f t="shared" si="34"/>
        <v>0</v>
      </c>
      <c r="F188" s="35"/>
      <c r="G188" s="35">
        <v>0</v>
      </c>
      <c r="H188" s="35"/>
      <c r="I188" s="35">
        <v>0</v>
      </c>
      <c r="J188" s="35"/>
      <c r="K188" s="35">
        <f t="shared" si="35"/>
        <v>0</v>
      </c>
      <c r="L188" s="35"/>
      <c r="M188" s="35">
        <v>0</v>
      </c>
      <c r="N188" s="35"/>
      <c r="O188" s="35">
        <v>0</v>
      </c>
      <c r="P188" s="35"/>
      <c r="Q188" s="35">
        <v>0</v>
      </c>
      <c r="R188" s="35"/>
      <c r="S188" s="35">
        <v>0</v>
      </c>
      <c r="T188" s="35"/>
      <c r="U188" s="35">
        <v>0</v>
      </c>
      <c r="V188" s="35"/>
      <c r="W188" s="35">
        <f t="shared" si="39"/>
        <v>0</v>
      </c>
      <c r="X188" s="35"/>
      <c r="Y188" s="35" t="s">
        <v>226</v>
      </c>
      <c r="Z188" s="55"/>
      <c r="AA188" s="35" t="s">
        <v>45</v>
      </c>
      <c r="AB188" s="35"/>
      <c r="AC188" s="35">
        <v>0</v>
      </c>
      <c r="AD188" s="35"/>
      <c r="AE188" s="35">
        <v>0</v>
      </c>
      <c r="AF188" s="35"/>
      <c r="AG188" s="35">
        <v>0</v>
      </c>
      <c r="AH188" s="35"/>
      <c r="AI188" s="45">
        <f t="shared" si="32"/>
        <v>0</v>
      </c>
      <c r="AJ188" s="45"/>
      <c r="AK188" s="35">
        <v>0</v>
      </c>
      <c r="AL188" s="35"/>
      <c r="AM188" s="35">
        <v>0</v>
      </c>
      <c r="AN188" s="35"/>
      <c r="AO188" s="35">
        <v>0</v>
      </c>
      <c r="AP188" s="35"/>
      <c r="AQ188" s="35">
        <v>0</v>
      </c>
      <c r="AR188" s="35"/>
      <c r="AS188" s="45">
        <f t="shared" si="36"/>
        <v>0</v>
      </c>
      <c r="AT188" s="45"/>
      <c r="AU188" s="35">
        <v>0</v>
      </c>
      <c r="AV188" s="35"/>
      <c r="AW188" s="35">
        <v>0</v>
      </c>
      <c r="AX188" s="35"/>
      <c r="AY188" s="35">
        <f t="shared" si="37"/>
        <v>0</v>
      </c>
      <c r="AZ188" s="35"/>
      <c r="BA188" s="35" t="s">
        <v>226</v>
      </c>
      <c r="BB188" s="55"/>
      <c r="BC188" s="35" t="s">
        <v>45</v>
      </c>
      <c r="BD188" s="35"/>
      <c r="BE188" s="35">
        <v>0</v>
      </c>
      <c r="BF188" s="35"/>
      <c r="BG188" s="35">
        <v>0</v>
      </c>
      <c r="BH188" s="35"/>
      <c r="BI188" s="35">
        <v>0</v>
      </c>
      <c r="BJ188" s="35"/>
      <c r="BK188" s="35">
        <v>0</v>
      </c>
      <c r="BL188" s="35"/>
      <c r="BM188" s="35">
        <f t="shared" si="38"/>
        <v>0</v>
      </c>
      <c r="BN188" s="54" t="s">
        <v>347</v>
      </c>
    </row>
    <row r="189" spans="1:68" ht="12.75" hidden="1" customHeight="1">
      <c r="A189" s="35" t="s">
        <v>227</v>
      </c>
      <c r="C189" s="35" t="s">
        <v>17</v>
      </c>
      <c r="D189" s="35"/>
      <c r="E189" s="35">
        <f t="shared" si="34"/>
        <v>0</v>
      </c>
      <c r="F189" s="35"/>
      <c r="G189" s="35">
        <v>0</v>
      </c>
      <c r="H189" s="35"/>
      <c r="I189" s="35">
        <v>0</v>
      </c>
      <c r="J189" s="35"/>
      <c r="K189" s="35">
        <f t="shared" si="35"/>
        <v>0</v>
      </c>
      <c r="L189" s="35"/>
      <c r="M189" s="35">
        <v>0</v>
      </c>
      <c r="N189" s="35"/>
      <c r="O189" s="35">
        <v>0</v>
      </c>
      <c r="P189" s="35"/>
      <c r="Q189" s="35">
        <v>0</v>
      </c>
      <c r="R189" s="35"/>
      <c r="S189" s="35">
        <v>0</v>
      </c>
      <c r="T189" s="35"/>
      <c r="U189" s="35">
        <v>0</v>
      </c>
      <c r="V189" s="35"/>
      <c r="W189" s="35">
        <f t="shared" si="39"/>
        <v>0</v>
      </c>
      <c r="X189" s="35"/>
      <c r="Y189" s="35" t="s">
        <v>227</v>
      </c>
      <c r="Z189" s="55"/>
      <c r="AA189" s="35" t="s">
        <v>17</v>
      </c>
      <c r="AB189" s="35"/>
      <c r="AC189" s="35">
        <v>0</v>
      </c>
      <c r="AD189" s="35"/>
      <c r="AE189" s="35">
        <v>0</v>
      </c>
      <c r="AF189" s="35"/>
      <c r="AG189" s="35">
        <v>0</v>
      </c>
      <c r="AH189" s="35"/>
      <c r="AI189" s="45">
        <f t="shared" si="32"/>
        <v>0</v>
      </c>
      <c r="AJ189" s="45"/>
      <c r="AK189" s="35">
        <v>0</v>
      </c>
      <c r="AL189" s="35"/>
      <c r="AM189" s="35">
        <v>0</v>
      </c>
      <c r="AN189" s="35"/>
      <c r="AO189" s="35">
        <v>0</v>
      </c>
      <c r="AP189" s="35"/>
      <c r="AQ189" s="35">
        <v>0</v>
      </c>
      <c r="AR189" s="35"/>
      <c r="AS189" s="45">
        <f t="shared" si="36"/>
        <v>0</v>
      </c>
      <c r="AT189" s="45"/>
      <c r="AU189" s="35">
        <v>0</v>
      </c>
      <c r="AV189" s="35"/>
      <c r="AW189" s="35">
        <v>0</v>
      </c>
      <c r="AX189" s="35"/>
      <c r="AY189" s="35">
        <f t="shared" si="37"/>
        <v>0</v>
      </c>
      <c r="AZ189" s="35"/>
      <c r="BA189" s="35" t="s">
        <v>227</v>
      </c>
      <c r="BB189" s="55"/>
      <c r="BC189" s="35" t="s">
        <v>17</v>
      </c>
      <c r="BD189" s="35"/>
      <c r="BE189" s="35">
        <v>0</v>
      </c>
      <c r="BF189" s="35"/>
      <c r="BG189" s="35">
        <v>0</v>
      </c>
      <c r="BH189" s="35"/>
      <c r="BI189" s="35">
        <v>0</v>
      </c>
      <c r="BJ189" s="35"/>
      <c r="BK189" s="35">
        <v>0</v>
      </c>
      <c r="BL189" s="35"/>
      <c r="BM189" s="35">
        <v>0</v>
      </c>
      <c r="BN189" s="54" t="s">
        <v>347</v>
      </c>
    </row>
    <row r="190" spans="1:68" ht="12.75" customHeight="1">
      <c r="A190" s="35" t="s">
        <v>228</v>
      </c>
      <c r="C190" s="35" t="s">
        <v>153</v>
      </c>
      <c r="D190" s="35"/>
      <c r="E190" s="35">
        <f t="shared" si="34"/>
        <v>6168105</v>
      </c>
      <c r="F190" s="35"/>
      <c r="G190" s="35">
        <v>11632048</v>
      </c>
      <c r="H190" s="35"/>
      <c r="I190" s="35">
        <v>17800153</v>
      </c>
      <c r="J190" s="35"/>
      <c r="K190" s="35">
        <f t="shared" si="35"/>
        <v>4581780</v>
      </c>
      <c r="L190" s="35"/>
      <c r="M190" s="35">
        <v>143208</v>
      </c>
      <c r="N190" s="35"/>
      <c r="O190" s="35">
        <v>4724988</v>
      </c>
      <c r="P190" s="35"/>
      <c r="Q190" s="35">
        <v>7929888</v>
      </c>
      <c r="R190" s="35"/>
      <c r="S190" s="35">
        <v>0</v>
      </c>
      <c r="T190" s="35"/>
      <c r="U190" s="35">
        <v>5145277</v>
      </c>
      <c r="V190" s="35"/>
      <c r="W190" s="35">
        <f t="shared" si="39"/>
        <v>13075165</v>
      </c>
      <c r="X190" s="35"/>
      <c r="Y190" s="35" t="s">
        <v>228</v>
      </c>
      <c r="Z190" s="55"/>
      <c r="AA190" s="35" t="s">
        <v>153</v>
      </c>
      <c r="AB190" s="35"/>
      <c r="AC190" s="35">
        <v>11997642</v>
      </c>
      <c r="AD190" s="35"/>
      <c r="AE190" s="35">
        <f>12479163-650043</f>
        <v>11829120</v>
      </c>
      <c r="AF190" s="35"/>
      <c r="AG190" s="35">
        <v>650043</v>
      </c>
      <c r="AH190" s="35"/>
      <c r="AI190" s="45">
        <f t="shared" si="32"/>
        <v>-481521</v>
      </c>
      <c r="AJ190" s="45"/>
      <c r="AK190" s="35">
        <v>-88498</v>
      </c>
      <c r="AL190" s="35"/>
      <c r="AM190" s="35">
        <v>0</v>
      </c>
      <c r="AN190" s="35"/>
      <c r="AO190" s="35">
        <v>0</v>
      </c>
      <c r="AP190" s="35"/>
      <c r="AQ190" s="35">
        <v>39545</v>
      </c>
      <c r="AR190" s="35"/>
      <c r="AS190" s="45">
        <f t="shared" si="36"/>
        <v>-530474</v>
      </c>
      <c r="AT190" s="45"/>
      <c r="AU190" s="35">
        <v>0</v>
      </c>
      <c r="AV190" s="35"/>
      <c r="AW190" s="35">
        <v>0</v>
      </c>
      <c r="AX190" s="35"/>
      <c r="AY190" s="35">
        <f t="shared" si="37"/>
        <v>1586325</v>
      </c>
      <c r="AZ190" s="35"/>
      <c r="BA190" s="35" t="s">
        <v>228</v>
      </c>
      <c r="BB190" s="55"/>
      <c r="BC190" s="35" t="s">
        <v>153</v>
      </c>
      <c r="BD190" s="35"/>
      <c r="BE190" s="35">
        <v>0</v>
      </c>
      <c r="BF190" s="35"/>
      <c r="BG190" s="35">
        <v>0</v>
      </c>
      <c r="BH190" s="35"/>
      <c r="BI190" s="35">
        <v>0</v>
      </c>
      <c r="BJ190" s="35"/>
      <c r="BK190" s="35">
        <f>143208+46264</f>
        <v>189472</v>
      </c>
      <c r="BL190" s="35"/>
      <c r="BM190" s="35">
        <f t="shared" ref="BM190:BM208" si="40">SUM(BE190:BK190)</f>
        <v>189472</v>
      </c>
      <c r="BN190" s="54" t="s">
        <v>347</v>
      </c>
    </row>
    <row r="191" spans="1:68" ht="12.75" hidden="1" customHeight="1">
      <c r="A191" s="35" t="s">
        <v>229</v>
      </c>
      <c r="C191" s="35" t="s">
        <v>228</v>
      </c>
      <c r="D191" s="35"/>
      <c r="E191" s="35">
        <f t="shared" si="34"/>
        <v>0</v>
      </c>
      <c r="F191" s="35"/>
      <c r="G191" s="35">
        <v>0</v>
      </c>
      <c r="H191" s="35"/>
      <c r="I191" s="35">
        <v>0</v>
      </c>
      <c r="J191" s="35"/>
      <c r="K191" s="35">
        <f t="shared" si="35"/>
        <v>0</v>
      </c>
      <c r="L191" s="35"/>
      <c r="M191" s="35">
        <v>0</v>
      </c>
      <c r="N191" s="35"/>
      <c r="O191" s="35">
        <v>0</v>
      </c>
      <c r="P191" s="35"/>
      <c r="Q191" s="35">
        <v>0</v>
      </c>
      <c r="R191" s="35"/>
      <c r="S191" s="35">
        <v>0</v>
      </c>
      <c r="T191" s="35"/>
      <c r="U191" s="35">
        <v>0</v>
      </c>
      <c r="V191" s="35"/>
      <c r="W191" s="35">
        <f t="shared" si="39"/>
        <v>0</v>
      </c>
      <c r="X191" s="35"/>
      <c r="Y191" s="35" t="s">
        <v>229</v>
      </c>
      <c r="Z191" s="55"/>
      <c r="AA191" s="35" t="s">
        <v>228</v>
      </c>
      <c r="AB191" s="35"/>
      <c r="AC191" s="35">
        <v>0</v>
      </c>
      <c r="AD191" s="35"/>
      <c r="AE191" s="35">
        <v>0</v>
      </c>
      <c r="AF191" s="35"/>
      <c r="AG191" s="35">
        <v>0</v>
      </c>
      <c r="AH191" s="35"/>
      <c r="AI191" s="45">
        <f t="shared" si="32"/>
        <v>0</v>
      </c>
      <c r="AJ191" s="45"/>
      <c r="AK191" s="35">
        <v>0</v>
      </c>
      <c r="AL191" s="35"/>
      <c r="AM191" s="35">
        <v>0</v>
      </c>
      <c r="AN191" s="35"/>
      <c r="AO191" s="35">
        <v>0</v>
      </c>
      <c r="AP191" s="35"/>
      <c r="AQ191" s="35">
        <v>0</v>
      </c>
      <c r="AR191" s="35"/>
      <c r="AS191" s="45">
        <f t="shared" si="36"/>
        <v>0</v>
      </c>
      <c r="AT191" s="45"/>
      <c r="AU191" s="35">
        <v>0</v>
      </c>
      <c r="AV191" s="35"/>
      <c r="AW191" s="35">
        <v>0</v>
      </c>
      <c r="AX191" s="35"/>
      <c r="AY191" s="35">
        <f t="shared" si="37"/>
        <v>0</v>
      </c>
      <c r="AZ191" s="35"/>
      <c r="BA191" s="35" t="s">
        <v>229</v>
      </c>
      <c r="BB191" s="55"/>
      <c r="BC191" s="35" t="s">
        <v>228</v>
      </c>
      <c r="BD191" s="35"/>
      <c r="BE191" s="35">
        <v>0</v>
      </c>
      <c r="BF191" s="35"/>
      <c r="BG191" s="35">
        <v>0</v>
      </c>
      <c r="BH191" s="35"/>
      <c r="BI191" s="35">
        <v>0</v>
      </c>
      <c r="BJ191" s="35"/>
      <c r="BK191" s="35">
        <v>0</v>
      </c>
      <c r="BL191" s="35"/>
      <c r="BM191" s="35">
        <f t="shared" si="40"/>
        <v>0</v>
      </c>
      <c r="BN191" s="54" t="s">
        <v>347</v>
      </c>
    </row>
    <row r="192" spans="1:68" ht="12.75" hidden="1" customHeight="1">
      <c r="A192" s="35" t="s">
        <v>230</v>
      </c>
      <c r="C192" s="35" t="s">
        <v>45</v>
      </c>
      <c r="D192" s="35"/>
      <c r="E192" s="35">
        <f t="shared" si="34"/>
        <v>0</v>
      </c>
      <c r="F192" s="35"/>
      <c r="G192" s="35">
        <v>0</v>
      </c>
      <c r="H192" s="35"/>
      <c r="I192" s="35">
        <v>0</v>
      </c>
      <c r="J192" s="35"/>
      <c r="K192" s="35">
        <f t="shared" si="35"/>
        <v>0</v>
      </c>
      <c r="L192" s="35"/>
      <c r="M192" s="35">
        <v>0</v>
      </c>
      <c r="N192" s="35"/>
      <c r="O192" s="35">
        <v>0</v>
      </c>
      <c r="P192" s="35"/>
      <c r="Q192" s="35">
        <v>0</v>
      </c>
      <c r="R192" s="35"/>
      <c r="S192" s="35">
        <v>0</v>
      </c>
      <c r="T192" s="35"/>
      <c r="U192" s="35">
        <v>0</v>
      </c>
      <c r="V192" s="35"/>
      <c r="W192" s="35">
        <f t="shared" si="39"/>
        <v>0</v>
      </c>
      <c r="X192" s="35"/>
      <c r="Y192" s="35" t="s">
        <v>230</v>
      </c>
      <c r="Z192" s="55"/>
      <c r="AA192" s="35" t="s">
        <v>45</v>
      </c>
      <c r="AB192" s="35"/>
      <c r="AC192" s="35">
        <v>0</v>
      </c>
      <c r="AD192" s="35"/>
      <c r="AE192" s="35">
        <v>0</v>
      </c>
      <c r="AF192" s="35"/>
      <c r="AG192" s="35">
        <v>0</v>
      </c>
      <c r="AH192" s="35"/>
      <c r="AI192" s="45">
        <f t="shared" si="32"/>
        <v>0</v>
      </c>
      <c r="AJ192" s="45"/>
      <c r="AK192" s="35">
        <v>0</v>
      </c>
      <c r="AL192" s="35"/>
      <c r="AM192" s="35">
        <v>0</v>
      </c>
      <c r="AN192" s="35"/>
      <c r="AO192" s="35">
        <v>0</v>
      </c>
      <c r="AP192" s="35"/>
      <c r="AQ192" s="35">
        <v>0</v>
      </c>
      <c r="AR192" s="35"/>
      <c r="AS192" s="45">
        <f t="shared" si="36"/>
        <v>0</v>
      </c>
      <c r="AT192" s="45"/>
      <c r="AU192" s="35">
        <v>0</v>
      </c>
      <c r="AV192" s="35"/>
      <c r="AW192" s="35">
        <v>0</v>
      </c>
      <c r="AX192" s="35"/>
      <c r="AY192" s="35">
        <f t="shared" si="37"/>
        <v>0</v>
      </c>
      <c r="AZ192" s="35"/>
      <c r="BA192" s="35" t="s">
        <v>230</v>
      </c>
      <c r="BB192" s="55"/>
      <c r="BC192" s="35" t="s">
        <v>45</v>
      </c>
      <c r="BD192" s="35"/>
      <c r="BE192" s="35">
        <v>0</v>
      </c>
      <c r="BF192" s="35"/>
      <c r="BG192" s="35">
        <v>0</v>
      </c>
      <c r="BH192" s="35"/>
      <c r="BI192" s="35">
        <v>0</v>
      </c>
      <c r="BJ192" s="35"/>
      <c r="BK192" s="35">
        <v>0</v>
      </c>
      <c r="BL192" s="35"/>
      <c r="BM192" s="35">
        <f t="shared" si="40"/>
        <v>0</v>
      </c>
      <c r="BN192" s="54" t="s">
        <v>347</v>
      </c>
    </row>
    <row r="193" spans="1:74" ht="12.75" hidden="1" customHeight="1">
      <c r="A193" s="35" t="s">
        <v>231</v>
      </c>
      <c r="C193" s="35" t="s">
        <v>27</v>
      </c>
      <c r="D193" s="35"/>
      <c r="E193" s="35">
        <f t="shared" si="34"/>
        <v>0</v>
      </c>
      <c r="F193" s="35"/>
      <c r="G193" s="35">
        <v>0</v>
      </c>
      <c r="H193" s="35"/>
      <c r="I193" s="35">
        <v>0</v>
      </c>
      <c r="J193" s="35"/>
      <c r="K193" s="35">
        <f t="shared" si="35"/>
        <v>0</v>
      </c>
      <c r="L193" s="35"/>
      <c r="M193" s="35">
        <v>0</v>
      </c>
      <c r="N193" s="35"/>
      <c r="O193" s="35">
        <v>0</v>
      </c>
      <c r="P193" s="35"/>
      <c r="Q193" s="35">
        <v>0</v>
      </c>
      <c r="R193" s="35"/>
      <c r="S193" s="35">
        <v>0</v>
      </c>
      <c r="T193" s="35"/>
      <c r="U193" s="35">
        <v>0</v>
      </c>
      <c r="V193" s="35"/>
      <c r="W193" s="35">
        <f t="shared" si="39"/>
        <v>0</v>
      </c>
      <c r="X193" s="35"/>
      <c r="Y193" s="35" t="s">
        <v>231</v>
      </c>
      <c r="Z193" s="55"/>
      <c r="AA193" s="35" t="s">
        <v>27</v>
      </c>
      <c r="AB193" s="35"/>
      <c r="AC193" s="35">
        <v>0</v>
      </c>
      <c r="AD193" s="35"/>
      <c r="AE193" s="35">
        <v>0</v>
      </c>
      <c r="AF193" s="35"/>
      <c r="AG193" s="35">
        <v>0</v>
      </c>
      <c r="AH193" s="35"/>
      <c r="AI193" s="45">
        <v>0</v>
      </c>
      <c r="AJ193" s="45"/>
      <c r="AK193" s="35">
        <v>0</v>
      </c>
      <c r="AL193" s="35"/>
      <c r="AM193" s="35">
        <v>0</v>
      </c>
      <c r="AN193" s="35"/>
      <c r="AO193" s="35">
        <v>0</v>
      </c>
      <c r="AP193" s="35"/>
      <c r="AQ193" s="35">
        <v>0</v>
      </c>
      <c r="AR193" s="35"/>
      <c r="AS193" s="45">
        <f t="shared" si="36"/>
        <v>0</v>
      </c>
      <c r="AT193" s="45"/>
      <c r="AU193" s="35">
        <v>0</v>
      </c>
      <c r="AV193" s="35"/>
      <c r="AW193" s="35">
        <v>0</v>
      </c>
      <c r="AX193" s="35"/>
      <c r="AY193" s="35">
        <f t="shared" si="37"/>
        <v>0</v>
      </c>
      <c r="AZ193" s="35"/>
      <c r="BA193" s="35" t="s">
        <v>231</v>
      </c>
      <c r="BB193" s="55"/>
      <c r="BC193" s="35" t="s">
        <v>27</v>
      </c>
      <c r="BD193" s="35"/>
      <c r="BE193" s="35">
        <v>0</v>
      </c>
      <c r="BF193" s="35"/>
      <c r="BG193" s="35">
        <v>0</v>
      </c>
      <c r="BH193" s="35"/>
      <c r="BI193" s="35">
        <v>0</v>
      </c>
      <c r="BJ193" s="35"/>
      <c r="BK193" s="35">
        <v>0</v>
      </c>
      <c r="BL193" s="35"/>
      <c r="BM193" s="35">
        <f t="shared" si="40"/>
        <v>0</v>
      </c>
      <c r="BN193" s="54" t="s">
        <v>347</v>
      </c>
    </row>
    <row r="194" spans="1:74" ht="12.75" hidden="1" customHeight="1">
      <c r="A194" s="35" t="s">
        <v>232</v>
      </c>
      <c r="C194" s="35" t="s">
        <v>27</v>
      </c>
      <c r="D194" s="35"/>
      <c r="E194" s="35">
        <f t="shared" si="34"/>
        <v>0</v>
      </c>
      <c r="F194" s="35"/>
      <c r="G194" s="35">
        <v>0</v>
      </c>
      <c r="H194" s="35"/>
      <c r="I194" s="35">
        <v>0</v>
      </c>
      <c r="J194" s="35"/>
      <c r="K194" s="35">
        <f t="shared" si="35"/>
        <v>0</v>
      </c>
      <c r="L194" s="35"/>
      <c r="M194" s="35">
        <v>0</v>
      </c>
      <c r="N194" s="35"/>
      <c r="O194" s="35">
        <v>0</v>
      </c>
      <c r="P194" s="35"/>
      <c r="Q194" s="35">
        <v>0</v>
      </c>
      <c r="R194" s="35"/>
      <c r="S194" s="35">
        <v>0</v>
      </c>
      <c r="T194" s="35"/>
      <c r="U194" s="35">
        <v>0</v>
      </c>
      <c r="V194" s="35"/>
      <c r="W194" s="35">
        <f t="shared" si="39"/>
        <v>0</v>
      </c>
      <c r="X194" s="35"/>
      <c r="Y194" s="35" t="s">
        <v>232</v>
      </c>
      <c r="Z194" s="55"/>
      <c r="AA194" s="35" t="s">
        <v>27</v>
      </c>
      <c r="AB194" s="35"/>
      <c r="AC194" s="35">
        <v>0</v>
      </c>
      <c r="AD194" s="35"/>
      <c r="AE194" s="35">
        <v>0</v>
      </c>
      <c r="AF194" s="35"/>
      <c r="AG194" s="35">
        <v>0</v>
      </c>
      <c r="AH194" s="35"/>
      <c r="AI194" s="45">
        <f t="shared" ref="AI194:AI203" si="41">+AC194-AE194-AG194</f>
        <v>0</v>
      </c>
      <c r="AJ194" s="45"/>
      <c r="AK194" s="35">
        <v>0</v>
      </c>
      <c r="AL194" s="35"/>
      <c r="AM194" s="35">
        <v>0</v>
      </c>
      <c r="AN194" s="35"/>
      <c r="AO194" s="35">
        <v>0</v>
      </c>
      <c r="AP194" s="35"/>
      <c r="AQ194" s="35">
        <v>0</v>
      </c>
      <c r="AR194" s="35"/>
      <c r="AS194" s="45">
        <f t="shared" si="36"/>
        <v>0</v>
      </c>
      <c r="AT194" s="45"/>
      <c r="AU194" s="35">
        <v>0</v>
      </c>
      <c r="AV194" s="35"/>
      <c r="AW194" s="35">
        <v>0</v>
      </c>
      <c r="AX194" s="35"/>
      <c r="AY194" s="35">
        <f t="shared" si="37"/>
        <v>0</v>
      </c>
      <c r="AZ194" s="35"/>
      <c r="BA194" s="35" t="s">
        <v>232</v>
      </c>
      <c r="BB194" s="55"/>
      <c r="BC194" s="35" t="s">
        <v>27</v>
      </c>
      <c r="BD194" s="35"/>
      <c r="BE194" s="35">
        <v>0</v>
      </c>
      <c r="BF194" s="35"/>
      <c r="BG194" s="35">
        <v>0</v>
      </c>
      <c r="BH194" s="35"/>
      <c r="BI194" s="35">
        <v>0</v>
      </c>
      <c r="BJ194" s="35"/>
      <c r="BK194" s="35">
        <v>0</v>
      </c>
      <c r="BL194" s="35"/>
      <c r="BM194" s="35">
        <f t="shared" si="40"/>
        <v>0</v>
      </c>
      <c r="BN194" s="54" t="s">
        <v>347</v>
      </c>
      <c r="BO194" s="35"/>
      <c r="BP194" s="35"/>
      <c r="BQ194" s="35"/>
      <c r="BR194" s="35"/>
      <c r="BS194" s="35"/>
      <c r="BT194" s="35"/>
      <c r="BU194" s="35"/>
      <c r="BV194" s="35"/>
    </row>
    <row r="195" spans="1:74" ht="12.75" hidden="1" customHeight="1">
      <c r="A195" s="35" t="s">
        <v>233</v>
      </c>
      <c r="C195" s="35" t="s">
        <v>111</v>
      </c>
      <c r="D195" s="35"/>
      <c r="E195" s="35">
        <f t="shared" si="34"/>
        <v>0</v>
      </c>
      <c r="F195" s="35"/>
      <c r="G195" s="35">
        <v>0</v>
      </c>
      <c r="H195" s="35"/>
      <c r="I195" s="35">
        <v>0</v>
      </c>
      <c r="J195" s="35"/>
      <c r="K195" s="35">
        <f t="shared" si="35"/>
        <v>0</v>
      </c>
      <c r="L195" s="35"/>
      <c r="M195" s="35">
        <v>0</v>
      </c>
      <c r="N195" s="35"/>
      <c r="O195" s="35">
        <v>0</v>
      </c>
      <c r="P195" s="35"/>
      <c r="Q195" s="35">
        <v>0</v>
      </c>
      <c r="R195" s="35"/>
      <c r="S195" s="35">
        <v>0</v>
      </c>
      <c r="T195" s="35"/>
      <c r="U195" s="35">
        <v>0</v>
      </c>
      <c r="V195" s="35"/>
      <c r="W195" s="35">
        <f t="shared" si="39"/>
        <v>0</v>
      </c>
      <c r="X195" s="35"/>
      <c r="Y195" s="35" t="s">
        <v>233</v>
      </c>
      <c r="Z195" s="55"/>
      <c r="AA195" s="35" t="s">
        <v>111</v>
      </c>
      <c r="AB195" s="35"/>
      <c r="AC195" s="35">
        <v>0</v>
      </c>
      <c r="AD195" s="35"/>
      <c r="AE195" s="35">
        <v>0</v>
      </c>
      <c r="AF195" s="35"/>
      <c r="AG195" s="35">
        <v>0</v>
      </c>
      <c r="AH195" s="35"/>
      <c r="AI195" s="45">
        <f t="shared" si="41"/>
        <v>0</v>
      </c>
      <c r="AJ195" s="45"/>
      <c r="AK195" s="35">
        <v>0</v>
      </c>
      <c r="AL195" s="35"/>
      <c r="AM195" s="35">
        <v>0</v>
      </c>
      <c r="AN195" s="35"/>
      <c r="AO195" s="35">
        <v>0</v>
      </c>
      <c r="AP195" s="35"/>
      <c r="AQ195" s="35">
        <v>0</v>
      </c>
      <c r="AR195" s="35"/>
      <c r="AS195" s="45">
        <f t="shared" si="36"/>
        <v>0</v>
      </c>
      <c r="AT195" s="45"/>
      <c r="AU195" s="35">
        <v>0</v>
      </c>
      <c r="AV195" s="35"/>
      <c r="AW195" s="35">
        <v>0</v>
      </c>
      <c r="AX195" s="35"/>
      <c r="AY195" s="35">
        <f t="shared" si="37"/>
        <v>0</v>
      </c>
      <c r="AZ195" s="35"/>
      <c r="BA195" s="35" t="s">
        <v>233</v>
      </c>
      <c r="BB195" s="55"/>
      <c r="BC195" s="35" t="s">
        <v>111</v>
      </c>
      <c r="BD195" s="35"/>
      <c r="BE195" s="35">
        <v>0</v>
      </c>
      <c r="BF195" s="35"/>
      <c r="BG195" s="35">
        <v>0</v>
      </c>
      <c r="BH195" s="35"/>
      <c r="BI195" s="35">
        <v>0</v>
      </c>
      <c r="BJ195" s="35"/>
      <c r="BK195" s="35">
        <v>0</v>
      </c>
      <c r="BL195" s="35"/>
      <c r="BM195" s="35">
        <f t="shared" si="40"/>
        <v>0</v>
      </c>
      <c r="BN195" s="54" t="s">
        <v>347</v>
      </c>
      <c r="BO195" s="35"/>
      <c r="BP195" s="35"/>
      <c r="BQ195" s="35"/>
      <c r="BR195" s="35"/>
      <c r="BS195" s="35"/>
      <c r="BT195" s="35"/>
      <c r="BU195" s="35"/>
      <c r="BV195" s="35"/>
    </row>
    <row r="196" spans="1:74" ht="12.75" hidden="1" customHeight="1">
      <c r="A196" s="35" t="s">
        <v>234</v>
      </c>
      <c r="C196" s="35" t="s">
        <v>45</v>
      </c>
      <c r="D196" s="35"/>
      <c r="E196" s="35">
        <f t="shared" si="34"/>
        <v>0</v>
      </c>
      <c r="F196" s="35"/>
      <c r="G196" s="35">
        <v>0</v>
      </c>
      <c r="H196" s="35"/>
      <c r="I196" s="35">
        <v>0</v>
      </c>
      <c r="J196" s="35"/>
      <c r="K196" s="35">
        <f t="shared" si="35"/>
        <v>0</v>
      </c>
      <c r="L196" s="35"/>
      <c r="M196" s="35">
        <v>0</v>
      </c>
      <c r="N196" s="35"/>
      <c r="O196" s="35">
        <v>0</v>
      </c>
      <c r="P196" s="35"/>
      <c r="Q196" s="35">
        <v>0</v>
      </c>
      <c r="R196" s="35"/>
      <c r="S196" s="35">
        <v>0</v>
      </c>
      <c r="T196" s="35"/>
      <c r="U196" s="35">
        <v>0</v>
      </c>
      <c r="V196" s="35"/>
      <c r="W196" s="35">
        <f t="shared" si="39"/>
        <v>0</v>
      </c>
      <c r="X196" s="35"/>
      <c r="Y196" s="35" t="s">
        <v>234</v>
      </c>
      <c r="Z196" s="55"/>
      <c r="AA196" s="35" t="s">
        <v>45</v>
      </c>
      <c r="AB196" s="35"/>
      <c r="AC196" s="35">
        <v>0</v>
      </c>
      <c r="AD196" s="35"/>
      <c r="AE196" s="35">
        <v>0</v>
      </c>
      <c r="AF196" s="35"/>
      <c r="AG196" s="35">
        <v>0</v>
      </c>
      <c r="AH196" s="35"/>
      <c r="AI196" s="45">
        <f t="shared" si="41"/>
        <v>0</v>
      </c>
      <c r="AJ196" s="45"/>
      <c r="AK196" s="35">
        <v>0</v>
      </c>
      <c r="AL196" s="35"/>
      <c r="AM196" s="35">
        <v>0</v>
      </c>
      <c r="AN196" s="35"/>
      <c r="AO196" s="35">
        <v>0</v>
      </c>
      <c r="AP196" s="35"/>
      <c r="AQ196" s="35">
        <v>0</v>
      </c>
      <c r="AR196" s="35"/>
      <c r="AS196" s="45">
        <f t="shared" si="36"/>
        <v>0</v>
      </c>
      <c r="AT196" s="45"/>
      <c r="AU196" s="35">
        <v>0</v>
      </c>
      <c r="AV196" s="35"/>
      <c r="AW196" s="35">
        <v>0</v>
      </c>
      <c r="AX196" s="35"/>
      <c r="AY196" s="35">
        <f t="shared" si="37"/>
        <v>0</v>
      </c>
      <c r="AZ196" s="35"/>
      <c r="BA196" s="35" t="s">
        <v>234</v>
      </c>
      <c r="BB196" s="55"/>
      <c r="BC196" s="35" t="s">
        <v>45</v>
      </c>
      <c r="BD196" s="35"/>
      <c r="BE196" s="35">
        <v>0</v>
      </c>
      <c r="BF196" s="35"/>
      <c r="BG196" s="35">
        <v>0</v>
      </c>
      <c r="BH196" s="35"/>
      <c r="BI196" s="35">
        <v>0</v>
      </c>
      <c r="BJ196" s="35"/>
      <c r="BK196" s="35">
        <v>0</v>
      </c>
      <c r="BL196" s="35"/>
      <c r="BM196" s="35">
        <f t="shared" si="40"/>
        <v>0</v>
      </c>
      <c r="BN196" s="54" t="s">
        <v>347</v>
      </c>
      <c r="BO196" s="35" t="s">
        <v>371</v>
      </c>
      <c r="BP196" s="35"/>
      <c r="BQ196" s="35"/>
      <c r="BR196" s="35"/>
      <c r="BS196" s="35"/>
      <c r="BT196" s="35"/>
      <c r="BU196" s="35"/>
      <c r="BV196" s="35"/>
    </row>
    <row r="197" spans="1:74" ht="12.75" hidden="1" customHeight="1">
      <c r="A197" s="35" t="s">
        <v>235</v>
      </c>
      <c r="C197" s="35" t="s">
        <v>183</v>
      </c>
      <c r="D197" s="35"/>
      <c r="E197" s="35">
        <f t="shared" si="34"/>
        <v>0</v>
      </c>
      <c r="F197" s="35"/>
      <c r="G197" s="35">
        <v>0</v>
      </c>
      <c r="H197" s="35"/>
      <c r="I197" s="35">
        <v>0</v>
      </c>
      <c r="J197" s="35"/>
      <c r="K197" s="35">
        <f t="shared" si="35"/>
        <v>0</v>
      </c>
      <c r="L197" s="35"/>
      <c r="M197" s="35">
        <v>0</v>
      </c>
      <c r="N197" s="35"/>
      <c r="O197" s="35">
        <v>0</v>
      </c>
      <c r="P197" s="35"/>
      <c r="Q197" s="35">
        <v>0</v>
      </c>
      <c r="R197" s="35"/>
      <c r="S197" s="35">
        <v>0</v>
      </c>
      <c r="T197" s="35"/>
      <c r="U197" s="35">
        <v>0</v>
      </c>
      <c r="V197" s="35"/>
      <c r="W197" s="35">
        <f t="shared" si="39"/>
        <v>0</v>
      </c>
      <c r="X197" s="35"/>
      <c r="Y197" s="35" t="s">
        <v>235</v>
      </c>
      <c r="Z197" s="55"/>
      <c r="AA197" s="35" t="s">
        <v>183</v>
      </c>
      <c r="AB197" s="35"/>
      <c r="AC197" s="35">
        <v>0</v>
      </c>
      <c r="AD197" s="35"/>
      <c r="AE197" s="35">
        <v>0</v>
      </c>
      <c r="AF197" s="35"/>
      <c r="AG197" s="35">
        <v>0</v>
      </c>
      <c r="AH197" s="35"/>
      <c r="AI197" s="45">
        <f t="shared" si="41"/>
        <v>0</v>
      </c>
      <c r="AJ197" s="45"/>
      <c r="AK197" s="35">
        <v>0</v>
      </c>
      <c r="AL197" s="35"/>
      <c r="AM197" s="35">
        <v>0</v>
      </c>
      <c r="AN197" s="35"/>
      <c r="AO197" s="35">
        <v>0</v>
      </c>
      <c r="AP197" s="35"/>
      <c r="AQ197" s="35">
        <v>0</v>
      </c>
      <c r="AR197" s="35"/>
      <c r="AS197" s="45">
        <f t="shared" si="36"/>
        <v>0</v>
      </c>
      <c r="AT197" s="45"/>
      <c r="AU197" s="35">
        <v>0</v>
      </c>
      <c r="AV197" s="35"/>
      <c r="AW197" s="35">
        <v>0</v>
      </c>
      <c r="AX197" s="35"/>
      <c r="AY197" s="35">
        <f t="shared" si="37"/>
        <v>0</v>
      </c>
      <c r="AZ197" s="35"/>
      <c r="BA197" s="35" t="s">
        <v>235</v>
      </c>
      <c r="BB197" s="55"/>
      <c r="BC197" s="35" t="s">
        <v>183</v>
      </c>
      <c r="BD197" s="35"/>
      <c r="BE197" s="35">
        <v>0</v>
      </c>
      <c r="BF197" s="35"/>
      <c r="BG197" s="35">
        <v>0</v>
      </c>
      <c r="BH197" s="35"/>
      <c r="BI197" s="35">
        <v>0</v>
      </c>
      <c r="BJ197" s="35"/>
      <c r="BK197" s="35">
        <v>0</v>
      </c>
      <c r="BL197" s="35"/>
      <c r="BM197" s="35">
        <f t="shared" si="40"/>
        <v>0</v>
      </c>
      <c r="BN197" s="54" t="s">
        <v>347</v>
      </c>
      <c r="BO197" s="35"/>
      <c r="BP197" s="35"/>
    </row>
    <row r="198" spans="1:74" ht="12.75" hidden="1" customHeight="1">
      <c r="A198" s="35" t="s">
        <v>236</v>
      </c>
      <c r="C198" s="35" t="s">
        <v>45</v>
      </c>
      <c r="D198" s="35"/>
      <c r="E198" s="35">
        <f t="shared" si="34"/>
        <v>0</v>
      </c>
      <c r="F198" s="35"/>
      <c r="G198" s="35">
        <v>0</v>
      </c>
      <c r="H198" s="35"/>
      <c r="I198" s="35">
        <v>0</v>
      </c>
      <c r="J198" s="35"/>
      <c r="K198" s="35">
        <f t="shared" si="35"/>
        <v>0</v>
      </c>
      <c r="L198" s="35"/>
      <c r="M198" s="35">
        <v>0</v>
      </c>
      <c r="N198" s="35"/>
      <c r="O198" s="35">
        <v>0</v>
      </c>
      <c r="P198" s="35"/>
      <c r="Q198" s="35">
        <v>0</v>
      </c>
      <c r="R198" s="35"/>
      <c r="S198" s="35">
        <v>0</v>
      </c>
      <c r="T198" s="35"/>
      <c r="U198" s="35">
        <v>0</v>
      </c>
      <c r="V198" s="35"/>
      <c r="W198" s="35">
        <f t="shared" si="39"/>
        <v>0</v>
      </c>
      <c r="X198" s="35"/>
      <c r="Y198" s="35" t="s">
        <v>236</v>
      </c>
      <c r="Z198" s="55"/>
      <c r="AA198" s="35" t="s">
        <v>45</v>
      </c>
      <c r="AB198" s="35"/>
      <c r="AC198" s="35">
        <v>0</v>
      </c>
      <c r="AD198" s="35"/>
      <c r="AE198" s="35">
        <v>0</v>
      </c>
      <c r="AF198" s="35"/>
      <c r="AG198" s="35">
        <v>0</v>
      </c>
      <c r="AH198" s="35"/>
      <c r="AI198" s="45">
        <f t="shared" si="41"/>
        <v>0</v>
      </c>
      <c r="AJ198" s="45"/>
      <c r="AK198" s="35">
        <v>0</v>
      </c>
      <c r="AL198" s="35"/>
      <c r="AM198" s="35">
        <v>0</v>
      </c>
      <c r="AN198" s="35"/>
      <c r="AO198" s="35">
        <v>0</v>
      </c>
      <c r="AP198" s="35"/>
      <c r="AQ198" s="35">
        <v>0</v>
      </c>
      <c r="AR198" s="35"/>
      <c r="AS198" s="45">
        <f t="shared" si="36"/>
        <v>0</v>
      </c>
      <c r="AT198" s="45"/>
      <c r="AU198" s="35">
        <v>0</v>
      </c>
      <c r="AV198" s="35"/>
      <c r="AW198" s="35">
        <v>0</v>
      </c>
      <c r="AX198" s="35"/>
      <c r="AY198" s="35">
        <f t="shared" si="37"/>
        <v>0</v>
      </c>
      <c r="AZ198" s="35"/>
      <c r="BA198" s="35" t="s">
        <v>236</v>
      </c>
      <c r="BB198" s="55"/>
      <c r="BC198" s="35" t="s">
        <v>45</v>
      </c>
      <c r="BD198" s="35"/>
      <c r="BE198" s="35">
        <v>0</v>
      </c>
      <c r="BF198" s="35"/>
      <c r="BG198" s="35">
        <v>0</v>
      </c>
      <c r="BH198" s="35"/>
      <c r="BI198" s="35">
        <v>0</v>
      </c>
      <c r="BJ198" s="35"/>
      <c r="BK198" s="35">
        <v>0</v>
      </c>
      <c r="BL198" s="35"/>
      <c r="BM198" s="35">
        <f t="shared" si="40"/>
        <v>0</v>
      </c>
      <c r="BN198" s="54" t="s">
        <v>347</v>
      </c>
    </row>
    <row r="199" spans="1:74" ht="12.75" customHeight="1">
      <c r="A199" s="35" t="s">
        <v>237</v>
      </c>
      <c r="C199" s="35" t="s">
        <v>33</v>
      </c>
      <c r="D199" s="35"/>
      <c r="E199" s="35">
        <f t="shared" si="34"/>
        <v>4361095</v>
      </c>
      <c r="F199" s="35"/>
      <c r="G199" s="35">
        <v>4712044</v>
      </c>
      <c r="H199" s="35"/>
      <c r="I199" s="35">
        <v>9073139</v>
      </c>
      <c r="J199" s="35"/>
      <c r="K199" s="35">
        <f t="shared" si="35"/>
        <v>609812</v>
      </c>
      <c r="L199" s="35"/>
      <c r="M199" s="35">
        <v>5745968</v>
      </c>
      <c r="N199" s="35"/>
      <c r="O199" s="35">
        <v>6355780</v>
      </c>
      <c r="P199" s="35"/>
      <c r="Q199" s="35">
        <v>164800</v>
      </c>
      <c r="R199" s="35"/>
      <c r="S199" s="35">
        <v>0</v>
      </c>
      <c r="T199" s="35"/>
      <c r="U199" s="35">
        <v>2552559</v>
      </c>
      <c r="V199" s="35"/>
      <c r="W199" s="35">
        <f t="shared" si="39"/>
        <v>2717359</v>
      </c>
      <c r="X199" s="35"/>
      <c r="Y199" s="35" t="s">
        <v>237</v>
      </c>
      <c r="Z199" s="55"/>
      <c r="AA199" s="35" t="s">
        <v>33</v>
      </c>
      <c r="AB199" s="35"/>
      <c r="AC199" s="35">
        <v>4754257</v>
      </c>
      <c r="AD199" s="35"/>
      <c r="AE199" s="35">
        <f>4696719-181665</f>
        <v>4515054</v>
      </c>
      <c r="AF199" s="35"/>
      <c r="AG199" s="35">
        <v>181665</v>
      </c>
      <c r="AH199" s="35"/>
      <c r="AI199" s="45">
        <f t="shared" si="41"/>
        <v>57538</v>
      </c>
      <c r="AJ199" s="45"/>
      <c r="AK199" s="35">
        <v>-235404</v>
      </c>
      <c r="AL199" s="35"/>
      <c r="AM199" s="35">
        <v>0</v>
      </c>
      <c r="AN199" s="35"/>
      <c r="AO199" s="35">
        <v>0</v>
      </c>
      <c r="AP199" s="35"/>
      <c r="AQ199" s="35">
        <v>0</v>
      </c>
      <c r="AR199" s="35"/>
      <c r="AS199" s="45">
        <f t="shared" si="36"/>
        <v>-177866</v>
      </c>
      <c r="AT199" s="45"/>
      <c r="AU199" s="35">
        <v>0</v>
      </c>
      <c r="AV199" s="35"/>
      <c r="AW199" s="35">
        <v>0</v>
      </c>
      <c r="AX199" s="35"/>
      <c r="AY199" s="35">
        <f t="shared" si="37"/>
        <v>3751283</v>
      </c>
      <c r="AZ199" s="35"/>
      <c r="BA199" s="35" t="s">
        <v>237</v>
      </c>
      <c r="BB199" s="55"/>
      <c r="BC199" s="35" t="s">
        <v>33</v>
      </c>
      <c r="BD199" s="35"/>
      <c r="BE199" s="35">
        <f>5736344+140000</f>
        <v>5876344</v>
      </c>
      <c r="BF199" s="35"/>
      <c r="BG199" s="35">
        <v>0</v>
      </c>
      <c r="BH199" s="35"/>
      <c r="BI199" s="35">
        <v>0</v>
      </c>
      <c r="BJ199" s="35"/>
      <c r="BK199" s="35">
        <f>9624+2601</f>
        <v>12225</v>
      </c>
      <c r="BL199" s="35"/>
      <c r="BM199" s="35">
        <f t="shared" si="40"/>
        <v>5888569</v>
      </c>
      <c r="BN199" s="54" t="s">
        <v>347</v>
      </c>
    </row>
    <row r="200" spans="1:74" ht="12.75" customHeight="1">
      <c r="A200" s="64" t="s">
        <v>238</v>
      </c>
      <c r="B200" s="90"/>
      <c r="C200" s="64" t="s">
        <v>239</v>
      </c>
      <c r="D200" s="64"/>
      <c r="E200" s="35">
        <f t="shared" si="34"/>
        <v>9668505</v>
      </c>
      <c r="F200" s="35"/>
      <c r="G200" s="35">
        <v>6741384</v>
      </c>
      <c r="H200" s="35"/>
      <c r="I200" s="35">
        <v>16409889</v>
      </c>
      <c r="J200" s="35"/>
      <c r="K200" s="35">
        <f t="shared" si="35"/>
        <v>1751684</v>
      </c>
      <c r="L200" s="35"/>
      <c r="M200" s="35">
        <f>166921+1184173</f>
        <v>1351094</v>
      </c>
      <c r="N200" s="35"/>
      <c r="O200" s="35">
        <v>3102778</v>
      </c>
      <c r="P200" s="35"/>
      <c r="Q200" s="35">
        <v>5468331</v>
      </c>
      <c r="R200" s="35"/>
      <c r="S200" s="35">
        <v>0</v>
      </c>
      <c r="T200" s="35"/>
      <c r="U200" s="35">
        <v>7838780</v>
      </c>
      <c r="V200" s="35"/>
      <c r="W200" s="35">
        <f t="shared" si="39"/>
        <v>13307111</v>
      </c>
      <c r="X200" s="64"/>
      <c r="Y200" s="64" t="s">
        <v>238</v>
      </c>
      <c r="Z200" s="90"/>
      <c r="AA200" s="64" t="s">
        <v>239</v>
      </c>
      <c r="AB200" s="64"/>
      <c r="AC200" s="35">
        <v>15181594</v>
      </c>
      <c r="AD200" s="35"/>
      <c r="AE200" s="35">
        <f>15711937-580718</f>
        <v>15131219</v>
      </c>
      <c r="AF200" s="35"/>
      <c r="AG200" s="35">
        <v>580718</v>
      </c>
      <c r="AH200" s="35"/>
      <c r="AI200" s="45">
        <f t="shared" si="41"/>
        <v>-530343</v>
      </c>
      <c r="AJ200" s="45"/>
      <c r="AK200" s="35">
        <v>-123880</v>
      </c>
      <c r="AL200" s="35"/>
      <c r="AM200" s="35">
        <v>741839</v>
      </c>
      <c r="AN200" s="35"/>
      <c r="AO200" s="35">
        <v>0</v>
      </c>
      <c r="AP200" s="35"/>
      <c r="AQ200" s="35">
        <v>0</v>
      </c>
      <c r="AR200" s="35"/>
      <c r="AS200" s="45">
        <f>+AI200+AK200+AM200-AO200+AQ200</f>
        <v>87616</v>
      </c>
      <c r="AT200" s="45"/>
      <c r="AU200" s="35">
        <v>0</v>
      </c>
      <c r="AV200" s="35"/>
      <c r="AW200" s="35">
        <v>0</v>
      </c>
      <c r="AX200" s="35"/>
      <c r="AY200" s="35">
        <f t="shared" si="37"/>
        <v>7916821</v>
      </c>
      <c r="AZ200" s="35"/>
      <c r="BA200" s="64" t="s">
        <v>238</v>
      </c>
      <c r="BB200" s="90"/>
      <c r="BC200" s="64" t="s">
        <v>239</v>
      </c>
      <c r="BD200" s="64"/>
      <c r="BE200" s="35">
        <f>1184173+88880</f>
        <v>1273053</v>
      </c>
      <c r="BF200" s="35"/>
      <c r="BG200" s="35">
        <v>0</v>
      </c>
      <c r="BH200" s="35"/>
      <c r="BI200" s="35">
        <v>0</v>
      </c>
      <c r="BJ200" s="35"/>
      <c r="BK200" s="35">
        <f>166921+46076</f>
        <v>212997</v>
      </c>
      <c r="BL200" s="35"/>
      <c r="BM200" s="35">
        <f t="shared" si="40"/>
        <v>1486050</v>
      </c>
      <c r="BN200" s="54" t="s">
        <v>347</v>
      </c>
    </row>
    <row r="201" spans="1:74" ht="12.75" hidden="1" customHeight="1">
      <c r="A201" s="35" t="s">
        <v>486</v>
      </c>
      <c r="B201" s="55"/>
      <c r="C201" s="35" t="s">
        <v>249</v>
      </c>
      <c r="D201" s="35"/>
      <c r="E201" s="35">
        <f t="shared" si="34"/>
        <v>0</v>
      </c>
      <c r="F201" s="35"/>
      <c r="G201" s="35">
        <v>0</v>
      </c>
      <c r="H201" s="35"/>
      <c r="I201" s="35">
        <v>0</v>
      </c>
      <c r="J201" s="35"/>
      <c r="K201" s="35">
        <f t="shared" si="35"/>
        <v>0</v>
      </c>
      <c r="L201" s="35"/>
      <c r="M201" s="35">
        <v>0</v>
      </c>
      <c r="N201" s="35"/>
      <c r="O201" s="35">
        <v>0</v>
      </c>
      <c r="P201" s="35"/>
      <c r="Q201" s="35">
        <v>0</v>
      </c>
      <c r="R201" s="35"/>
      <c r="S201" s="35">
        <v>0</v>
      </c>
      <c r="T201" s="35"/>
      <c r="U201" s="35">
        <v>0</v>
      </c>
      <c r="V201" s="35"/>
      <c r="W201" s="35">
        <f t="shared" si="39"/>
        <v>0</v>
      </c>
      <c r="X201" s="35"/>
      <c r="Y201" s="35" t="s">
        <v>486</v>
      </c>
      <c r="Z201" s="55"/>
      <c r="AA201" s="35" t="s">
        <v>249</v>
      </c>
      <c r="AB201" s="35"/>
      <c r="AC201" s="35">
        <v>0</v>
      </c>
      <c r="AD201" s="35"/>
      <c r="AE201" s="35">
        <v>0</v>
      </c>
      <c r="AF201" s="35"/>
      <c r="AG201" s="35">
        <v>0</v>
      </c>
      <c r="AH201" s="35"/>
      <c r="AI201" s="45">
        <f t="shared" si="41"/>
        <v>0</v>
      </c>
      <c r="AJ201" s="45"/>
      <c r="AK201" s="35">
        <v>0</v>
      </c>
      <c r="AL201" s="35"/>
      <c r="AM201" s="35">
        <v>0</v>
      </c>
      <c r="AN201" s="35"/>
      <c r="AO201" s="35">
        <v>0</v>
      </c>
      <c r="AP201" s="35"/>
      <c r="AQ201" s="35">
        <v>0</v>
      </c>
      <c r="AR201" s="35"/>
      <c r="AS201" s="45">
        <f t="shared" si="36"/>
        <v>0</v>
      </c>
      <c r="AT201" s="45"/>
      <c r="AU201" s="35">
        <v>0</v>
      </c>
      <c r="AV201" s="35"/>
      <c r="AW201" s="35">
        <v>0</v>
      </c>
      <c r="AX201" s="35"/>
      <c r="AY201" s="35">
        <f t="shared" si="37"/>
        <v>0</v>
      </c>
      <c r="AZ201" s="35"/>
      <c r="BA201" s="35" t="s">
        <v>486</v>
      </c>
      <c r="BB201" s="55"/>
      <c r="BC201" s="35" t="s">
        <v>249</v>
      </c>
      <c r="BD201" s="35"/>
      <c r="BE201" s="35">
        <v>0</v>
      </c>
      <c r="BF201" s="35"/>
      <c r="BG201" s="35">
        <v>0</v>
      </c>
      <c r="BH201" s="35"/>
      <c r="BI201" s="35">
        <v>0</v>
      </c>
      <c r="BJ201" s="35"/>
      <c r="BK201" s="35">
        <v>0</v>
      </c>
      <c r="BL201" s="35"/>
      <c r="BM201" s="35">
        <f t="shared" si="40"/>
        <v>0</v>
      </c>
      <c r="BN201" s="54"/>
    </row>
    <row r="202" spans="1:74" ht="12.75" hidden="1" customHeight="1">
      <c r="A202" s="35" t="s">
        <v>240</v>
      </c>
      <c r="C202" s="35" t="s">
        <v>13</v>
      </c>
      <c r="D202" s="35"/>
      <c r="E202" s="35">
        <f t="shared" si="34"/>
        <v>0</v>
      </c>
      <c r="F202" s="35"/>
      <c r="G202" s="35">
        <v>0</v>
      </c>
      <c r="H202" s="35"/>
      <c r="I202" s="35">
        <v>0</v>
      </c>
      <c r="J202" s="35"/>
      <c r="K202" s="35">
        <f t="shared" si="35"/>
        <v>0</v>
      </c>
      <c r="L202" s="35"/>
      <c r="M202" s="35">
        <v>0</v>
      </c>
      <c r="N202" s="35"/>
      <c r="O202" s="35">
        <v>0</v>
      </c>
      <c r="P202" s="35"/>
      <c r="Q202" s="35">
        <v>0</v>
      </c>
      <c r="R202" s="35"/>
      <c r="S202" s="35">
        <v>0</v>
      </c>
      <c r="T202" s="35"/>
      <c r="U202" s="35">
        <v>0</v>
      </c>
      <c r="V202" s="35"/>
      <c r="W202" s="35">
        <f t="shared" si="39"/>
        <v>0</v>
      </c>
      <c r="X202" s="35"/>
      <c r="Y202" s="35" t="s">
        <v>240</v>
      </c>
      <c r="Z202" s="55"/>
      <c r="AA202" s="35" t="s">
        <v>13</v>
      </c>
      <c r="AB202" s="35"/>
      <c r="AC202" s="35">
        <v>0</v>
      </c>
      <c r="AD202" s="35"/>
      <c r="AE202" s="35">
        <v>0</v>
      </c>
      <c r="AF202" s="35"/>
      <c r="AG202" s="35">
        <v>0</v>
      </c>
      <c r="AH202" s="35"/>
      <c r="AI202" s="45">
        <f t="shared" si="41"/>
        <v>0</v>
      </c>
      <c r="AJ202" s="45"/>
      <c r="AK202" s="35">
        <v>0</v>
      </c>
      <c r="AL202" s="35"/>
      <c r="AM202" s="35">
        <v>0</v>
      </c>
      <c r="AN202" s="35"/>
      <c r="AO202" s="35">
        <v>0</v>
      </c>
      <c r="AP202" s="35"/>
      <c r="AQ202" s="35">
        <v>0</v>
      </c>
      <c r="AR202" s="35"/>
      <c r="AS202" s="45">
        <f t="shared" si="36"/>
        <v>0</v>
      </c>
      <c r="AT202" s="45"/>
      <c r="AU202" s="35">
        <v>0</v>
      </c>
      <c r="AV202" s="35"/>
      <c r="AW202" s="35">
        <v>0</v>
      </c>
      <c r="AX202" s="35"/>
      <c r="AY202" s="35">
        <f t="shared" si="37"/>
        <v>0</v>
      </c>
      <c r="AZ202" s="35"/>
      <c r="BA202" s="35" t="s">
        <v>240</v>
      </c>
      <c r="BB202" s="55"/>
      <c r="BC202" s="35" t="s">
        <v>13</v>
      </c>
      <c r="BD202" s="35"/>
      <c r="BE202" s="35">
        <v>0</v>
      </c>
      <c r="BF202" s="35"/>
      <c r="BG202" s="35">
        <v>0</v>
      </c>
      <c r="BH202" s="35"/>
      <c r="BI202" s="35">
        <v>0</v>
      </c>
      <c r="BJ202" s="35"/>
      <c r="BK202" s="35">
        <v>0</v>
      </c>
      <c r="BL202" s="35"/>
      <c r="BM202" s="35">
        <f t="shared" si="40"/>
        <v>0</v>
      </c>
      <c r="BN202" s="54" t="s">
        <v>347</v>
      </c>
      <c r="BO202" s="35" t="s">
        <v>371</v>
      </c>
      <c r="BP202" s="35"/>
    </row>
    <row r="203" spans="1:74" ht="12.75" hidden="1" customHeight="1">
      <c r="A203" s="35" t="s">
        <v>241</v>
      </c>
      <c r="C203" s="35" t="s">
        <v>22</v>
      </c>
      <c r="D203" s="35"/>
      <c r="E203" s="35">
        <f t="shared" si="34"/>
        <v>0</v>
      </c>
      <c r="F203" s="35"/>
      <c r="G203" s="35">
        <v>0</v>
      </c>
      <c r="H203" s="35"/>
      <c r="I203" s="35">
        <v>0</v>
      </c>
      <c r="J203" s="35"/>
      <c r="K203" s="35">
        <f t="shared" si="35"/>
        <v>0</v>
      </c>
      <c r="L203" s="35"/>
      <c r="M203" s="35">
        <v>0</v>
      </c>
      <c r="N203" s="35"/>
      <c r="O203" s="35">
        <v>0</v>
      </c>
      <c r="P203" s="35"/>
      <c r="Q203" s="35">
        <v>0</v>
      </c>
      <c r="R203" s="35"/>
      <c r="S203" s="35">
        <v>0</v>
      </c>
      <c r="T203" s="35"/>
      <c r="U203" s="35">
        <v>0</v>
      </c>
      <c r="V203" s="35"/>
      <c r="W203" s="35">
        <f t="shared" ref="W203:W208" si="42">SUM(Q203:U203)</f>
        <v>0</v>
      </c>
      <c r="X203" s="35"/>
      <c r="Y203" s="35" t="s">
        <v>241</v>
      </c>
      <c r="Z203" s="55"/>
      <c r="AA203" s="35" t="s">
        <v>22</v>
      </c>
      <c r="AB203" s="35"/>
      <c r="AC203" s="35">
        <v>0</v>
      </c>
      <c r="AD203" s="35"/>
      <c r="AE203" s="35">
        <v>0</v>
      </c>
      <c r="AF203" s="35"/>
      <c r="AG203" s="35">
        <v>0</v>
      </c>
      <c r="AH203" s="35"/>
      <c r="AI203" s="45">
        <f t="shared" si="41"/>
        <v>0</v>
      </c>
      <c r="AJ203" s="45"/>
      <c r="AK203" s="35">
        <v>0</v>
      </c>
      <c r="AL203" s="35"/>
      <c r="AM203" s="35">
        <v>0</v>
      </c>
      <c r="AN203" s="35"/>
      <c r="AO203" s="35">
        <v>0</v>
      </c>
      <c r="AP203" s="35"/>
      <c r="AQ203" s="35">
        <v>0</v>
      </c>
      <c r="AR203" s="35"/>
      <c r="AS203" s="45">
        <f t="shared" si="36"/>
        <v>0</v>
      </c>
      <c r="AT203" s="45"/>
      <c r="AU203" s="35">
        <v>0</v>
      </c>
      <c r="AV203" s="35"/>
      <c r="AW203" s="35">
        <v>0</v>
      </c>
      <c r="AX203" s="35"/>
      <c r="AY203" s="35">
        <f t="shared" si="37"/>
        <v>0</v>
      </c>
      <c r="AZ203" s="35"/>
      <c r="BA203" s="35" t="s">
        <v>241</v>
      </c>
      <c r="BB203" s="55"/>
      <c r="BC203" s="35" t="s">
        <v>22</v>
      </c>
      <c r="BD203" s="35"/>
      <c r="BE203" s="35">
        <v>0</v>
      </c>
      <c r="BF203" s="35"/>
      <c r="BG203" s="35">
        <v>0</v>
      </c>
      <c r="BH203" s="35"/>
      <c r="BI203" s="35">
        <v>0</v>
      </c>
      <c r="BJ203" s="35"/>
      <c r="BK203" s="35">
        <v>0</v>
      </c>
      <c r="BL203" s="35"/>
      <c r="BM203" s="35">
        <f t="shared" si="40"/>
        <v>0</v>
      </c>
      <c r="BN203" s="54" t="s">
        <v>347</v>
      </c>
    </row>
    <row r="204" spans="1:74" ht="12.75" hidden="1" customHeight="1">
      <c r="A204" s="35" t="s">
        <v>242</v>
      </c>
      <c r="C204" s="35" t="s">
        <v>27</v>
      </c>
      <c r="D204" s="35"/>
      <c r="E204" s="35">
        <f t="shared" ref="E204:E208" si="43">I204-G204</f>
        <v>0</v>
      </c>
      <c r="F204" s="35"/>
      <c r="G204" s="35">
        <v>0</v>
      </c>
      <c r="H204" s="35"/>
      <c r="I204" s="35">
        <v>0</v>
      </c>
      <c r="J204" s="35"/>
      <c r="K204" s="35">
        <f t="shared" ref="K204:K208" si="44">O204-M204</f>
        <v>0</v>
      </c>
      <c r="L204" s="35"/>
      <c r="M204" s="35">
        <v>0</v>
      </c>
      <c r="N204" s="35"/>
      <c r="O204" s="35">
        <v>0</v>
      </c>
      <c r="P204" s="35"/>
      <c r="Q204" s="35">
        <v>0</v>
      </c>
      <c r="R204" s="35"/>
      <c r="S204" s="35">
        <v>0</v>
      </c>
      <c r="T204" s="35"/>
      <c r="U204" s="35">
        <v>0</v>
      </c>
      <c r="V204" s="35"/>
      <c r="W204" s="35">
        <f t="shared" si="42"/>
        <v>0</v>
      </c>
      <c r="X204" s="35"/>
      <c r="Y204" s="35" t="s">
        <v>242</v>
      </c>
      <c r="Z204" s="55"/>
      <c r="AA204" s="35" t="s">
        <v>27</v>
      </c>
      <c r="AB204" s="35"/>
      <c r="AC204" s="35">
        <v>0</v>
      </c>
      <c r="AD204" s="35"/>
      <c r="AE204" s="35">
        <v>0</v>
      </c>
      <c r="AF204" s="35"/>
      <c r="AG204" s="35">
        <v>0</v>
      </c>
      <c r="AH204" s="35"/>
      <c r="AI204" s="45">
        <v>0</v>
      </c>
      <c r="AJ204" s="45"/>
      <c r="AK204" s="35">
        <v>0</v>
      </c>
      <c r="AL204" s="35"/>
      <c r="AM204" s="35">
        <v>0</v>
      </c>
      <c r="AN204" s="35"/>
      <c r="AO204" s="35">
        <v>0</v>
      </c>
      <c r="AP204" s="35"/>
      <c r="AQ204" s="35">
        <v>0</v>
      </c>
      <c r="AR204" s="35"/>
      <c r="AS204" s="45">
        <f t="shared" si="36"/>
        <v>0</v>
      </c>
      <c r="AT204" s="45"/>
      <c r="AU204" s="35">
        <v>0</v>
      </c>
      <c r="AV204" s="35"/>
      <c r="AW204" s="35">
        <v>0</v>
      </c>
      <c r="AX204" s="35"/>
      <c r="AY204" s="35">
        <f t="shared" si="37"/>
        <v>0</v>
      </c>
      <c r="AZ204" s="35"/>
      <c r="BA204" s="35" t="s">
        <v>242</v>
      </c>
      <c r="BB204" s="55"/>
      <c r="BC204" s="35" t="s">
        <v>27</v>
      </c>
      <c r="BD204" s="35"/>
      <c r="BE204" s="35">
        <v>0</v>
      </c>
      <c r="BF204" s="35"/>
      <c r="BG204" s="35">
        <v>0</v>
      </c>
      <c r="BH204" s="35"/>
      <c r="BI204" s="35">
        <v>0</v>
      </c>
      <c r="BJ204" s="35"/>
      <c r="BK204" s="35">
        <v>0</v>
      </c>
      <c r="BL204" s="35"/>
      <c r="BM204" s="35">
        <f t="shared" si="40"/>
        <v>0</v>
      </c>
      <c r="BN204" s="54" t="s">
        <v>347</v>
      </c>
    </row>
    <row r="205" spans="1:74" ht="12.75" hidden="1" customHeight="1">
      <c r="A205" s="35" t="s">
        <v>243</v>
      </c>
      <c r="C205" s="35" t="s">
        <v>163</v>
      </c>
      <c r="D205" s="35"/>
      <c r="E205" s="35">
        <f t="shared" si="43"/>
        <v>0</v>
      </c>
      <c r="F205" s="35"/>
      <c r="G205" s="35">
        <v>0</v>
      </c>
      <c r="H205" s="35"/>
      <c r="I205" s="35">
        <v>0</v>
      </c>
      <c r="J205" s="35"/>
      <c r="K205" s="35">
        <f t="shared" si="44"/>
        <v>0</v>
      </c>
      <c r="L205" s="35"/>
      <c r="M205" s="35">
        <v>0</v>
      </c>
      <c r="N205" s="35"/>
      <c r="O205" s="35">
        <v>0</v>
      </c>
      <c r="P205" s="35"/>
      <c r="Q205" s="35">
        <v>0</v>
      </c>
      <c r="R205" s="35"/>
      <c r="S205" s="35">
        <v>0</v>
      </c>
      <c r="T205" s="35"/>
      <c r="U205" s="35">
        <v>0</v>
      </c>
      <c r="V205" s="35"/>
      <c r="W205" s="35">
        <f t="shared" si="42"/>
        <v>0</v>
      </c>
      <c r="X205" s="35"/>
      <c r="Y205" s="35" t="s">
        <v>243</v>
      </c>
      <c r="Z205" s="55"/>
      <c r="AA205" s="35" t="s">
        <v>163</v>
      </c>
      <c r="AB205" s="35"/>
      <c r="AC205" s="35">
        <v>0</v>
      </c>
      <c r="AD205" s="35"/>
      <c r="AE205" s="35">
        <v>0</v>
      </c>
      <c r="AF205" s="35"/>
      <c r="AG205" s="35">
        <v>0</v>
      </c>
      <c r="AH205" s="35"/>
      <c r="AI205" s="45">
        <f t="shared" ref="AI205:AI208" si="45">+AC205-AE205-AG205</f>
        <v>0</v>
      </c>
      <c r="AJ205" s="45"/>
      <c r="AK205" s="35">
        <v>0</v>
      </c>
      <c r="AL205" s="35"/>
      <c r="AM205" s="35">
        <v>0</v>
      </c>
      <c r="AN205" s="35"/>
      <c r="AO205" s="35">
        <v>0</v>
      </c>
      <c r="AP205" s="35"/>
      <c r="AQ205" s="35">
        <v>0</v>
      </c>
      <c r="AR205" s="35"/>
      <c r="AS205" s="45">
        <f t="shared" si="36"/>
        <v>0</v>
      </c>
      <c r="AT205" s="45"/>
      <c r="AU205" s="35">
        <v>0</v>
      </c>
      <c r="AV205" s="35"/>
      <c r="AW205" s="35">
        <v>0</v>
      </c>
      <c r="AX205" s="35"/>
      <c r="AY205" s="35">
        <f t="shared" si="37"/>
        <v>0</v>
      </c>
      <c r="AZ205" s="35"/>
      <c r="BA205" s="35" t="s">
        <v>243</v>
      </c>
      <c r="BB205" s="55"/>
      <c r="BC205" s="35" t="s">
        <v>163</v>
      </c>
      <c r="BD205" s="35"/>
      <c r="BE205" s="35">
        <v>0</v>
      </c>
      <c r="BF205" s="35"/>
      <c r="BG205" s="35">
        <v>0</v>
      </c>
      <c r="BH205" s="35"/>
      <c r="BI205" s="35">
        <v>0</v>
      </c>
      <c r="BJ205" s="35"/>
      <c r="BK205" s="35">
        <v>0</v>
      </c>
      <c r="BL205" s="35"/>
      <c r="BM205" s="35">
        <f t="shared" si="40"/>
        <v>0</v>
      </c>
      <c r="BN205" s="89" t="s">
        <v>347</v>
      </c>
    </row>
    <row r="206" spans="1:74" ht="12.75" hidden="1" customHeight="1">
      <c r="A206" s="35" t="s">
        <v>244</v>
      </c>
      <c r="C206" s="35" t="s">
        <v>13</v>
      </c>
      <c r="D206" s="35"/>
      <c r="E206" s="35">
        <f t="shared" si="43"/>
        <v>0</v>
      </c>
      <c r="F206" s="35"/>
      <c r="G206" s="35">
        <v>0</v>
      </c>
      <c r="H206" s="35"/>
      <c r="I206" s="35">
        <v>0</v>
      </c>
      <c r="J206" s="35"/>
      <c r="K206" s="35">
        <f t="shared" si="44"/>
        <v>0</v>
      </c>
      <c r="L206" s="35"/>
      <c r="M206" s="35">
        <v>0</v>
      </c>
      <c r="N206" s="35"/>
      <c r="O206" s="35">
        <v>0</v>
      </c>
      <c r="P206" s="35"/>
      <c r="Q206" s="35">
        <v>0</v>
      </c>
      <c r="R206" s="35"/>
      <c r="S206" s="35">
        <v>0</v>
      </c>
      <c r="T206" s="35"/>
      <c r="U206" s="35">
        <v>0</v>
      </c>
      <c r="V206" s="35"/>
      <c r="W206" s="35">
        <f t="shared" si="42"/>
        <v>0</v>
      </c>
      <c r="X206" s="35"/>
      <c r="Y206" s="35" t="s">
        <v>244</v>
      </c>
      <c r="Z206" s="55"/>
      <c r="AA206" s="35" t="s">
        <v>13</v>
      </c>
      <c r="AB206" s="35"/>
      <c r="AC206" s="35">
        <v>0</v>
      </c>
      <c r="AD206" s="35"/>
      <c r="AE206" s="35">
        <v>0</v>
      </c>
      <c r="AF206" s="35"/>
      <c r="AG206" s="35">
        <v>0</v>
      </c>
      <c r="AH206" s="35"/>
      <c r="AI206" s="45">
        <f t="shared" si="45"/>
        <v>0</v>
      </c>
      <c r="AJ206" s="45"/>
      <c r="AK206" s="35">
        <v>0</v>
      </c>
      <c r="AL206" s="35"/>
      <c r="AM206" s="35">
        <v>0</v>
      </c>
      <c r="AN206" s="35"/>
      <c r="AO206" s="35">
        <v>0</v>
      </c>
      <c r="AP206" s="35"/>
      <c r="AQ206" s="35">
        <v>0</v>
      </c>
      <c r="AR206" s="35"/>
      <c r="AS206" s="45">
        <f t="shared" ref="AS206:AS208" si="46">+AI206+AK206+AM206-AO206+AQ206</f>
        <v>0</v>
      </c>
      <c r="AT206" s="45"/>
      <c r="AU206" s="35">
        <v>0</v>
      </c>
      <c r="AV206" s="35"/>
      <c r="AW206" s="35">
        <v>0</v>
      </c>
      <c r="AX206" s="35"/>
      <c r="AY206" s="35">
        <f t="shared" ref="AY206:AY207" si="47">+E206-K206</f>
        <v>0</v>
      </c>
      <c r="AZ206" s="35"/>
      <c r="BA206" s="35" t="s">
        <v>244</v>
      </c>
      <c r="BB206" s="55"/>
      <c r="BC206" s="35" t="s">
        <v>13</v>
      </c>
      <c r="BD206" s="35"/>
      <c r="BE206" s="35">
        <v>0</v>
      </c>
      <c r="BF206" s="35"/>
      <c r="BG206" s="35">
        <v>0</v>
      </c>
      <c r="BH206" s="35"/>
      <c r="BI206" s="35">
        <v>0</v>
      </c>
      <c r="BJ206" s="35"/>
      <c r="BK206" s="35">
        <v>0</v>
      </c>
      <c r="BL206" s="35"/>
      <c r="BM206" s="35">
        <f t="shared" si="40"/>
        <v>0</v>
      </c>
      <c r="BN206" s="54" t="s">
        <v>347</v>
      </c>
    </row>
    <row r="207" spans="1:74" ht="12.75" hidden="1" customHeight="1">
      <c r="A207" s="35" t="s">
        <v>245</v>
      </c>
      <c r="C207" s="35" t="s">
        <v>110</v>
      </c>
      <c r="D207" s="35"/>
      <c r="E207" s="35">
        <f t="shared" si="43"/>
        <v>0</v>
      </c>
      <c r="F207" s="35"/>
      <c r="G207" s="35">
        <v>0</v>
      </c>
      <c r="H207" s="35"/>
      <c r="I207" s="35">
        <v>0</v>
      </c>
      <c r="J207" s="35"/>
      <c r="K207" s="35">
        <f t="shared" si="44"/>
        <v>0</v>
      </c>
      <c r="L207" s="35"/>
      <c r="M207" s="35">
        <v>0</v>
      </c>
      <c r="N207" s="35"/>
      <c r="O207" s="35">
        <v>0</v>
      </c>
      <c r="P207" s="35"/>
      <c r="Q207" s="35">
        <v>0</v>
      </c>
      <c r="R207" s="35"/>
      <c r="S207" s="35">
        <v>0</v>
      </c>
      <c r="T207" s="35"/>
      <c r="U207" s="35">
        <v>0</v>
      </c>
      <c r="V207" s="35"/>
      <c r="W207" s="35">
        <f t="shared" si="42"/>
        <v>0</v>
      </c>
      <c r="X207" s="35"/>
      <c r="Y207" s="35" t="s">
        <v>245</v>
      </c>
      <c r="Z207" s="55"/>
      <c r="AA207" s="35" t="s">
        <v>110</v>
      </c>
      <c r="AB207" s="35"/>
      <c r="AC207" s="35">
        <v>0</v>
      </c>
      <c r="AD207" s="35"/>
      <c r="AE207" s="35">
        <v>0</v>
      </c>
      <c r="AF207" s="35"/>
      <c r="AG207" s="35">
        <v>0</v>
      </c>
      <c r="AH207" s="35"/>
      <c r="AI207" s="45">
        <f t="shared" si="45"/>
        <v>0</v>
      </c>
      <c r="AJ207" s="45"/>
      <c r="AK207" s="35">
        <v>0</v>
      </c>
      <c r="AL207" s="35"/>
      <c r="AM207" s="35">
        <v>0</v>
      </c>
      <c r="AN207" s="35"/>
      <c r="AO207" s="35">
        <v>0</v>
      </c>
      <c r="AP207" s="35"/>
      <c r="AQ207" s="35">
        <v>0</v>
      </c>
      <c r="AR207" s="35"/>
      <c r="AS207" s="45">
        <f t="shared" si="46"/>
        <v>0</v>
      </c>
      <c r="AT207" s="45"/>
      <c r="AU207" s="35">
        <v>0</v>
      </c>
      <c r="AV207" s="35"/>
      <c r="AW207" s="35">
        <v>0</v>
      </c>
      <c r="AX207" s="35"/>
      <c r="AY207" s="35">
        <f t="shared" si="47"/>
        <v>0</v>
      </c>
      <c r="AZ207" s="35"/>
      <c r="BA207" s="35" t="s">
        <v>245</v>
      </c>
      <c r="BB207" s="55"/>
      <c r="BC207" s="35" t="s">
        <v>110</v>
      </c>
      <c r="BD207" s="35"/>
      <c r="BE207" s="35">
        <v>0</v>
      </c>
      <c r="BF207" s="35"/>
      <c r="BG207" s="35">
        <v>0</v>
      </c>
      <c r="BH207" s="35"/>
      <c r="BI207" s="35">
        <v>0</v>
      </c>
      <c r="BJ207" s="35"/>
      <c r="BK207" s="35">
        <v>0</v>
      </c>
      <c r="BL207" s="35"/>
      <c r="BM207" s="35">
        <f t="shared" si="40"/>
        <v>0</v>
      </c>
      <c r="BN207" s="54" t="s">
        <v>347</v>
      </c>
    </row>
    <row r="208" spans="1:74" ht="12.75" customHeight="1">
      <c r="A208" s="35" t="s">
        <v>246</v>
      </c>
      <c r="C208" s="35" t="s">
        <v>209</v>
      </c>
      <c r="D208" s="35"/>
      <c r="E208" s="35">
        <f t="shared" si="43"/>
        <v>9951194</v>
      </c>
      <c r="F208" s="35"/>
      <c r="G208" s="35">
        <v>8475222</v>
      </c>
      <c r="H208" s="35"/>
      <c r="I208" s="35">
        <v>18426416</v>
      </c>
      <c r="J208" s="35"/>
      <c r="K208" s="35">
        <f t="shared" si="44"/>
        <v>2395289</v>
      </c>
      <c r="L208" s="35"/>
      <c r="M208" s="35">
        <v>488931</v>
      </c>
      <c r="N208" s="35"/>
      <c r="O208" s="35">
        <v>2884220</v>
      </c>
      <c r="P208" s="35"/>
      <c r="Q208" s="35">
        <v>6814678</v>
      </c>
      <c r="R208" s="35"/>
      <c r="S208" s="35">
        <v>0</v>
      </c>
      <c r="T208" s="35"/>
      <c r="U208" s="35">
        <v>5127518</v>
      </c>
      <c r="V208" s="35"/>
      <c r="W208" s="35">
        <f t="shared" si="42"/>
        <v>11942196</v>
      </c>
      <c r="X208" s="35"/>
      <c r="Y208" s="35" t="s">
        <v>246</v>
      </c>
      <c r="Z208" s="55"/>
      <c r="AA208" s="35" t="s">
        <v>209</v>
      </c>
      <c r="AB208" s="35"/>
      <c r="AC208" s="35">
        <v>10956544</v>
      </c>
      <c r="AD208" s="35"/>
      <c r="AE208" s="35">
        <f>9997302-416660</f>
        <v>9580642</v>
      </c>
      <c r="AF208" s="35"/>
      <c r="AG208" s="35">
        <v>416660</v>
      </c>
      <c r="AH208" s="35"/>
      <c r="AI208" s="45">
        <f t="shared" si="45"/>
        <v>959242</v>
      </c>
      <c r="AJ208" s="45"/>
      <c r="AK208" s="35">
        <v>-44907</v>
      </c>
      <c r="AL208" s="35"/>
      <c r="AM208" s="35">
        <v>0</v>
      </c>
      <c r="AN208" s="35"/>
      <c r="AO208" s="35">
        <v>4729</v>
      </c>
      <c r="AP208" s="35"/>
      <c r="AQ208" s="35">
        <v>0</v>
      </c>
      <c r="AR208" s="35"/>
      <c r="AS208" s="45">
        <f t="shared" si="46"/>
        <v>909606</v>
      </c>
      <c r="AT208" s="45"/>
      <c r="AU208" s="35">
        <v>0</v>
      </c>
      <c r="AV208" s="35"/>
      <c r="AW208" s="35">
        <v>0</v>
      </c>
      <c r="AX208" s="35"/>
      <c r="AY208" s="35">
        <f>+E208-K208</f>
        <v>7555905</v>
      </c>
      <c r="AZ208" s="35"/>
      <c r="BA208" s="35" t="s">
        <v>246</v>
      </c>
      <c r="BB208" s="55"/>
      <c r="BC208" s="35" t="s">
        <v>209</v>
      </c>
      <c r="BD208" s="35"/>
      <c r="BE208" s="35">
        <f>295000+50000</f>
        <v>345000</v>
      </c>
      <c r="BF208" s="35"/>
      <c r="BG208" s="35">
        <v>0</v>
      </c>
      <c r="BH208" s="35"/>
      <c r="BI208" s="35">
        <v>0</v>
      </c>
      <c r="BJ208" s="35"/>
      <c r="BK208" s="35">
        <f>30598+193931</f>
        <v>224529</v>
      </c>
      <c r="BL208" s="35"/>
      <c r="BM208" s="35">
        <f t="shared" si="40"/>
        <v>569529</v>
      </c>
      <c r="BN208" s="54" t="s">
        <v>347</v>
      </c>
      <c r="BO208" s="55" t="s">
        <v>315</v>
      </c>
    </row>
    <row r="209" spans="1:66" ht="12.75" hidden="1" customHeight="1">
      <c r="A209" s="35" t="s">
        <v>247</v>
      </c>
      <c r="B209" s="55"/>
      <c r="C209" s="35" t="s">
        <v>163</v>
      </c>
      <c r="D209" s="35"/>
      <c r="E209" s="35">
        <f t="shared" ref="E209:E247" si="48">I209-G209</f>
        <v>0</v>
      </c>
      <c r="F209" s="35"/>
      <c r="G209" s="35">
        <v>0</v>
      </c>
      <c r="H209" s="35"/>
      <c r="I209" s="35">
        <v>0</v>
      </c>
      <c r="J209" s="35"/>
      <c r="K209" s="35">
        <f t="shared" ref="K209:K247" si="49">O209-M209</f>
        <v>0</v>
      </c>
      <c r="L209" s="35"/>
      <c r="M209" s="35">
        <v>0</v>
      </c>
      <c r="N209" s="35"/>
      <c r="O209" s="35">
        <v>0</v>
      </c>
      <c r="P209" s="35"/>
      <c r="Q209" s="35">
        <v>0</v>
      </c>
      <c r="R209" s="35"/>
      <c r="S209" s="35">
        <v>0</v>
      </c>
      <c r="T209" s="35"/>
      <c r="U209" s="35">
        <v>0</v>
      </c>
      <c r="V209" s="35"/>
      <c r="W209" s="35">
        <f t="shared" ref="W209:W214" si="50">SUM(Q209:U209)</f>
        <v>0</v>
      </c>
      <c r="X209" s="35"/>
      <c r="Y209" s="35" t="s">
        <v>247</v>
      </c>
      <c r="Z209" s="55"/>
      <c r="AA209" s="35" t="s">
        <v>163</v>
      </c>
      <c r="AB209" s="35"/>
      <c r="AC209" s="35">
        <v>0</v>
      </c>
      <c r="AD209" s="35"/>
      <c r="AE209" s="35">
        <v>0</v>
      </c>
      <c r="AF209" s="35"/>
      <c r="AG209" s="35">
        <v>0</v>
      </c>
      <c r="AH209" s="35"/>
      <c r="AI209" s="45">
        <f t="shared" ref="AI209:AI229" si="51">+AC209-AE209-AG209</f>
        <v>0</v>
      </c>
      <c r="AJ209" s="45"/>
      <c r="AK209" s="35">
        <v>0</v>
      </c>
      <c r="AL209" s="35"/>
      <c r="AM209" s="35">
        <v>0</v>
      </c>
      <c r="AN209" s="35"/>
      <c r="AO209" s="35">
        <v>0</v>
      </c>
      <c r="AP209" s="35"/>
      <c r="AQ209" s="35">
        <v>0</v>
      </c>
      <c r="AR209" s="35"/>
      <c r="AS209" s="45">
        <f t="shared" ref="AS209:AS239" si="52">+AI209+AK209+AM209-AO209+AQ209</f>
        <v>0</v>
      </c>
      <c r="AT209" s="45"/>
      <c r="AU209" s="35">
        <v>0</v>
      </c>
      <c r="AV209" s="35"/>
      <c r="AW209" s="35">
        <v>0</v>
      </c>
      <c r="AX209" s="35"/>
      <c r="AY209" s="35">
        <f t="shared" ref="AY209:AY237" si="53">+E209-K209</f>
        <v>0</v>
      </c>
      <c r="AZ209" s="35"/>
      <c r="BA209" s="35" t="s">
        <v>247</v>
      </c>
      <c r="BB209" s="55"/>
      <c r="BC209" s="35" t="s">
        <v>163</v>
      </c>
      <c r="BD209" s="35"/>
      <c r="BE209" s="35">
        <v>0</v>
      </c>
      <c r="BF209" s="35"/>
      <c r="BG209" s="35">
        <v>0</v>
      </c>
      <c r="BH209" s="35"/>
      <c r="BI209" s="35">
        <v>0</v>
      </c>
      <c r="BJ209" s="35"/>
      <c r="BK209" s="35">
        <v>0</v>
      </c>
      <c r="BL209" s="35"/>
      <c r="BM209" s="35">
        <f t="shared" ref="BM209:BM229" si="54">SUM(BE209:BK209)</f>
        <v>0</v>
      </c>
      <c r="BN209" s="54" t="s">
        <v>347</v>
      </c>
    </row>
    <row r="210" spans="1:66" ht="12.75" hidden="1" customHeight="1">
      <c r="A210" s="35" t="s">
        <v>248</v>
      </c>
      <c r="B210" s="55"/>
      <c r="C210" s="35" t="s">
        <v>249</v>
      </c>
      <c r="D210" s="35"/>
      <c r="E210" s="35">
        <f t="shared" si="48"/>
        <v>0</v>
      </c>
      <c r="F210" s="35"/>
      <c r="G210" s="35">
        <v>0</v>
      </c>
      <c r="H210" s="35"/>
      <c r="I210" s="35">
        <v>0</v>
      </c>
      <c r="J210" s="35"/>
      <c r="K210" s="35">
        <f t="shared" si="49"/>
        <v>0</v>
      </c>
      <c r="L210" s="35"/>
      <c r="M210" s="35">
        <v>0</v>
      </c>
      <c r="N210" s="35"/>
      <c r="O210" s="35">
        <v>0</v>
      </c>
      <c r="P210" s="35"/>
      <c r="Q210" s="35">
        <v>0</v>
      </c>
      <c r="R210" s="35"/>
      <c r="S210" s="35">
        <v>0</v>
      </c>
      <c r="T210" s="35"/>
      <c r="U210" s="35">
        <v>0</v>
      </c>
      <c r="V210" s="35"/>
      <c r="W210" s="35">
        <f t="shared" si="50"/>
        <v>0</v>
      </c>
      <c r="X210" s="35"/>
      <c r="Y210" s="35" t="s">
        <v>248</v>
      </c>
      <c r="Z210" s="55"/>
      <c r="AA210" s="35" t="s">
        <v>249</v>
      </c>
      <c r="AB210" s="35"/>
      <c r="AC210" s="35">
        <v>0</v>
      </c>
      <c r="AD210" s="35"/>
      <c r="AE210" s="35">
        <v>0</v>
      </c>
      <c r="AF210" s="35"/>
      <c r="AG210" s="35">
        <v>0</v>
      </c>
      <c r="AH210" s="35"/>
      <c r="AI210" s="45">
        <f t="shared" si="51"/>
        <v>0</v>
      </c>
      <c r="AJ210" s="45"/>
      <c r="AK210" s="35">
        <v>0</v>
      </c>
      <c r="AL210" s="35"/>
      <c r="AM210" s="35">
        <v>0</v>
      </c>
      <c r="AN210" s="35"/>
      <c r="AO210" s="35">
        <v>0</v>
      </c>
      <c r="AP210" s="35"/>
      <c r="AQ210" s="35">
        <v>0</v>
      </c>
      <c r="AR210" s="35"/>
      <c r="AS210" s="45">
        <f t="shared" si="52"/>
        <v>0</v>
      </c>
      <c r="AT210" s="45"/>
      <c r="AU210" s="35">
        <v>0</v>
      </c>
      <c r="AV210" s="35"/>
      <c r="AW210" s="35">
        <v>0</v>
      </c>
      <c r="AX210" s="35"/>
      <c r="AY210" s="35">
        <f t="shared" si="53"/>
        <v>0</v>
      </c>
      <c r="AZ210" s="35"/>
      <c r="BA210" s="35" t="s">
        <v>248</v>
      </c>
      <c r="BB210" s="55"/>
      <c r="BC210" s="35" t="s">
        <v>249</v>
      </c>
      <c r="BD210" s="35"/>
      <c r="BE210" s="35">
        <v>0</v>
      </c>
      <c r="BF210" s="35"/>
      <c r="BG210" s="35">
        <v>0</v>
      </c>
      <c r="BH210" s="35"/>
      <c r="BI210" s="35">
        <v>0</v>
      </c>
      <c r="BJ210" s="35"/>
      <c r="BK210" s="35">
        <v>0</v>
      </c>
      <c r="BL210" s="35"/>
      <c r="BM210" s="35">
        <f t="shared" si="54"/>
        <v>0</v>
      </c>
      <c r="BN210" s="54"/>
    </row>
    <row r="211" spans="1:66" ht="12.75" hidden="1" customHeight="1">
      <c r="A211" s="35" t="s">
        <v>250</v>
      </c>
      <c r="C211" s="35" t="s">
        <v>103</v>
      </c>
      <c r="D211" s="35"/>
      <c r="E211" s="35">
        <f t="shared" si="48"/>
        <v>0</v>
      </c>
      <c r="F211" s="35"/>
      <c r="G211" s="35">
        <v>0</v>
      </c>
      <c r="H211" s="35"/>
      <c r="I211" s="35">
        <v>0</v>
      </c>
      <c r="J211" s="35"/>
      <c r="K211" s="35">
        <f t="shared" si="49"/>
        <v>0</v>
      </c>
      <c r="L211" s="35"/>
      <c r="M211" s="35">
        <v>0</v>
      </c>
      <c r="N211" s="35"/>
      <c r="O211" s="35">
        <v>0</v>
      </c>
      <c r="P211" s="35"/>
      <c r="Q211" s="35">
        <v>0</v>
      </c>
      <c r="R211" s="35"/>
      <c r="S211" s="35">
        <v>0</v>
      </c>
      <c r="T211" s="35"/>
      <c r="U211" s="35">
        <v>0</v>
      </c>
      <c r="V211" s="35"/>
      <c r="W211" s="35">
        <f t="shared" si="50"/>
        <v>0</v>
      </c>
      <c r="X211" s="35"/>
      <c r="Y211" s="35" t="s">
        <v>250</v>
      </c>
      <c r="Z211" s="55"/>
      <c r="AA211" s="35" t="s">
        <v>103</v>
      </c>
      <c r="AB211" s="35"/>
      <c r="AC211" s="35">
        <v>0</v>
      </c>
      <c r="AD211" s="35"/>
      <c r="AE211" s="35">
        <v>0</v>
      </c>
      <c r="AF211" s="35"/>
      <c r="AG211" s="35">
        <v>0</v>
      </c>
      <c r="AH211" s="35"/>
      <c r="AI211" s="45">
        <f t="shared" si="51"/>
        <v>0</v>
      </c>
      <c r="AJ211" s="45"/>
      <c r="AK211" s="35">
        <v>0</v>
      </c>
      <c r="AL211" s="35"/>
      <c r="AM211" s="35">
        <v>0</v>
      </c>
      <c r="AN211" s="35"/>
      <c r="AO211" s="35">
        <v>0</v>
      </c>
      <c r="AP211" s="35"/>
      <c r="AQ211" s="35">
        <v>0</v>
      </c>
      <c r="AR211" s="35"/>
      <c r="AS211" s="45">
        <f t="shared" si="52"/>
        <v>0</v>
      </c>
      <c r="AT211" s="45"/>
      <c r="AU211" s="35">
        <v>0</v>
      </c>
      <c r="AV211" s="35"/>
      <c r="AW211" s="35">
        <v>0</v>
      </c>
      <c r="AX211" s="35"/>
      <c r="AY211" s="35">
        <f t="shared" si="53"/>
        <v>0</v>
      </c>
      <c r="AZ211" s="35"/>
      <c r="BA211" s="35" t="s">
        <v>250</v>
      </c>
      <c r="BB211" s="55"/>
      <c r="BC211" s="35" t="s">
        <v>103</v>
      </c>
      <c r="BD211" s="35"/>
      <c r="BE211" s="35">
        <v>0</v>
      </c>
      <c r="BF211" s="35"/>
      <c r="BG211" s="35">
        <v>0</v>
      </c>
      <c r="BH211" s="35"/>
      <c r="BI211" s="35">
        <v>0</v>
      </c>
      <c r="BJ211" s="35"/>
      <c r="BK211" s="35">
        <v>0</v>
      </c>
      <c r="BL211" s="35"/>
      <c r="BM211" s="35">
        <f t="shared" si="54"/>
        <v>0</v>
      </c>
      <c r="BN211" s="54" t="s">
        <v>347</v>
      </c>
    </row>
    <row r="212" spans="1:66" ht="12.75" hidden="1" customHeight="1">
      <c r="A212" s="35" t="s">
        <v>251</v>
      </c>
      <c r="C212" s="35" t="s">
        <v>66</v>
      </c>
      <c r="D212" s="35"/>
      <c r="E212" s="35">
        <f t="shared" si="48"/>
        <v>0</v>
      </c>
      <c r="F212" s="35"/>
      <c r="G212" s="35">
        <v>0</v>
      </c>
      <c r="H212" s="35"/>
      <c r="I212" s="35">
        <v>0</v>
      </c>
      <c r="J212" s="35"/>
      <c r="K212" s="35">
        <f t="shared" si="49"/>
        <v>0</v>
      </c>
      <c r="L212" s="35"/>
      <c r="M212" s="35">
        <v>0</v>
      </c>
      <c r="N212" s="35"/>
      <c r="O212" s="35">
        <v>0</v>
      </c>
      <c r="P212" s="35"/>
      <c r="Q212" s="35">
        <v>0</v>
      </c>
      <c r="R212" s="35"/>
      <c r="S212" s="35">
        <v>0</v>
      </c>
      <c r="T212" s="35"/>
      <c r="U212" s="35">
        <v>0</v>
      </c>
      <c r="V212" s="35"/>
      <c r="W212" s="35">
        <f t="shared" si="50"/>
        <v>0</v>
      </c>
      <c r="X212" s="35"/>
      <c r="Y212" s="35" t="s">
        <v>251</v>
      </c>
      <c r="Z212" s="55"/>
      <c r="AA212" s="35" t="s">
        <v>66</v>
      </c>
      <c r="AB212" s="35"/>
      <c r="AC212" s="35">
        <v>0</v>
      </c>
      <c r="AD212" s="35"/>
      <c r="AE212" s="35">
        <v>0</v>
      </c>
      <c r="AF212" s="35"/>
      <c r="AG212" s="35">
        <v>0</v>
      </c>
      <c r="AH212" s="35"/>
      <c r="AI212" s="45">
        <f t="shared" si="51"/>
        <v>0</v>
      </c>
      <c r="AJ212" s="45"/>
      <c r="AK212" s="35">
        <v>0</v>
      </c>
      <c r="AL212" s="35"/>
      <c r="AM212" s="35">
        <v>0</v>
      </c>
      <c r="AN212" s="35"/>
      <c r="AO212" s="35">
        <v>0</v>
      </c>
      <c r="AP212" s="35"/>
      <c r="AQ212" s="35">
        <v>0</v>
      </c>
      <c r="AR212" s="35"/>
      <c r="AS212" s="45">
        <f t="shared" si="52"/>
        <v>0</v>
      </c>
      <c r="AT212" s="45"/>
      <c r="AU212" s="35">
        <v>0</v>
      </c>
      <c r="AV212" s="35"/>
      <c r="AW212" s="35">
        <v>0</v>
      </c>
      <c r="AX212" s="35"/>
      <c r="AY212" s="35">
        <f t="shared" si="53"/>
        <v>0</v>
      </c>
      <c r="AZ212" s="35"/>
      <c r="BA212" s="35" t="s">
        <v>251</v>
      </c>
      <c r="BB212" s="55"/>
      <c r="BC212" s="35" t="s">
        <v>66</v>
      </c>
      <c r="BD212" s="35"/>
      <c r="BE212" s="35">
        <v>0</v>
      </c>
      <c r="BF212" s="35"/>
      <c r="BG212" s="35">
        <v>0</v>
      </c>
      <c r="BH212" s="35"/>
      <c r="BI212" s="35">
        <v>0</v>
      </c>
      <c r="BJ212" s="35"/>
      <c r="BK212" s="35">
        <v>0</v>
      </c>
      <c r="BL212" s="35"/>
      <c r="BM212" s="35">
        <f t="shared" si="54"/>
        <v>0</v>
      </c>
      <c r="BN212" s="54" t="s">
        <v>347</v>
      </c>
    </row>
    <row r="213" spans="1:66" ht="12.75" hidden="1" customHeight="1">
      <c r="A213" s="35" t="s">
        <v>252</v>
      </c>
      <c r="C213" s="35" t="s">
        <v>209</v>
      </c>
      <c r="D213" s="35"/>
      <c r="E213" s="35">
        <f t="shared" si="48"/>
        <v>0</v>
      </c>
      <c r="F213" s="35"/>
      <c r="G213" s="35">
        <v>0</v>
      </c>
      <c r="H213" s="35"/>
      <c r="I213" s="35">
        <v>0</v>
      </c>
      <c r="J213" s="35"/>
      <c r="K213" s="35">
        <f t="shared" si="49"/>
        <v>0</v>
      </c>
      <c r="L213" s="35"/>
      <c r="M213" s="35">
        <v>0</v>
      </c>
      <c r="N213" s="35"/>
      <c r="O213" s="35">
        <v>0</v>
      </c>
      <c r="P213" s="35"/>
      <c r="Q213" s="35">
        <v>0</v>
      </c>
      <c r="R213" s="35"/>
      <c r="S213" s="35">
        <v>0</v>
      </c>
      <c r="T213" s="35"/>
      <c r="U213" s="35">
        <v>0</v>
      </c>
      <c r="V213" s="35"/>
      <c r="W213" s="35">
        <f t="shared" si="50"/>
        <v>0</v>
      </c>
      <c r="X213" s="35"/>
      <c r="Y213" s="35" t="s">
        <v>252</v>
      </c>
      <c r="Z213" s="55"/>
      <c r="AA213" s="35" t="s">
        <v>209</v>
      </c>
      <c r="AB213" s="35"/>
      <c r="AC213" s="35">
        <v>0</v>
      </c>
      <c r="AD213" s="35"/>
      <c r="AE213" s="35">
        <v>0</v>
      </c>
      <c r="AF213" s="35"/>
      <c r="AG213" s="35">
        <v>0</v>
      </c>
      <c r="AH213" s="35"/>
      <c r="AI213" s="45">
        <f t="shared" si="51"/>
        <v>0</v>
      </c>
      <c r="AJ213" s="45"/>
      <c r="AK213" s="35">
        <v>0</v>
      </c>
      <c r="AL213" s="35"/>
      <c r="AM213" s="35">
        <v>0</v>
      </c>
      <c r="AN213" s="35"/>
      <c r="AO213" s="35">
        <v>0</v>
      </c>
      <c r="AP213" s="35"/>
      <c r="AQ213" s="35">
        <v>0</v>
      </c>
      <c r="AR213" s="35"/>
      <c r="AS213" s="45">
        <f t="shared" si="52"/>
        <v>0</v>
      </c>
      <c r="AT213" s="45"/>
      <c r="AU213" s="35">
        <v>0</v>
      </c>
      <c r="AV213" s="35"/>
      <c r="AW213" s="35">
        <v>0</v>
      </c>
      <c r="AX213" s="35"/>
      <c r="AY213" s="35">
        <f t="shared" si="53"/>
        <v>0</v>
      </c>
      <c r="AZ213" s="35"/>
      <c r="BA213" s="35" t="s">
        <v>252</v>
      </c>
      <c r="BB213" s="55"/>
      <c r="BC213" s="35" t="s">
        <v>209</v>
      </c>
      <c r="BD213" s="35"/>
      <c r="BE213" s="35">
        <v>0</v>
      </c>
      <c r="BF213" s="35"/>
      <c r="BG213" s="35">
        <v>0</v>
      </c>
      <c r="BH213" s="35"/>
      <c r="BI213" s="35">
        <v>0</v>
      </c>
      <c r="BJ213" s="35"/>
      <c r="BK213" s="35">
        <v>0</v>
      </c>
      <c r="BL213" s="35"/>
      <c r="BM213" s="35">
        <f t="shared" si="54"/>
        <v>0</v>
      </c>
      <c r="BN213" s="54" t="s">
        <v>347</v>
      </c>
    </row>
    <row r="214" spans="1:66" ht="12.75" hidden="1" customHeight="1">
      <c r="A214" s="35" t="s">
        <v>253</v>
      </c>
      <c r="C214" s="35" t="s">
        <v>13</v>
      </c>
      <c r="D214" s="35"/>
      <c r="E214" s="35">
        <f t="shared" si="48"/>
        <v>0</v>
      </c>
      <c r="F214" s="35"/>
      <c r="G214" s="35">
        <v>0</v>
      </c>
      <c r="H214" s="35"/>
      <c r="I214" s="35">
        <v>0</v>
      </c>
      <c r="J214" s="35"/>
      <c r="K214" s="35">
        <f t="shared" si="49"/>
        <v>0</v>
      </c>
      <c r="L214" s="35"/>
      <c r="M214" s="35">
        <v>0</v>
      </c>
      <c r="N214" s="35"/>
      <c r="O214" s="35">
        <v>0</v>
      </c>
      <c r="P214" s="35"/>
      <c r="Q214" s="35">
        <v>0</v>
      </c>
      <c r="R214" s="35"/>
      <c r="S214" s="35">
        <v>0</v>
      </c>
      <c r="T214" s="35"/>
      <c r="U214" s="35">
        <v>0</v>
      </c>
      <c r="V214" s="35"/>
      <c r="W214" s="35">
        <f t="shared" si="50"/>
        <v>0</v>
      </c>
      <c r="X214" s="35"/>
      <c r="Y214" s="35" t="s">
        <v>253</v>
      </c>
      <c r="Z214" s="55"/>
      <c r="AA214" s="35" t="s">
        <v>13</v>
      </c>
      <c r="AB214" s="35"/>
      <c r="AC214" s="35">
        <v>0</v>
      </c>
      <c r="AD214" s="35"/>
      <c r="AE214" s="35">
        <v>0</v>
      </c>
      <c r="AF214" s="35"/>
      <c r="AG214" s="35">
        <v>0</v>
      </c>
      <c r="AH214" s="35"/>
      <c r="AI214" s="45">
        <f t="shared" si="51"/>
        <v>0</v>
      </c>
      <c r="AJ214" s="45"/>
      <c r="AK214" s="35">
        <v>0</v>
      </c>
      <c r="AL214" s="35"/>
      <c r="AM214" s="35">
        <v>0</v>
      </c>
      <c r="AN214" s="35"/>
      <c r="AO214" s="35">
        <v>0</v>
      </c>
      <c r="AP214" s="35"/>
      <c r="AQ214" s="35">
        <v>0</v>
      </c>
      <c r="AR214" s="35"/>
      <c r="AS214" s="45">
        <f t="shared" si="52"/>
        <v>0</v>
      </c>
      <c r="AT214" s="45"/>
      <c r="AU214" s="35">
        <v>0</v>
      </c>
      <c r="AV214" s="35"/>
      <c r="AW214" s="35">
        <v>0</v>
      </c>
      <c r="AX214" s="35"/>
      <c r="AY214" s="35">
        <f t="shared" si="53"/>
        <v>0</v>
      </c>
      <c r="AZ214" s="35"/>
      <c r="BA214" s="35" t="s">
        <v>253</v>
      </c>
      <c r="BB214" s="55"/>
      <c r="BC214" s="35" t="s">
        <v>13</v>
      </c>
      <c r="BD214" s="35"/>
      <c r="BE214" s="35">
        <v>0</v>
      </c>
      <c r="BF214" s="35"/>
      <c r="BG214" s="35">
        <v>0</v>
      </c>
      <c r="BH214" s="35"/>
      <c r="BI214" s="35">
        <v>0</v>
      </c>
      <c r="BJ214" s="35"/>
      <c r="BK214" s="35">
        <v>0</v>
      </c>
      <c r="BL214" s="35"/>
      <c r="BM214" s="35">
        <f t="shared" si="54"/>
        <v>0</v>
      </c>
      <c r="BN214" s="54" t="s">
        <v>347</v>
      </c>
    </row>
    <row r="215" spans="1:66" ht="12.75" hidden="1" customHeight="1">
      <c r="A215" s="35" t="s">
        <v>254</v>
      </c>
      <c r="C215" s="35" t="s">
        <v>89</v>
      </c>
      <c r="D215" s="35"/>
      <c r="E215" s="35">
        <f t="shared" si="48"/>
        <v>0</v>
      </c>
      <c r="F215" s="35"/>
      <c r="G215" s="35">
        <v>0</v>
      </c>
      <c r="H215" s="35"/>
      <c r="I215" s="35">
        <v>0</v>
      </c>
      <c r="J215" s="35"/>
      <c r="K215" s="35">
        <f t="shared" si="49"/>
        <v>0</v>
      </c>
      <c r="L215" s="35"/>
      <c r="M215" s="35">
        <v>0</v>
      </c>
      <c r="N215" s="35"/>
      <c r="O215" s="35">
        <v>0</v>
      </c>
      <c r="P215" s="35"/>
      <c r="Q215" s="35">
        <v>0</v>
      </c>
      <c r="R215" s="35"/>
      <c r="S215" s="35">
        <v>0</v>
      </c>
      <c r="T215" s="35"/>
      <c r="U215" s="35">
        <v>0</v>
      </c>
      <c r="V215" s="35"/>
      <c r="W215" s="35">
        <v>0</v>
      </c>
      <c r="X215" s="35"/>
      <c r="Y215" s="35" t="s">
        <v>254</v>
      </c>
      <c r="Z215" s="55"/>
      <c r="AA215" s="35" t="s">
        <v>89</v>
      </c>
      <c r="AB215" s="35"/>
      <c r="AC215" s="35">
        <v>0</v>
      </c>
      <c r="AD215" s="35"/>
      <c r="AE215" s="35">
        <v>0</v>
      </c>
      <c r="AF215" s="35"/>
      <c r="AG215" s="35">
        <v>0</v>
      </c>
      <c r="AH215" s="35"/>
      <c r="AI215" s="45">
        <f t="shared" si="51"/>
        <v>0</v>
      </c>
      <c r="AJ215" s="45"/>
      <c r="AK215" s="35">
        <v>0</v>
      </c>
      <c r="AL215" s="35"/>
      <c r="AM215" s="35">
        <v>0</v>
      </c>
      <c r="AN215" s="35"/>
      <c r="AO215" s="35">
        <v>0</v>
      </c>
      <c r="AP215" s="35"/>
      <c r="AQ215" s="35">
        <v>0</v>
      </c>
      <c r="AR215" s="35"/>
      <c r="AS215" s="45">
        <f t="shared" si="52"/>
        <v>0</v>
      </c>
      <c r="AT215" s="45"/>
      <c r="AU215" s="35">
        <v>0</v>
      </c>
      <c r="AV215" s="35"/>
      <c r="AW215" s="35">
        <v>0</v>
      </c>
      <c r="AX215" s="35"/>
      <c r="AY215" s="35">
        <f t="shared" si="53"/>
        <v>0</v>
      </c>
      <c r="AZ215" s="35"/>
      <c r="BA215" s="35" t="s">
        <v>254</v>
      </c>
      <c r="BB215" s="55"/>
      <c r="BC215" s="35" t="s">
        <v>89</v>
      </c>
      <c r="BD215" s="35"/>
      <c r="BE215" s="35">
        <v>0</v>
      </c>
      <c r="BF215" s="35"/>
      <c r="BG215" s="35">
        <v>0</v>
      </c>
      <c r="BH215" s="35"/>
      <c r="BI215" s="35">
        <v>0</v>
      </c>
      <c r="BJ215" s="35"/>
      <c r="BK215" s="35">
        <v>0</v>
      </c>
      <c r="BL215" s="35"/>
      <c r="BM215" s="35">
        <f t="shared" si="54"/>
        <v>0</v>
      </c>
      <c r="BN215" s="54" t="s">
        <v>347</v>
      </c>
    </row>
    <row r="216" spans="1:66" ht="12.75" hidden="1" customHeight="1">
      <c r="A216" s="35" t="s">
        <v>159</v>
      </c>
      <c r="C216" s="35" t="s">
        <v>66</v>
      </c>
      <c r="D216" s="35"/>
      <c r="E216" s="35">
        <f t="shared" si="48"/>
        <v>0</v>
      </c>
      <c r="F216" s="35"/>
      <c r="G216" s="35">
        <v>0</v>
      </c>
      <c r="H216" s="35"/>
      <c r="I216" s="35">
        <v>0</v>
      </c>
      <c r="J216" s="35"/>
      <c r="K216" s="35">
        <f t="shared" si="49"/>
        <v>0</v>
      </c>
      <c r="L216" s="35"/>
      <c r="M216" s="35">
        <v>0</v>
      </c>
      <c r="N216" s="35"/>
      <c r="O216" s="35">
        <v>0</v>
      </c>
      <c r="P216" s="35"/>
      <c r="Q216" s="35">
        <v>0</v>
      </c>
      <c r="R216" s="35"/>
      <c r="S216" s="35">
        <v>0</v>
      </c>
      <c r="T216" s="35"/>
      <c r="U216" s="35">
        <v>0</v>
      </c>
      <c r="V216" s="35"/>
      <c r="W216" s="35">
        <f t="shared" ref="W216:W228" si="55">SUM(Q216:U216)</f>
        <v>0</v>
      </c>
      <c r="X216" s="35"/>
      <c r="Y216" s="35" t="s">
        <v>159</v>
      </c>
      <c r="Z216" s="55"/>
      <c r="AA216" s="35" t="s">
        <v>66</v>
      </c>
      <c r="AB216" s="35"/>
      <c r="AC216" s="35">
        <v>0</v>
      </c>
      <c r="AD216" s="35"/>
      <c r="AE216" s="35">
        <v>0</v>
      </c>
      <c r="AF216" s="35"/>
      <c r="AG216" s="35">
        <v>0</v>
      </c>
      <c r="AH216" s="35"/>
      <c r="AI216" s="45">
        <f t="shared" si="51"/>
        <v>0</v>
      </c>
      <c r="AJ216" s="45"/>
      <c r="AK216" s="35">
        <v>0</v>
      </c>
      <c r="AL216" s="35"/>
      <c r="AM216" s="35">
        <v>0</v>
      </c>
      <c r="AN216" s="35"/>
      <c r="AO216" s="35">
        <v>0</v>
      </c>
      <c r="AP216" s="35"/>
      <c r="AQ216" s="35">
        <v>0</v>
      </c>
      <c r="AR216" s="35"/>
      <c r="AS216" s="45">
        <f t="shared" si="52"/>
        <v>0</v>
      </c>
      <c r="AT216" s="45"/>
      <c r="AU216" s="35">
        <v>0</v>
      </c>
      <c r="AV216" s="35"/>
      <c r="AW216" s="35">
        <v>0</v>
      </c>
      <c r="AX216" s="35"/>
      <c r="AY216" s="35">
        <f t="shared" si="53"/>
        <v>0</v>
      </c>
      <c r="AZ216" s="35"/>
      <c r="BA216" s="35" t="s">
        <v>159</v>
      </c>
      <c r="BB216" s="55"/>
      <c r="BC216" s="35" t="s">
        <v>66</v>
      </c>
      <c r="BD216" s="35"/>
      <c r="BE216" s="35">
        <v>0</v>
      </c>
      <c r="BF216" s="35"/>
      <c r="BG216" s="35">
        <v>0</v>
      </c>
      <c r="BH216" s="35"/>
      <c r="BI216" s="35">
        <v>0</v>
      </c>
      <c r="BJ216" s="35"/>
      <c r="BK216" s="35">
        <v>0</v>
      </c>
      <c r="BL216" s="35"/>
      <c r="BM216" s="35">
        <f t="shared" si="54"/>
        <v>0</v>
      </c>
      <c r="BN216" s="54" t="s">
        <v>347</v>
      </c>
    </row>
    <row r="217" spans="1:66" ht="12.75" hidden="1" customHeight="1">
      <c r="A217" s="35" t="s">
        <v>255</v>
      </c>
      <c r="C217" s="35" t="s">
        <v>27</v>
      </c>
      <c r="D217" s="35"/>
      <c r="E217" s="35">
        <f t="shared" si="48"/>
        <v>0</v>
      </c>
      <c r="F217" s="35"/>
      <c r="G217" s="35">
        <v>0</v>
      </c>
      <c r="H217" s="35"/>
      <c r="I217" s="35">
        <v>0</v>
      </c>
      <c r="J217" s="35"/>
      <c r="K217" s="35">
        <f t="shared" si="49"/>
        <v>0</v>
      </c>
      <c r="L217" s="35"/>
      <c r="M217" s="35">
        <v>0</v>
      </c>
      <c r="N217" s="35"/>
      <c r="O217" s="35">
        <v>0</v>
      </c>
      <c r="P217" s="35"/>
      <c r="Q217" s="35">
        <v>0</v>
      </c>
      <c r="R217" s="35"/>
      <c r="S217" s="35">
        <v>0</v>
      </c>
      <c r="T217" s="35"/>
      <c r="U217" s="35">
        <v>0</v>
      </c>
      <c r="V217" s="35"/>
      <c r="W217" s="35">
        <f t="shared" si="55"/>
        <v>0</v>
      </c>
      <c r="X217" s="35"/>
      <c r="Y217" s="35" t="s">
        <v>255</v>
      </c>
      <c r="Z217" s="55"/>
      <c r="AA217" s="35" t="s">
        <v>27</v>
      </c>
      <c r="AB217" s="35"/>
      <c r="AC217" s="35">
        <v>0</v>
      </c>
      <c r="AD217" s="35"/>
      <c r="AE217" s="35">
        <v>0</v>
      </c>
      <c r="AF217" s="35"/>
      <c r="AG217" s="35">
        <v>0</v>
      </c>
      <c r="AH217" s="35"/>
      <c r="AI217" s="45">
        <f t="shared" si="51"/>
        <v>0</v>
      </c>
      <c r="AJ217" s="45"/>
      <c r="AK217" s="35">
        <v>0</v>
      </c>
      <c r="AL217" s="35"/>
      <c r="AM217" s="35">
        <v>0</v>
      </c>
      <c r="AN217" s="35"/>
      <c r="AO217" s="35">
        <v>0</v>
      </c>
      <c r="AP217" s="35"/>
      <c r="AQ217" s="35">
        <v>0</v>
      </c>
      <c r="AR217" s="35"/>
      <c r="AS217" s="45">
        <f t="shared" si="52"/>
        <v>0</v>
      </c>
      <c r="AT217" s="45"/>
      <c r="AU217" s="35">
        <v>0</v>
      </c>
      <c r="AV217" s="35"/>
      <c r="AW217" s="35">
        <v>0</v>
      </c>
      <c r="AX217" s="35"/>
      <c r="AY217" s="35">
        <f t="shared" si="53"/>
        <v>0</v>
      </c>
      <c r="AZ217" s="35"/>
      <c r="BA217" s="35" t="s">
        <v>255</v>
      </c>
      <c r="BB217" s="55"/>
      <c r="BC217" s="35" t="s">
        <v>27</v>
      </c>
      <c r="BD217" s="35"/>
      <c r="BE217" s="35">
        <v>0</v>
      </c>
      <c r="BF217" s="35"/>
      <c r="BG217" s="35">
        <v>0</v>
      </c>
      <c r="BH217" s="35"/>
      <c r="BI217" s="35">
        <v>0</v>
      </c>
      <c r="BJ217" s="35"/>
      <c r="BK217" s="35">
        <v>0</v>
      </c>
      <c r="BL217" s="35"/>
      <c r="BM217" s="35">
        <f t="shared" si="54"/>
        <v>0</v>
      </c>
      <c r="BN217" s="54" t="s">
        <v>347</v>
      </c>
    </row>
    <row r="218" spans="1:66" ht="12.75" hidden="1" customHeight="1">
      <c r="A218" s="35" t="s">
        <v>256</v>
      </c>
      <c r="C218" s="35" t="s">
        <v>43</v>
      </c>
      <c r="D218" s="35"/>
      <c r="E218" s="35">
        <f t="shared" si="48"/>
        <v>0</v>
      </c>
      <c r="F218" s="35"/>
      <c r="G218" s="35">
        <v>0</v>
      </c>
      <c r="H218" s="35"/>
      <c r="I218" s="35">
        <v>0</v>
      </c>
      <c r="J218" s="35"/>
      <c r="K218" s="35">
        <f t="shared" si="49"/>
        <v>0</v>
      </c>
      <c r="L218" s="35"/>
      <c r="M218" s="35">
        <v>0</v>
      </c>
      <c r="N218" s="35"/>
      <c r="O218" s="35">
        <v>0</v>
      </c>
      <c r="P218" s="35"/>
      <c r="Q218" s="35">
        <v>0</v>
      </c>
      <c r="R218" s="35"/>
      <c r="S218" s="35">
        <v>0</v>
      </c>
      <c r="T218" s="35"/>
      <c r="U218" s="35">
        <v>0</v>
      </c>
      <c r="V218" s="35"/>
      <c r="W218" s="35">
        <f t="shared" si="55"/>
        <v>0</v>
      </c>
      <c r="X218" s="35"/>
      <c r="Y218" s="35" t="s">
        <v>256</v>
      </c>
      <c r="Z218" s="55"/>
      <c r="AA218" s="35" t="s">
        <v>43</v>
      </c>
      <c r="AB218" s="35"/>
      <c r="AC218" s="35">
        <v>0</v>
      </c>
      <c r="AD218" s="35"/>
      <c r="AE218" s="35">
        <v>0</v>
      </c>
      <c r="AF218" s="35"/>
      <c r="AG218" s="35">
        <v>0</v>
      </c>
      <c r="AH218" s="35"/>
      <c r="AI218" s="45">
        <f t="shared" si="51"/>
        <v>0</v>
      </c>
      <c r="AJ218" s="45"/>
      <c r="AK218" s="35">
        <v>0</v>
      </c>
      <c r="AL218" s="35"/>
      <c r="AM218" s="35">
        <v>0</v>
      </c>
      <c r="AN218" s="35"/>
      <c r="AO218" s="35">
        <v>0</v>
      </c>
      <c r="AP218" s="35"/>
      <c r="AQ218" s="35">
        <v>0</v>
      </c>
      <c r="AR218" s="35"/>
      <c r="AS218" s="45">
        <f t="shared" si="52"/>
        <v>0</v>
      </c>
      <c r="AT218" s="45"/>
      <c r="AU218" s="35">
        <v>0</v>
      </c>
      <c r="AV218" s="35"/>
      <c r="AW218" s="35">
        <v>0</v>
      </c>
      <c r="AX218" s="35"/>
      <c r="AY218" s="35">
        <f t="shared" si="53"/>
        <v>0</v>
      </c>
      <c r="AZ218" s="35"/>
      <c r="BA218" s="35" t="s">
        <v>256</v>
      </c>
      <c r="BB218" s="55"/>
      <c r="BC218" s="35" t="s">
        <v>43</v>
      </c>
      <c r="BD218" s="35"/>
      <c r="BE218" s="35">
        <v>0</v>
      </c>
      <c r="BF218" s="35"/>
      <c r="BG218" s="35">
        <v>0</v>
      </c>
      <c r="BH218" s="35"/>
      <c r="BI218" s="35">
        <v>0</v>
      </c>
      <c r="BJ218" s="35"/>
      <c r="BK218" s="35">
        <v>0</v>
      </c>
      <c r="BL218" s="35"/>
      <c r="BM218" s="35">
        <f t="shared" si="54"/>
        <v>0</v>
      </c>
      <c r="BN218" s="54" t="s">
        <v>347</v>
      </c>
    </row>
    <row r="219" spans="1:66" ht="12.75" hidden="1" customHeight="1">
      <c r="A219" s="35" t="s">
        <v>257</v>
      </c>
      <c r="C219" s="35" t="s">
        <v>258</v>
      </c>
      <c r="D219" s="35"/>
      <c r="E219" s="35">
        <f t="shared" si="48"/>
        <v>0</v>
      </c>
      <c r="F219" s="35"/>
      <c r="G219" s="35">
        <v>0</v>
      </c>
      <c r="H219" s="35"/>
      <c r="I219" s="35">
        <v>0</v>
      </c>
      <c r="J219" s="35"/>
      <c r="K219" s="35">
        <f t="shared" si="49"/>
        <v>0</v>
      </c>
      <c r="L219" s="35"/>
      <c r="M219" s="35">
        <v>0</v>
      </c>
      <c r="N219" s="35"/>
      <c r="O219" s="35">
        <v>0</v>
      </c>
      <c r="P219" s="35"/>
      <c r="Q219" s="35">
        <v>0</v>
      </c>
      <c r="R219" s="35"/>
      <c r="S219" s="35">
        <v>0</v>
      </c>
      <c r="T219" s="35"/>
      <c r="U219" s="35">
        <v>0</v>
      </c>
      <c r="V219" s="35"/>
      <c r="W219" s="35">
        <f t="shared" si="55"/>
        <v>0</v>
      </c>
      <c r="X219" s="35"/>
      <c r="Y219" s="35" t="s">
        <v>257</v>
      </c>
      <c r="Z219" s="55"/>
      <c r="AA219" s="35" t="s">
        <v>258</v>
      </c>
      <c r="AB219" s="35"/>
      <c r="AC219" s="35">
        <v>0</v>
      </c>
      <c r="AD219" s="35"/>
      <c r="AE219" s="35">
        <v>0</v>
      </c>
      <c r="AF219" s="35"/>
      <c r="AG219" s="35">
        <v>0</v>
      </c>
      <c r="AH219" s="35"/>
      <c r="AI219" s="45">
        <f t="shared" si="51"/>
        <v>0</v>
      </c>
      <c r="AJ219" s="45"/>
      <c r="AK219" s="35">
        <v>0</v>
      </c>
      <c r="AL219" s="35"/>
      <c r="AM219" s="35">
        <v>0</v>
      </c>
      <c r="AN219" s="35"/>
      <c r="AO219" s="35">
        <v>0</v>
      </c>
      <c r="AP219" s="35"/>
      <c r="AQ219" s="35">
        <v>0</v>
      </c>
      <c r="AR219" s="35"/>
      <c r="AS219" s="45">
        <f t="shared" si="52"/>
        <v>0</v>
      </c>
      <c r="AT219" s="45"/>
      <c r="AU219" s="35">
        <v>0</v>
      </c>
      <c r="AV219" s="35"/>
      <c r="AW219" s="35">
        <v>0</v>
      </c>
      <c r="AX219" s="35"/>
      <c r="AY219" s="35">
        <f t="shared" si="53"/>
        <v>0</v>
      </c>
      <c r="AZ219" s="35"/>
      <c r="BA219" s="35" t="s">
        <v>257</v>
      </c>
      <c r="BB219" s="55"/>
      <c r="BC219" s="35" t="s">
        <v>258</v>
      </c>
      <c r="BD219" s="35"/>
      <c r="BE219" s="35">
        <v>0</v>
      </c>
      <c r="BF219" s="35"/>
      <c r="BG219" s="35">
        <v>0</v>
      </c>
      <c r="BH219" s="35"/>
      <c r="BI219" s="35">
        <v>0</v>
      </c>
      <c r="BJ219" s="35"/>
      <c r="BK219" s="35">
        <v>0</v>
      </c>
      <c r="BL219" s="35"/>
      <c r="BM219" s="35">
        <f t="shared" si="54"/>
        <v>0</v>
      </c>
      <c r="BN219" s="54" t="s">
        <v>347</v>
      </c>
    </row>
    <row r="220" spans="1:66" ht="12.75" hidden="1" customHeight="1">
      <c r="A220" s="35" t="s">
        <v>259</v>
      </c>
      <c r="C220" s="35" t="s">
        <v>369</v>
      </c>
      <c r="D220" s="35"/>
      <c r="E220" s="35">
        <f t="shared" si="48"/>
        <v>0</v>
      </c>
      <c r="F220" s="35"/>
      <c r="G220" s="35">
        <v>0</v>
      </c>
      <c r="H220" s="35"/>
      <c r="I220" s="35">
        <v>0</v>
      </c>
      <c r="J220" s="35"/>
      <c r="K220" s="35">
        <f t="shared" si="49"/>
        <v>0</v>
      </c>
      <c r="L220" s="35"/>
      <c r="M220" s="35">
        <v>0</v>
      </c>
      <c r="N220" s="35"/>
      <c r="O220" s="35">
        <v>0</v>
      </c>
      <c r="P220" s="35"/>
      <c r="Q220" s="35">
        <v>0</v>
      </c>
      <c r="R220" s="35"/>
      <c r="S220" s="35">
        <v>0</v>
      </c>
      <c r="T220" s="35"/>
      <c r="U220" s="35">
        <v>0</v>
      </c>
      <c r="V220" s="35"/>
      <c r="W220" s="35">
        <f t="shared" si="55"/>
        <v>0</v>
      </c>
      <c r="X220" s="35"/>
      <c r="Y220" s="35" t="s">
        <v>259</v>
      </c>
      <c r="Z220" s="55"/>
      <c r="AA220" s="35" t="s">
        <v>369</v>
      </c>
      <c r="AB220" s="35"/>
      <c r="AC220" s="35">
        <v>0</v>
      </c>
      <c r="AD220" s="35"/>
      <c r="AE220" s="35">
        <v>0</v>
      </c>
      <c r="AF220" s="35"/>
      <c r="AG220" s="35">
        <v>0</v>
      </c>
      <c r="AH220" s="35"/>
      <c r="AI220" s="45">
        <f t="shared" si="51"/>
        <v>0</v>
      </c>
      <c r="AJ220" s="45"/>
      <c r="AK220" s="35">
        <v>0</v>
      </c>
      <c r="AL220" s="35"/>
      <c r="AM220" s="35">
        <v>0</v>
      </c>
      <c r="AN220" s="35"/>
      <c r="AO220" s="35">
        <v>0</v>
      </c>
      <c r="AP220" s="35"/>
      <c r="AQ220" s="35">
        <v>0</v>
      </c>
      <c r="AR220" s="35"/>
      <c r="AS220" s="45">
        <f t="shared" si="52"/>
        <v>0</v>
      </c>
      <c r="AT220" s="45"/>
      <c r="AU220" s="35">
        <v>0</v>
      </c>
      <c r="AV220" s="35"/>
      <c r="AW220" s="35">
        <v>0</v>
      </c>
      <c r="AX220" s="35"/>
      <c r="AY220" s="35">
        <f t="shared" si="53"/>
        <v>0</v>
      </c>
      <c r="AZ220" s="35"/>
      <c r="BA220" s="35" t="s">
        <v>259</v>
      </c>
      <c r="BB220" s="55"/>
      <c r="BC220" s="35" t="s">
        <v>369</v>
      </c>
      <c r="BD220" s="35"/>
      <c r="BE220" s="35">
        <v>0</v>
      </c>
      <c r="BF220" s="35"/>
      <c r="BG220" s="35">
        <v>0</v>
      </c>
      <c r="BH220" s="35"/>
      <c r="BI220" s="35">
        <v>0</v>
      </c>
      <c r="BJ220" s="35"/>
      <c r="BK220" s="35">
        <v>0</v>
      </c>
      <c r="BL220" s="35"/>
      <c r="BM220" s="35">
        <f t="shared" si="54"/>
        <v>0</v>
      </c>
      <c r="BN220" s="54" t="s">
        <v>347</v>
      </c>
    </row>
    <row r="221" spans="1:66" ht="12.75" hidden="1" customHeight="1">
      <c r="A221" s="35" t="s">
        <v>261</v>
      </c>
      <c r="C221" s="35" t="s">
        <v>66</v>
      </c>
      <c r="D221" s="35"/>
      <c r="E221" s="35">
        <f t="shared" si="48"/>
        <v>0</v>
      </c>
      <c r="F221" s="35"/>
      <c r="G221" s="35">
        <v>0</v>
      </c>
      <c r="H221" s="35"/>
      <c r="I221" s="35">
        <v>0</v>
      </c>
      <c r="J221" s="35"/>
      <c r="K221" s="35">
        <f t="shared" si="49"/>
        <v>0</v>
      </c>
      <c r="L221" s="35"/>
      <c r="M221" s="35">
        <v>0</v>
      </c>
      <c r="N221" s="35"/>
      <c r="O221" s="35">
        <v>0</v>
      </c>
      <c r="P221" s="35"/>
      <c r="Q221" s="35">
        <v>0</v>
      </c>
      <c r="R221" s="35"/>
      <c r="S221" s="35">
        <v>0</v>
      </c>
      <c r="T221" s="35"/>
      <c r="U221" s="35">
        <v>0</v>
      </c>
      <c r="V221" s="35"/>
      <c r="W221" s="35">
        <f t="shared" si="55"/>
        <v>0</v>
      </c>
      <c r="X221" s="35"/>
      <c r="Y221" s="35" t="s">
        <v>261</v>
      </c>
      <c r="Z221" s="55"/>
      <c r="AA221" s="35" t="s">
        <v>66</v>
      </c>
      <c r="AB221" s="35"/>
      <c r="AC221" s="35">
        <v>0</v>
      </c>
      <c r="AD221" s="35"/>
      <c r="AE221" s="35">
        <v>0</v>
      </c>
      <c r="AF221" s="35"/>
      <c r="AG221" s="35">
        <v>0</v>
      </c>
      <c r="AH221" s="35"/>
      <c r="AI221" s="45">
        <f t="shared" si="51"/>
        <v>0</v>
      </c>
      <c r="AJ221" s="45"/>
      <c r="AK221" s="35">
        <v>0</v>
      </c>
      <c r="AL221" s="35"/>
      <c r="AM221" s="35">
        <v>0</v>
      </c>
      <c r="AN221" s="35"/>
      <c r="AO221" s="35">
        <v>0</v>
      </c>
      <c r="AP221" s="35"/>
      <c r="AQ221" s="35">
        <v>0</v>
      </c>
      <c r="AR221" s="35"/>
      <c r="AS221" s="45">
        <f t="shared" si="52"/>
        <v>0</v>
      </c>
      <c r="AT221" s="45"/>
      <c r="AU221" s="35">
        <v>0</v>
      </c>
      <c r="AV221" s="35"/>
      <c r="AW221" s="35">
        <v>0</v>
      </c>
      <c r="AX221" s="35"/>
      <c r="AY221" s="35">
        <f t="shared" si="53"/>
        <v>0</v>
      </c>
      <c r="AZ221" s="35"/>
      <c r="BA221" s="35" t="s">
        <v>261</v>
      </c>
      <c r="BB221" s="55"/>
      <c r="BC221" s="35" t="s">
        <v>66</v>
      </c>
      <c r="BD221" s="35"/>
      <c r="BE221" s="35">
        <v>0</v>
      </c>
      <c r="BF221" s="35"/>
      <c r="BG221" s="35">
        <v>0</v>
      </c>
      <c r="BH221" s="35"/>
      <c r="BI221" s="35">
        <v>0</v>
      </c>
      <c r="BJ221" s="35"/>
      <c r="BK221" s="35">
        <v>0</v>
      </c>
      <c r="BL221" s="35"/>
      <c r="BM221" s="35">
        <f t="shared" si="54"/>
        <v>0</v>
      </c>
      <c r="BN221" s="54" t="s">
        <v>347</v>
      </c>
    </row>
    <row r="222" spans="1:66" ht="12.75" hidden="1" customHeight="1">
      <c r="A222" s="35" t="s">
        <v>262</v>
      </c>
      <c r="C222" s="35" t="s">
        <v>132</v>
      </c>
      <c r="D222" s="35"/>
      <c r="E222" s="35">
        <f t="shared" si="48"/>
        <v>0</v>
      </c>
      <c r="F222" s="35"/>
      <c r="G222" s="35">
        <v>0</v>
      </c>
      <c r="H222" s="35"/>
      <c r="I222" s="35">
        <v>0</v>
      </c>
      <c r="J222" s="35"/>
      <c r="K222" s="35">
        <f t="shared" si="49"/>
        <v>0</v>
      </c>
      <c r="L222" s="35"/>
      <c r="M222" s="35">
        <v>0</v>
      </c>
      <c r="N222" s="35"/>
      <c r="O222" s="35">
        <v>0</v>
      </c>
      <c r="P222" s="35"/>
      <c r="Q222" s="35">
        <v>0</v>
      </c>
      <c r="R222" s="35"/>
      <c r="S222" s="35">
        <v>0</v>
      </c>
      <c r="T222" s="35"/>
      <c r="U222" s="35">
        <v>0</v>
      </c>
      <c r="V222" s="35"/>
      <c r="W222" s="35">
        <f t="shared" si="55"/>
        <v>0</v>
      </c>
      <c r="X222" s="35"/>
      <c r="Y222" s="35" t="s">
        <v>262</v>
      </c>
      <c r="Z222" s="55"/>
      <c r="AA222" s="35" t="s">
        <v>132</v>
      </c>
      <c r="AB222" s="35"/>
      <c r="AC222" s="35">
        <v>0</v>
      </c>
      <c r="AD222" s="35"/>
      <c r="AE222" s="35">
        <v>0</v>
      </c>
      <c r="AF222" s="35"/>
      <c r="AG222" s="35">
        <v>0</v>
      </c>
      <c r="AH222" s="35"/>
      <c r="AI222" s="45">
        <f t="shared" si="51"/>
        <v>0</v>
      </c>
      <c r="AJ222" s="45"/>
      <c r="AK222" s="35">
        <v>0</v>
      </c>
      <c r="AL222" s="35"/>
      <c r="AM222" s="35">
        <v>0</v>
      </c>
      <c r="AN222" s="35"/>
      <c r="AO222" s="35">
        <v>0</v>
      </c>
      <c r="AP222" s="35"/>
      <c r="AQ222" s="35">
        <v>0</v>
      </c>
      <c r="AR222" s="35"/>
      <c r="AS222" s="45">
        <f t="shared" si="52"/>
        <v>0</v>
      </c>
      <c r="AT222" s="45"/>
      <c r="AU222" s="35">
        <v>0</v>
      </c>
      <c r="AV222" s="35"/>
      <c r="AW222" s="35">
        <v>0</v>
      </c>
      <c r="AX222" s="35"/>
      <c r="AY222" s="35">
        <f t="shared" si="53"/>
        <v>0</v>
      </c>
      <c r="AZ222" s="35"/>
      <c r="BA222" s="35" t="s">
        <v>262</v>
      </c>
      <c r="BB222" s="55"/>
      <c r="BC222" s="35" t="s">
        <v>132</v>
      </c>
      <c r="BD222" s="35"/>
      <c r="BE222" s="35">
        <v>0</v>
      </c>
      <c r="BF222" s="35"/>
      <c r="BG222" s="35">
        <v>0</v>
      </c>
      <c r="BH222" s="35"/>
      <c r="BI222" s="35">
        <v>0</v>
      </c>
      <c r="BJ222" s="35"/>
      <c r="BK222" s="35">
        <v>0</v>
      </c>
      <c r="BL222" s="35"/>
      <c r="BM222" s="35">
        <f t="shared" si="54"/>
        <v>0</v>
      </c>
      <c r="BN222" s="54" t="s">
        <v>347</v>
      </c>
    </row>
    <row r="223" spans="1:66" ht="12.75" hidden="1" customHeight="1">
      <c r="A223" s="35" t="s">
        <v>263</v>
      </c>
      <c r="C223" s="35" t="s">
        <v>53</v>
      </c>
      <c r="D223" s="35"/>
      <c r="E223" s="35">
        <f t="shared" si="48"/>
        <v>0</v>
      </c>
      <c r="F223" s="35"/>
      <c r="G223" s="35">
        <v>0</v>
      </c>
      <c r="H223" s="35"/>
      <c r="I223" s="35">
        <v>0</v>
      </c>
      <c r="J223" s="35"/>
      <c r="K223" s="35">
        <f t="shared" si="49"/>
        <v>0</v>
      </c>
      <c r="L223" s="35"/>
      <c r="M223" s="35">
        <v>0</v>
      </c>
      <c r="N223" s="35"/>
      <c r="O223" s="35">
        <v>0</v>
      </c>
      <c r="P223" s="35"/>
      <c r="Q223" s="35">
        <v>0</v>
      </c>
      <c r="R223" s="35"/>
      <c r="S223" s="35">
        <v>0</v>
      </c>
      <c r="T223" s="35"/>
      <c r="U223" s="35">
        <v>0</v>
      </c>
      <c r="V223" s="35"/>
      <c r="W223" s="35">
        <f t="shared" si="55"/>
        <v>0</v>
      </c>
      <c r="X223" s="35"/>
      <c r="Y223" s="35" t="s">
        <v>263</v>
      </c>
      <c r="Z223" s="55"/>
      <c r="AA223" s="35" t="s">
        <v>53</v>
      </c>
      <c r="AB223" s="35"/>
      <c r="AC223" s="35">
        <v>0</v>
      </c>
      <c r="AD223" s="35"/>
      <c r="AE223" s="35">
        <v>0</v>
      </c>
      <c r="AF223" s="35"/>
      <c r="AG223" s="35">
        <v>0</v>
      </c>
      <c r="AH223" s="35"/>
      <c r="AI223" s="45">
        <f t="shared" si="51"/>
        <v>0</v>
      </c>
      <c r="AJ223" s="45"/>
      <c r="AK223" s="35">
        <v>0</v>
      </c>
      <c r="AL223" s="35"/>
      <c r="AM223" s="35">
        <v>0</v>
      </c>
      <c r="AN223" s="35"/>
      <c r="AO223" s="35">
        <v>0</v>
      </c>
      <c r="AP223" s="35"/>
      <c r="AQ223" s="35">
        <v>0</v>
      </c>
      <c r="AR223" s="35"/>
      <c r="AS223" s="45">
        <f t="shared" si="52"/>
        <v>0</v>
      </c>
      <c r="AT223" s="45"/>
      <c r="AU223" s="35">
        <v>0</v>
      </c>
      <c r="AV223" s="35"/>
      <c r="AW223" s="35">
        <v>0</v>
      </c>
      <c r="AX223" s="35"/>
      <c r="AY223" s="35">
        <f t="shared" si="53"/>
        <v>0</v>
      </c>
      <c r="AZ223" s="35"/>
      <c r="BA223" s="35" t="s">
        <v>263</v>
      </c>
      <c r="BB223" s="55"/>
      <c r="BC223" s="35" t="s">
        <v>53</v>
      </c>
      <c r="BD223" s="35"/>
      <c r="BE223" s="35">
        <v>0</v>
      </c>
      <c r="BF223" s="35"/>
      <c r="BG223" s="35">
        <v>0</v>
      </c>
      <c r="BH223" s="35"/>
      <c r="BI223" s="35">
        <v>0</v>
      </c>
      <c r="BJ223" s="35"/>
      <c r="BK223" s="35">
        <v>0</v>
      </c>
      <c r="BL223" s="35"/>
      <c r="BM223" s="35">
        <f t="shared" si="54"/>
        <v>0</v>
      </c>
      <c r="BN223" s="54" t="s">
        <v>347</v>
      </c>
    </row>
    <row r="224" spans="1:66" ht="12.75" customHeight="1">
      <c r="A224" s="55" t="s">
        <v>263</v>
      </c>
      <c r="C224" s="55" t="s">
        <v>53</v>
      </c>
      <c r="E224" s="35">
        <f t="shared" si="48"/>
        <v>9821496</v>
      </c>
      <c r="F224" s="35"/>
      <c r="G224" s="35">
        <v>24049208</v>
      </c>
      <c r="H224" s="35"/>
      <c r="I224" s="35">
        <v>33870704</v>
      </c>
      <c r="J224" s="35"/>
      <c r="K224" s="35">
        <f t="shared" si="49"/>
        <v>5372718</v>
      </c>
      <c r="L224" s="35"/>
      <c r="M224" s="35">
        <v>8589384</v>
      </c>
      <c r="N224" s="35"/>
      <c r="O224" s="35">
        <v>13962102</v>
      </c>
      <c r="P224" s="35"/>
      <c r="Q224" s="35">
        <v>12363325</v>
      </c>
      <c r="R224" s="35"/>
      <c r="S224" s="35">
        <v>0</v>
      </c>
      <c r="T224" s="35"/>
      <c r="U224" s="35">
        <v>7545277</v>
      </c>
      <c r="V224" s="35"/>
      <c r="W224" s="35">
        <f t="shared" si="55"/>
        <v>19908602</v>
      </c>
      <c r="Y224" s="55" t="s">
        <v>263</v>
      </c>
      <c r="Z224" s="55"/>
      <c r="AA224" s="55" t="s">
        <v>53</v>
      </c>
      <c r="AC224" s="35">
        <v>29851125</v>
      </c>
      <c r="AD224" s="35"/>
      <c r="AE224" s="35">
        <f>27862555-1417001</f>
        <v>26445554</v>
      </c>
      <c r="AF224" s="35"/>
      <c r="AG224" s="35">
        <v>1417001</v>
      </c>
      <c r="AH224" s="35"/>
      <c r="AI224" s="45">
        <f t="shared" si="51"/>
        <v>1988570</v>
      </c>
      <c r="AJ224" s="45"/>
      <c r="AK224" s="35">
        <v>-528923</v>
      </c>
      <c r="AL224" s="35"/>
      <c r="AM224" s="35">
        <v>0</v>
      </c>
      <c r="AN224" s="35"/>
      <c r="AO224" s="35">
        <v>0</v>
      </c>
      <c r="AP224" s="35"/>
      <c r="AQ224" s="35">
        <v>0</v>
      </c>
      <c r="AR224" s="35"/>
      <c r="AS224" s="45">
        <f t="shared" si="52"/>
        <v>1459647</v>
      </c>
      <c r="AT224" s="45"/>
      <c r="AU224" s="35">
        <v>0</v>
      </c>
      <c r="AV224" s="35"/>
      <c r="AW224" s="35">
        <v>0</v>
      </c>
      <c r="AX224" s="35"/>
      <c r="AY224" s="35">
        <f t="shared" si="53"/>
        <v>4448778</v>
      </c>
      <c r="AZ224" s="53"/>
      <c r="BA224" s="55" t="s">
        <v>263</v>
      </c>
      <c r="BB224" s="55"/>
      <c r="BC224" s="55" t="s">
        <v>53</v>
      </c>
      <c r="BE224" s="35">
        <f>310000+30000</f>
        <v>340000</v>
      </c>
      <c r="BF224" s="35"/>
      <c r="BG224" s="35">
        <f>7666250+515000</f>
        <v>8181250</v>
      </c>
      <c r="BH224" s="35"/>
      <c r="BI224" s="35">
        <v>0</v>
      </c>
      <c r="BJ224" s="35"/>
      <c r="BK224" s="35">
        <f>613134+96332</f>
        <v>709466</v>
      </c>
      <c r="BL224" s="35"/>
      <c r="BM224" s="35">
        <f t="shared" si="54"/>
        <v>9230716</v>
      </c>
      <c r="BN224" s="35"/>
    </row>
    <row r="225" spans="1:67" ht="12.75" customHeight="1">
      <c r="A225" s="35" t="s">
        <v>264</v>
      </c>
      <c r="B225" s="55"/>
      <c r="C225" s="35" t="s">
        <v>239</v>
      </c>
      <c r="D225" s="35"/>
      <c r="E225" s="35">
        <f t="shared" si="48"/>
        <v>15284598</v>
      </c>
      <c r="F225" s="35"/>
      <c r="G225" s="35">
        <v>9131804</v>
      </c>
      <c r="H225" s="35"/>
      <c r="I225" s="35">
        <v>24416402</v>
      </c>
      <c r="J225" s="35"/>
      <c r="K225" s="35">
        <f t="shared" si="49"/>
        <v>1623943</v>
      </c>
      <c r="L225" s="35"/>
      <c r="M225" s="35">
        <v>208503</v>
      </c>
      <c r="N225" s="35"/>
      <c r="O225" s="35">
        <v>1832446</v>
      </c>
      <c r="P225" s="35"/>
      <c r="Q225" s="35">
        <v>9016170</v>
      </c>
      <c r="R225" s="35"/>
      <c r="S225" s="35">
        <v>0</v>
      </c>
      <c r="T225" s="35"/>
      <c r="U225" s="35">
        <v>13567786</v>
      </c>
      <c r="V225" s="35"/>
      <c r="W225" s="35">
        <f t="shared" si="55"/>
        <v>22583956</v>
      </c>
      <c r="X225" s="35"/>
      <c r="Y225" s="35" t="s">
        <v>264</v>
      </c>
      <c r="Z225" s="55"/>
      <c r="AA225" s="35" t="s">
        <v>239</v>
      </c>
      <c r="AB225" s="35"/>
      <c r="AC225" s="35">
        <v>14694485</v>
      </c>
      <c r="AD225" s="35"/>
      <c r="AE225" s="35">
        <f>13411346-273898</f>
        <v>13137448</v>
      </c>
      <c r="AF225" s="35"/>
      <c r="AG225" s="35">
        <v>273898</v>
      </c>
      <c r="AH225" s="35"/>
      <c r="AI225" s="45">
        <f t="shared" si="51"/>
        <v>1283139</v>
      </c>
      <c r="AJ225" s="45"/>
      <c r="AK225" s="35">
        <v>60268</v>
      </c>
      <c r="AL225" s="35"/>
      <c r="AM225" s="35">
        <v>550000</v>
      </c>
      <c r="AN225" s="35"/>
      <c r="AO225" s="35">
        <v>33190</v>
      </c>
      <c r="AP225" s="35"/>
      <c r="AQ225" s="35">
        <v>0</v>
      </c>
      <c r="AR225" s="35"/>
      <c r="AS225" s="45">
        <f t="shared" si="52"/>
        <v>1860217</v>
      </c>
      <c r="AT225" s="45"/>
      <c r="AU225" s="35">
        <v>0</v>
      </c>
      <c r="AV225" s="35"/>
      <c r="AW225" s="35">
        <v>0</v>
      </c>
      <c r="AX225" s="35"/>
      <c r="AY225" s="35">
        <f t="shared" si="53"/>
        <v>13660655</v>
      </c>
      <c r="AZ225" s="35"/>
      <c r="BA225" s="35" t="s">
        <v>264</v>
      </c>
      <c r="BB225" s="55"/>
      <c r="BC225" s="35" t="s">
        <v>239</v>
      </c>
      <c r="BD225" s="35"/>
      <c r="BE225" s="35">
        <v>0</v>
      </c>
      <c r="BF225" s="35"/>
      <c r="BG225" s="35">
        <v>0</v>
      </c>
      <c r="BH225" s="35"/>
      <c r="BI225" s="35">
        <v>0</v>
      </c>
      <c r="BJ225" s="35"/>
      <c r="BK225" s="35">
        <f>115634+92869+24264</f>
        <v>232767</v>
      </c>
      <c r="BL225" s="35"/>
      <c r="BM225" s="35">
        <f t="shared" si="54"/>
        <v>232767</v>
      </c>
      <c r="BN225" s="54" t="s">
        <v>347</v>
      </c>
    </row>
    <row r="226" spans="1:67" ht="12.75" hidden="1" customHeight="1">
      <c r="A226" s="35" t="s">
        <v>111</v>
      </c>
      <c r="C226" s="44" t="s">
        <v>80</v>
      </c>
      <c r="D226" s="44"/>
      <c r="E226" s="35">
        <f t="shared" si="48"/>
        <v>0</v>
      </c>
      <c r="F226" s="35"/>
      <c r="G226" s="35">
        <v>0</v>
      </c>
      <c r="H226" s="35"/>
      <c r="I226" s="35">
        <v>0</v>
      </c>
      <c r="J226" s="35"/>
      <c r="K226" s="35">
        <f t="shared" si="49"/>
        <v>0</v>
      </c>
      <c r="L226" s="35"/>
      <c r="M226" s="35">
        <v>0</v>
      </c>
      <c r="N226" s="35"/>
      <c r="O226" s="35">
        <v>0</v>
      </c>
      <c r="P226" s="35"/>
      <c r="Q226" s="35">
        <v>0</v>
      </c>
      <c r="R226" s="35"/>
      <c r="S226" s="35">
        <v>0</v>
      </c>
      <c r="T226" s="35"/>
      <c r="U226" s="35">
        <v>0</v>
      </c>
      <c r="V226" s="35"/>
      <c r="W226" s="35">
        <f t="shared" si="55"/>
        <v>0</v>
      </c>
      <c r="X226" s="35"/>
      <c r="Y226" s="35" t="s">
        <v>111</v>
      </c>
      <c r="Z226" s="55"/>
      <c r="AA226" s="44" t="s">
        <v>80</v>
      </c>
      <c r="AB226" s="44"/>
      <c r="AC226" s="35">
        <v>0</v>
      </c>
      <c r="AD226" s="35"/>
      <c r="AE226" s="35">
        <v>0</v>
      </c>
      <c r="AF226" s="35"/>
      <c r="AG226" s="35">
        <v>0</v>
      </c>
      <c r="AH226" s="35"/>
      <c r="AI226" s="45">
        <f t="shared" si="51"/>
        <v>0</v>
      </c>
      <c r="AJ226" s="45"/>
      <c r="AK226" s="35">
        <v>0</v>
      </c>
      <c r="AL226" s="35"/>
      <c r="AM226" s="35">
        <v>0</v>
      </c>
      <c r="AN226" s="35"/>
      <c r="AO226" s="35">
        <v>0</v>
      </c>
      <c r="AP226" s="35"/>
      <c r="AQ226" s="35">
        <v>0</v>
      </c>
      <c r="AR226" s="35"/>
      <c r="AS226" s="45">
        <f t="shared" si="52"/>
        <v>0</v>
      </c>
      <c r="AT226" s="45"/>
      <c r="AU226" s="35">
        <v>0</v>
      </c>
      <c r="AV226" s="35"/>
      <c r="AW226" s="35">
        <v>0</v>
      </c>
      <c r="AX226" s="35"/>
      <c r="AY226" s="35">
        <f t="shared" si="53"/>
        <v>0</v>
      </c>
      <c r="AZ226" s="35"/>
      <c r="BA226" s="35" t="s">
        <v>111</v>
      </c>
      <c r="BB226" s="55"/>
      <c r="BC226" s="44" t="s">
        <v>80</v>
      </c>
      <c r="BD226" s="44"/>
      <c r="BE226" s="35">
        <v>0</v>
      </c>
      <c r="BF226" s="35"/>
      <c r="BG226" s="35">
        <v>0</v>
      </c>
      <c r="BH226" s="35"/>
      <c r="BI226" s="35">
        <v>0</v>
      </c>
      <c r="BJ226" s="35"/>
      <c r="BK226" s="35">
        <v>0</v>
      </c>
      <c r="BL226" s="35"/>
      <c r="BM226" s="35">
        <f t="shared" si="54"/>
        <v>0</v>
      </c>
      <c r="BN226" s="54" t="s">
        <v>347</v>
      </c>
    </row>
    <row r="227" spans="1:67" ht="12.75" hidden="1" customHeight="1">
      <c r="A227" s="35" t="s">
        <v>265</v>
      </c>
      <c r="C227" s="44" t="s">
        <v>27</v>
      </c>
      <c r="D227" s="44"/>
      <c r="E227" s="35">
        <f t="shared" si="48"/>
        <v>0</v>
      </c>
      <c r="F227" s="35"/>
      <c r="G227" s="35">
        <v>0</v>
      </c>
      <c r="H227" s="35"/>
      <c r="I227" s="35">
        <v>0</v>
      </c>
      <c r="J227" s="35"/>
      <c r="K227" s="35">
        <f t="shared" si="49"/>
        <v>0</v>
      </c>
      <c r="L227" s="35"/>
      <c r="M227" s="35">
        <v>0</v>
      </c>
      <c r="N227" s="35"/>
      <c r="O227" s="35">
        <v>0</v>
      </c>
      <c r="P227" s="35"/>
      <c r="Q227" s="35">
        <v>0</v>
      </c>
      <c r="R227" s="35"/>
      <c r="S227" s="35">
        <v>0</v>
      </c>
      <c r="T227" s="35"/>
      <c r="U227" s="35">
        <v>0</v>
      </c>
      <c r="V227" s="35"/>
      <c r="W227" s="35">
        <f t="shared" si="55"/>
        <v>0</v>
      </c>
      <c r="X227" s="35"/>
      <c r="Y227" s="35" t="s">
        <v>265</v>
      </c>
      <c r="Z227" s="55"/>
      <c r="AA227" s="44" t="s">
        <v>27</v>
      </c>
      <c r="AB227" s="44"/>
      <c r="AC227" s="35">
        <v>0</v>
      </c>
      <c r="AD227" s="35"/>
      <c r="AE227" s="35">
        <v>0</v>
      </c>
      <c r="AF227" s="35"/>
      <c r="AG227" s="35">
        <v>0</v>
      </c>
      <c r="AH227" s="35"/>
      <c r="AI227" s="45">
        <f t="shared" si="51"/>
        <v>0</v>
      </c>
      <c r="AJ227" s="45"/>
      <c r="AK227" s="35">
        <v>0</v>
      </c>
      <c r="AL227" s="35"/>
      <c r="AM227" s="35">
        <v>0</v>
      </c>
      <c r="AN227" s="35"/>
      <c r="AO227" s="35">
        <v>0</v>
      </c>
      <c r="AP227" s="35"/>
      <c r="AQ227" s="35">
        <v>0</v>
      </c>
      <c r="AR227" s="35"/>
      <c r="AS227" s="45">
        <f t="shared" si="52"/>
        <v>0</v>
      </c>
      <c r="AT227" s="45"/>
      <c r="AU227" s="35">
        <v>0</v>
      </c>
      <c r="AV227" s="35"/>
      <c r="AW227" s="35">
        <v>0</v>
      </c>
      <c r="AX227" s="35"/>
      <c r="AY227" s="35">
        <f t="shared" si="53"/>
        <v>0</v>
      </c>
      <c r="AZ227" s="35"/>
      <c r="BA227" s="35" t="s">
        <v>265</v>
      </c>
      <c r="BB227" s="55"/>
      <c r="BC227" s="44" t="s">
        <v>27</v>
      </c>
      <c r="BD227" s="44"/>
      <c r="BE227" s="35">
        <v>0</v>
      </c>
      <c r="BF227" s="35"/>
      <c r="BG227" s="35">
        <v>0</v>
      </c>
      <c r="BH227" s="35"/>
      <c r="BI227" s="35">
        <v>0</v>
      </c>
      <c r="BJ227" s="35"/>
      <c r="BK227" s="35">
        <v>0</v>
      </c>
      <c r="BL227" s="35"/>
      <c r="BM227" s="35">
        <f t="shared" si="54"/>
        <v>0</v>
      </c>
      <c r="BN227" s="54" t="s">
        <v>347</v>
      </c>
    </row>
    <row r="228" spans="1:67" ht="12.75" hidden="1" customHeight="1">
      <c r="A228" s="35" t="s">
        <v>40</v>
      </c>
      <c r="C228" s="47" t="s">
        <v>451</v>
      </c>
      <c r="D228" s="35"/>
      <c r="E228" s="35">
        <f t="shared" si="48"/>
        <v>0</v>
      </c>
      <c r="F228" s="35"/>
      <c r="G228" s="35">
        <v>0</v>
      </c>
      <c r="H228" s="35"/>
      <c r="I228" s="35">
        <v>0</v>
      </c>
      <c r="J228" s="35"/>
      <c r="K228" s="35">
        <f t="shared" si="49"/>
        <v>0</v>
      </c>
      <c r="L228" s="35"/>
      <c r="M228" s="35">
        <v>0</v>
      </c>
      <c r="N228" s="35"/>
      <c r="O228" s="35">
        <v>0</v>
      </c>
      <c r="P228" s="35"/>
      <c r="Q228" s="35">
        <v>0</v>
      </c>
      <c r="R228" s="35"/>
      <c r="S228" s="35">
        <v>0</v>
      </c>
      <c r="T228" s="35"/>
      <c r="U228" s="35">
        <v>0</v>
      </c>
      <c r="V228" s="35"/>
      <c r="W228" s="35">
        <f t="shared" si="55"/>
        <v>0</v>
      </c>
      <c r="X228" s="35"/>
      <c r="Y228" s="35" t="s">
        <v>40</v>
      </c>
      <c r="Z228" s="55"/>
      <c r="AA228" s="47" t="s">
        <v>451</v>
      </c>
      <c r="AB228" s="35"/>
      <c r="AC228" s="35">
        <v>0</v>
      </c>
      <c r="AD228" s="35"/>
      <c r="AE228" s="35">
        <v>0</v>
      </c>
      <c r="AF228" s="35"/>
      <c r="AG228" s="35">
        <v>0</v>
      </c>
      <c r="AH228" s="35"/>
      <c r="AI228" s="45">
        <f t="shared" si="51"/>
        <v>0</v>
      </c>
      <c r="AJ228" s="45"/>
      <c r="AK228" s="35">
        <v>0</v>
      </c>
      <c r="AL228" s="35"/>
      <c r="AM228" s="35">
        <v>0</v>
      </c>
      <c r="AN228" s="35"/>
      <c r="AO228" s="35">
        <v>0</v>
      </c>
      <c r="AP228" s="35"/>
      <c r="AQ228" s="35">
        <v>0</v>
      </c>
      <c r="AR228" s="35"/>
      <c r="AS228" s="45">
        <f t="shared" si="52"/>
        <v>0</v>
      </c>
      <c r="AT228" s="45"/>
      <c r="AU228" s="35">
        <v>0</v>
      </c>
      <c r="AV228" s="35"/>
      <c r="AW228" s="35">
        <v>0</v>
      </c>
      <c r="AX228" s="35"/>
      <c r="AY228" s="35">
        <f t="shared" si="53"/>
        <v>0</v>
      </c>
      <c r="AZ228" s="35"/>
      <c r="BA228" s="35" t="s">
        <v>40</v>
      </c>
      <c r="BB228" s="55"/>
      <c r="BC228" s="47" t="s">
        <v>451</v>
      </c>
      <c r="BD228" s="35"/>
      <c r="BE228" s="35">
        <v>0</v>
      </c>
      <c r="BF228" s="35"/>
      <c r="BG228" s="35">
        <v>0</v>
      </c>
      <c r="BH228" s="35"/>
      <c r="BI228" s="35">
        <v>0</v>
      </c>
      <c r="BJ228" s="35"/>
      <c r="BK228" s="35">
        <v>0</v>
      </c>
      <c r="BL228" s="35"/>
      <c r="BM228" s="35">
        <f t="shared" si="54"/>
        <v>0</v>
      </c>
      <c r="BN228" s="54" t="s">
        <v>347</v>
      </c>
    </row>
    <row r="229" spans="1:67" ht="12.75" hidden="1" customHeight="1">
      <c r="A229" s="35" t="s">
        <v>266</v>
      </c>
      <c r="C229" s="35" t="s">
        <v>267</v>
      </c>
      <c r="D229" s="35"/>
      <c r="E229" s="35">
        <f t="shared" si="48"/>
        <v>0</v>
      </c>
      <c r="F229" s="35"/>
      <c r="G229" s="35">
        <v>0</v>
      </c>
      <c r="H229" s="35"/>
      <c r="I229" s="35">
        <v>0</v>
      </c>
      <c r="J229" s="35"/>
      <c r="K229" s="35">
        <f t="shared" si="49"/>
        <v>0</v>
      </c>
      <c r="L229" s="35"/>
      <c r="M229" s="35">
        <v>0</v>
      </c>
      <c r="N229" s="35"/>
      <c r="O229" s="35">
        <v>0</v>
      </c>
      <c r="P229" s="35"/>
      <c r="Q229" s="35">
        <v>0</v>
      </c>
      <c r="R229" s="35"/>
      <c r="S229" s="35">
        <v>0</v>
      </c>
      <c r="T229" s="35"/>
      <c r="U229" s="35">
        <v>0</v>
      </c>
      <c r="V229" s="35"/>
      <c r="W229" s="35">
        <v>0</v>
      </c>
      <c r="X229" s="35"/>
      <c r="Y229" s="35" t="s">
        <v>266</v>
      </c>
      <c r="Z229" s="55"/>
      <c r="AA229" s="35" t="s">
        <v>267</v>
      </c>
      <c r="AB229" s="35"/>
      <c r="AC229" s="35">
        <v>0</v>
      </c>
      <c r="AD229" s="35"/>
      <c r="AE229" s="35">
        <v>0</v>
      </c>
      <c r="AF229" s="35"/>
      <c r="AG229" s="35">
        <v>0</v>
      </c>
      <c r="AH229" s="35"/>
      <c r="AI229" s="45">
        <f t="shared" si="51"/>
        <v>0</v>
      </c>
      <c r="AJ229" s="45"/>
      <c r="AK229" s="35">
        <v>0</v>
      </c>
      <c r="AL229" s="35"/>
      <c r="AM229" s="35">
        <v>0</v>
      </c>
      <c r="AN229" s="35"/>
      <c r="AO229" s="35">
        <v>0</v>
      </c>
      <c r="AP229" s="35"/>
      <c r="AQ229" s="35">
        <v>0</v>
      </c>
      <c r="AR229" s="35"/>
      <c r="AS229" s="45">
        <f t="shared" si="52"/>
        <v>0</v>
      </c>
      <c r="AT229" s="45"/>
      <c r="AU229" s="35">
        <v>0</v>
      </c>
      <c r="AV229" s="35"/>
      <c r="AW229" s="35">
        <v>0</v>
      </c>
      <c r="AX229" s="35"/>
      <c r="AY229" s="35">
        <f t="shared" si="53"/>
        <v>0</v>
      </c>
      <c r="AZ229" s="35"/>
      <c r="BA229" s="35" t="s">
        <v>266</v>
      </c>
      <c r="BB229" s="55"/>
      <c r="BC229" s="35" t="s">
        <v>267</v>
      </c>
      <c r="BD229" s="35"/>
      <c r="BE229" s="35">
        <v>0</v>
      </c>
      <c r="BF229" s="35"/>
      <c r="BG229" s="35">
        <v>0</v>
      </c>
      <c r="BH229" s="35"/>
      <c r="BI229" s="35">
        <v>0</v>
      </c>
      <c r="BJ229" s="35"/>
      <c r="BK229" s="35">
        <v>0</v>
      </c>
      <c r="BL229" s="35"/>
      <c r="BM229" s="35">
        <f t="shared" si="54"/>
        <v>0</v>
      </c>
      <c r="BN229" s="54" t="s">
        <v>347</v>
      </c>
    </row>
    <row r="230" spans="1:67" ht="12.75" hidden="1" customHeight="1">
      <c r="A230" s="35" t="s">
        <v>268</v>
      </c>
      <c r="C230" s="35" t="s">
        <v>269</v>
      </c>
      <c r="D230" s="35"/>
      <c r="E230" s="35">
        <f t="shared" si="48"/>
        <v>0</v>
      </c>
      <c r="F230" s="35"/>
      <c r="G230" s="35">
        <v>0</v>
      </c>
      <c r="H230" s="35"/>
      <c r="I230" s="35">
        <v>0</v>
      </c>
      <c r="J230" s="35"/>
      <c r="K230" s="35">
        <f t="shared" si="49"/>
        <v>0</v>
      </c>
      <c r="L230" s="35"/>
      <c r="M230" s="35">
        <v>0</v>
      </c>
      <c r="N230" s="35"/>
      <c r="O230" s="35">
        <v>0</v>
      </c>
      <c r="P230" s="35"/>
      <c r="Q230" s="35">
        <v>0</v>
      </c>
      <c r="R230" s="35"/>
      <c r="S230" s="35">
        <v>0</v>
      </c>
      <c r="T230" s="35"/>
      <c r="U230" s="35">
        <v>0</v>
      </c>
      <c r="V230" s="35"/>
      <c r="W230" s="35">
        <f t="shared" ref="W230:W247" si="56">SUM(Q230:U230)</f>
        <v>0</v>
      </c>
      <c r="X230" s="35"/>
      <c r="Y230" s="35" t="s">
        <v>268</v>
      </c>
      <c r="Z230" s="55"/>
      <c r="AA230" s="35" t="s">
        <v>269</v>
      </c>
      <c r="AB230" s="35"/>
      <c r="AC230" s="35">
        <v>0</v>
      </c>
      <c r="AD230" s="35"/>
      <c r="AE230" s="35">
        <v>0</v>
      </c>
      <c r="AF230" s="35"/>
      <c r="AG230" s="35">
        <v>0</v>
      </c>
      <c r="AH230" s="35"/>
      <c r="AI230" s="45">
        <v>0</v>
      </c>
      <c r="AJ230" s="45"/>
      <c r="AK230" s="35">
        <v>0</v>
      </c>
      <c r="AL230" s="35"/>
      <c r="AM230" s="35">
        <v>0</v>
      </c>
      <c r="AN230" s="35"/>
      <c r="AO230" s="35">
        <v>0</v>
      </c>
      <c r="AP230" s="35"/>
      <c r="AQ230" s="35">
        <v>0</v>
      </c>
      <c r="AR230" s="35"/>
      <c r="AS230" s="45">
        <f t="shared" si="52"/>
        <v>0</v>
      </c>
      <c r="AT230" s="45"/>
      <c r="AU230" s="35">
        <v>0</v>
      </c>
      <c r="AV230" s="35"/>
      <c r="AW230" s="35">
        <v>0</v>
      </c>
      <c r="AX230" s="35"/>
      <c r="AY230" s="35">
        <f t="shared" si="53"/>
        <v>0</v>
      </c>
      <c r="AZ230" s="35"/>
      <c r="BA230" s="35" t="s">
        <v>268</v>
      </c>
      <c r="BB230" s="55"/>
      <c r="BC230" s="35" t="s">
        <v>269</v>
      </c>
      <c r="BD230" s="35"/>
      <c r="BE230" s="35">
        <v>0</v>
      </c>
      <c r="BF230" s="35"/>
      <c r="BG230" s="35">
        <v>0</v>
      </c>
      <c r="BH230" s="35"/>
      <c r="BI230" s="35">
        <v>0</v>
      </c>
      <c r="BJ230" s="35"/>
      <c r="BK230" s="35">
        <v>0</v>
      </c>
      <c r="BL230" s="35"/>
      <c r="BM230" s="35">
        <v>0</v>
      </c>
      <c r="BN230" s="54" t="s">
        <v>347</v>
      </c>
    </row>
    <row r="231" spans="1:67" ht="12.75" hidden="1" customHeight="1">
      <c r="A231" s="35" t="s">
        <v>270</v>
      </c>
      <c r="C231" s="35" t="s">
        <v>136</v>
      </c>
      <c r="D231" s="35"/>
      <c r="E231" s="35">
        <f t="shared" si="48"/>
        <v>0</v>
      </c>
      <c r="F231" s="35"/>
      <c r="G231" s="35">
        <v>0</v>
      </c>
      <c r="H231" s="35"/>
      <c r="I231" s="35">
        <v>0</v>
      </c>
      <c r="J231" s="35"/>
      <c r="K231" s="35">
        <f t="shared" si="49"/>
        <v>0</v>
      </c>
      <c r="L231" s="35"/>
      <c r="M231" s="35">
        <v>0</v>
      </c>
      <c r="N231" s="35"/>
      <c r="O231" s="35">
        <v>0</v>
      </c>
      <c r="P231" s="35"/>
      <c r="Q231" s="35">
        <v>0</v>
      </c>
      <c r="R231" s="35"/>
      <c r="S231" s="35">
        <v>0</v>
      </c>
      <c r="T231" s="35"/>
      <c r="U231" s="35">
        <v>0</v>
      </c>
      <c r="V231" s="35"/>
      <c r="W231" s="35">
        <f t="shared" si="56"/>
        <v>0</v>
      </c>
      <c r="X231" s="35"/>
      <c r="Y231" s="35" t="s">
        <v>270</v>
      </c>
      <c r="Z231" s="55"/>
      <c r="AA231" s="35" t="s">
        <v>136</v>
      </c>
      <c r="AB231" s="35"/>
      <c r="AC231" s="35">
        <v>0</v>
      </c>
      <c r="AD231" s="35"/>
      <c r="AE231" s="35">
        <v>0</v>
      </c>
      <c r="AF231" s="35"/>
      <c r="AG231" s="35">
        <v>0</v>
      </c>
      <c r="AH231" s="35"/>
      <c r="AI231" s="45">
        <f>+AC231-AE231-AG231</f>
        <v>0</v>
      </c>
      <c r="AJ231" s="45"/>
      <c r="AK231" s="35">
        <v>0</v>
      </c>
      <c r="AL231" s="35"/>
      <c r="AM231" s="35">
        <v>0</v>
      </c>
      <c r="AN231" s="35"/>
      <c r="AO231" s="35">
        <v>0</v>
      </c>
      <c r="AP231" s="35"/>
      <c r="AQ231" s="35">
        <v>0</v>
      </c>
      <c r="AR231" s="35"/>
      <c r="AS231" s="45">
        <f t="shared" si="52"/>
        <v>0</v>
      </c>
      <c r="AT231" s="45"/>
      <c r="AU231" s="35">
        <v>0</v>
      </c>
      <c r="AV231" s="35"/>
      <c r="AW231" s="35">
        <v>0</v>
      </c>
      <c r="AX231" s="35"/>
      <c r="AY231" s="35">
        <f t="shared" si="53"/>
        <v>0</v>
      </c>
      <c r="AZ231" s="35"/>
      <c r="BA231" s="35" t="s">
        <v>270</v>
      </c>
      <c r="BB231" s="55"/>
      <c r="BC231" s="35" t="s">
        <v>136</v>
      </c>
      <c r="BD231" s="35"/>
      <c r="BE231" s="35">
        <v>0</v>
      </c>
      <c r="BF231" s="35"/>
      <c r="BG231" s="35">
        <v>0</v>
      </c>
      <c r="BH231" s="35"/>
      <c r="BI231" s="35">
        <v>0</v>
      </c>
      <c r="BJ231" s="35"/>
      <c r="BK231" s="35">
        <v>0</v>
      </c>
      <c r="BL231" s="35"/>
      <c r="BM231" s="35">
        <f t="shared" ref="BM231:BM247" si="57">SUM(BE231:BK231)</f>
        <v>0</v>
      </c>
      <c r="BN231" s="54" t="s">
        <v>347</v>
      </c>
    </row>
    <row r="232" spans="1:67" ht="12.75" hidden="1" customHeight="1">
      <c r="A232" s="35" t="s">
        <v>271</v>
      </c>
      <c r="C232" s="35" t="s">
        <v>66</v>
      </c>
      <c r="D232" s="35"/>
      <c r="E232" s="35">
        <f t="shared" si="48"/>
        <v>0</v>
      </c>
      <c r="F232" s="35"/>
      <c r="G232" s="35">
        <v>0</v>
      </c>
      <c r="H232" s="35"/>
      <c r="I232" s="35">
        <v>0</v>
      </c>
      <c r="J232" s="35"/>
      <c r="K232" s="35">
        <f t="shared" si="49"/>
        <v>0</v>
      </c>
      <c r="L232" s="35"/>
      <c r="M232" s="35">
        <v>0</v>
      </c>
      <c r="N232" s="35"/>
      <c r="O232" s="35">
        <v>0</v>
      </c>
      <c r="P232" s="35"/>
      <c r="Q232" s="35">
        <v>0</v>
      </c>
      <c r="R232" s="35"/>
      <c r="S232" s="35">
        <v>0</v>
      </c>
      <c r="T232" s="35"/>
      <c r="U232" s="35">
        <v>0</v>
      </c>
      <c r="V232" s="35"/>
      <c r="W232" s="35">
        <f t="shared" si="56"/>
        <v>0</v>
      </c>
      <c r="X232" s="35"/>
      <c r="Y232" s="35" t="s">
        <v>271</v>
      </c>
      <c r="Z232" s="55"/>
      <c r="AA232" s="35" t="s">
        <v>66</v>
      </c>
      <c r="AB232" s="35"/>
      <c r="AC232" s="35">
        <v>0</v>
      </c>
      <c r="AD232" s="35"/>
      <c r="AE232" s="35">
        <v>0</v>
      </c>
      <c r="AF232" s="35"/>
      <c r="AG232" s="35">
        <v>0</v>
      </c>
      <c r="AH232" s="35"/>
      <c r="AI232" s="45">
        <f>+AC232-AE232-AG232</f>
        <v>0</v>
      </c>
      <c r="AJ232" s="45"/>
      <c r="AK232" s="35">
        <v>0</v>
      </c>
      <c r="AL232" s="35"/>
      <c r="AM232" s="35">
        <v>0</v>
      </c>
      <c r="AN232" s="35"/>
      <c r="AO232" s="35">
        <v>0</v>
      </c>
      <c r="AP232" s="35"/>
      <c r="AQ232" s="35">
        <v>0</v>
      </c>
      <c r="AR232" s="35"/>
      <c r="AS232" s="45">
        <f t="shared" si="52"/>
        <v>0</v>
      </c>
      <c r="AT232" s="45"/>
      <c r="AU232" s="35">
        <v>0</v>
      </c>
      <c r="AV232" s="35"/>
      <c r="AW232" s="35">
        <v>0</v>
      </c>
      <c r="AX232" s="35"/>
      <c r="AY232" s="35">
        <f t="shared" si="53"/>
        <v>0</v>
      </c>
      <c r="AZ232" s="35"/>
      <c r="BA232" s="35" t="s">
        <v>271</v>
      </c>
      <c r="BB232" s="55"/>
      <c r="BC232" s="35" t="s">
        <v>66</v>
      </c>
      <c r="BD232" s="35"/>
      <c r="BE232" s="35">
        <v>0</v>
      </c>
      <c r="BF232" s="35"/>
      <c r="BG232" s="35">
        <v>0</v>
      </c>
      <c r="BH232" s="35"/>
      <c r="BI232" s="35">
        <v>0</v>
      </c>
      <c r="BJ232" s="35"/>
      <c r="BK232" s="35">
        <v>0</v>
      </c>
      <c r="BL232" s="35"/>
      <c r="BM232" s="35">
        <f t="shared" si="57"/>
        <v>0</v>
      </c>
      <c r="BN232" s="54" t="s">
        <v>347</v>
      </c>
    </row>
    <row r="233" spans="1:67" ht="12.75" customHeight="1">
      <c r="A233" s="35" t="s">
        <v>272</v>
      </c>
      <c r="C233" s="35" t="s">
        <v>43</v>
      </c>
      <c r="D233" s="35"/>
      <c r="E233" s="35">
        <f t="shared" si="48"/>
        <v>22179127</v>
      </c>
      <c r="F233" s="35"/>
      <c r="G233" s="35">
        <v>54233657</v>
      </c>
      <c r="H233" s="35"/>
      <c r="I233" s="35">
        <v>76412784</v>
      </c>
      <c r="J233" s="35"/>
      <c r="K233" s="35">
        <f t="shared" si="49"/>
        <v>5898738</v>
      </c>
      <c r="L233" s="35"/>
      <c r="M233" s="35">
        <v>21977585</v>
      </c>
      <c r="N233" s="35"/>
      <c r="O233" s="35">
        <v>27876323</v>
      </c>
      <c r="P233" s="35"/>
      <c r="Q233" s="35">
        <v>3242620</v>
      </c>
      <c r="R233" s="35"/>
      <c r="S233" s="35">
        <v>0</v>
      </c>
      <c r="T233" s="35"/>
      <c r="U233" s="35">
        <v>16133841</v>
      </c>
      <c r="V233" s="35"/>
      <c r="W233" s="35">
        <f t="shared" si="56"/>
        <v>19376461</v>
      </c>
      <c r="X233" s="35"/>
      <c r="Y233" s="35" t="s">
        <v>272</v>
      </c>
      <c r="Z233" s="55"/>
      <c r="AA233" s="35" t="s">
        <v>43</v>
      </c>
      <c r="AB233" s="35"/>
      <c r="AC233" s="35">
        <v>40312763</v>
      </c>
      <c r="AD233" s="35"/>
      <c r="AE233" s="35">
        <f>41674857-2061428</f>
        <v>39613429</v>
      </c>
      <c r="AF233" s="35"/>
      <c r="AG233" s="35">
        <v>2061428</v>
      </c>
      <c r="AH233" s="35"/>
      <c r="AI233" s="45">
        <f>+AC233-AE233-AG233</f>
        <v>-1362094</v>
      </c>
      <c r="AJ233" s="45"/>
      <c r="AK233" s="35">
        <v>-1116307</v>
      </c>
      <c r="AL233" s="35"/>
      <c r="AM233" s="35">
        <v>148318</v>
      </c>
      <c r="AN233" s="35"/>
      <c r="AO233" s="35">
        <v>0</v>
      </c>
      <c r="AP233" s="35"/>
      <c r="AQ233" s="35">
        <v>57965</v>
      </c>
      <c r="AR233" s="35"/>
      <c r="AS233" s="45">
        <f t="shared" si="52"/>
        <v>-2272118</v>
      </c>
      <c r="AT233" s="45"/>
      <c r="AU233" s="35">
        <v>0</v>
      </c>
      <c r="AV233" s="35"/>
      <c r="AW233" s="35">
        <v>0</v>
      </c>
      <c r="AX233" s="35"/>
      <c r="AY233" s="35">
        <f t="shared" si="53"/>
        <v>16280389</v>
      </c>
      <c r="AZ233" s="35"/>
      <c r="BA233" s="35" t="s">
        <v>272</v>
      </c>
      <c r="BB233" s="55"/>
      <c r="BC233" s="35" t="s">
        <v>43</v>
      </c>
      <c r="BD233" s="35"/>
      <c r="BE233" s="35">
        <f>21814386+963260</f>
        <v>22777646</v>
      </c>
      <c r="BF233" s="35"/>
      <c r="BG233" s="35">
        <v>0</v>
      </c>
      <c r="BH233" s="35"/>
      <c r="BI233" s="35">
        <v>0</v>
      </c>
      <c r="BJ233" s="35"/>
      <c r="BK233" s="35">
        <f>163199+277291</f>
        <v>440490</v>
      </c>
      <c r="BL233" s="35"/>
      <c r="BM233" s="35">
        <f t="shared" si="57"/>
        <v>23218136</v>
      </c>
      <c r="BN233" s="54" t="s">
        <v>347</v>
      </c>
    </row>
    <row r="234" spans="1:67" ht="12.75" hidden="1" customHeight="1">
      <c r="A234" s="35" t="s">
        <v>273</v>
      </c>
      <c r="C234" s="35" t="s">
        <v>27</v>
      </c>
      <c r="D234" s="35"/>
      <c r="E234" s="35">
        <f t="shared" si="48"/>
        <v>0</v>
      </c>
      <c r="F234" s="35"/>
      <c r="G234" s="35">
        <v>0</v>
      </c>
      <c r="H234" s="35"/>
      <c r="I234" s="35">
        <v>0</v>
      </c>
      <c r="J234" s="35"/>
      <c r="K234" s="35">
        <f t="shared" si="49"/>
        <v>0</v>
      </c>
      <c r="L234" s="35"/>
      <c r="M234" s="35">
        <v>0</v>
      </c>
      <c r="N234" s="35"/>
      <c r="O234" s="35">
        <v>0</v>
      </c>
      <c r="P234" s="35"/>
      <c r="Q234" s="35">
        <v>0</v>
      </c>
      <c r="R234" s="35"/>
      <c r="S234" s="35">
        <v>0</v>
      </c>
      <c r="T234" s="35"/>
      <c r="U234" s="35">
        <v>0</v>
      </c>
      <c r="V234" s="35"/>
      <c r="W234" s="35">
        <f t="shared" si="56"/>
        <v>0</v>
      </c>
      <c r="X234" s="35"/>
      <c r="Y234" s="35" t="s">
        <v>273</v>
      </c>
      <c r="Z234" s="55"/>
      <c r="AA234" s="35" t="s">
        <v>27</v>
      </c>
      <c r="AB234" s="35"/>
      <c r="AC234" s="35">
        <v>0</v>
      </c>
      <c r="AD234" s="35"/>
      <c r="AE234" s="35">
        <v>0</v>
      </c>
      <c r="AF234" s="35"/>
      <c r="AG234" s="35">
        <v>0</v>
      </c>
      <c r="AH234" s="35"/>
      <c r="AI234" s="45">
        <f>+AC234-AE234-AG234</f>
        <v>0</v>
      </c>
      <c r="AJ234" s="45"/>
      <c r="AK234" s="35">
        <v>0</v>
      </c>
      <c r="AL234" s="35"/>
      <c r="AM234" s="35">
        <v>0</v>
      </c>
      <c r="AN234" s="35"/>
      <c r="AO234" s="35">
        <v>0</v>
      </c>
      <c r="AP234" s="35"/>
      <c r="AQ234" s="35">
        <v>0</v>
      </c>
      <c r="AR234" s="35"/>
      <c r="AS234" s="45">
        <f t="shared" si="52"/>
        <v>0</v>
      </c>
      <c r="AT234" s="45"/>
      <c r="AU234" s="35">
        <v>0</v>
      </c>
      <c r="AV234" s="35"/>
      <c r="AW234" s="35">
        <v>0</v>
      </c>
      <c r="AX234" s="35"/>
      <c r="AY234" s="35">
        <f t="shared" si="53"/>
        <v>0</v>
      </c>
      <c r="AZ234" s="35"/>
      <c r="BA234" s="35" t="s">
        <v>273</v>
      </c>
      <c r="BB234" s="55"/>
      <c r="BC234" s="35" t="s">
        <v>27</v>
      </c>
      <c r="BD234" s="35"/>
      <c r="BE234" s="35"/>
      <c r="BF234" s="35"/>
      <c r="BG234" s="35"/>
      <c r="BH234" s="35"/>
      <c r="BI234" s="35"/>
      <c r="BJ234" s="35"/>
      <c r="BK234" s="35"/>
      <c r="BL234" s="35"/>
      <c r="BM234" s="35">
        <f t="shared" si="57"/>
        <v>0</v>
      </c>
      <c r="BN234" s="54" t="s">
        <v>347</v>
      </c>
    </row>
    <row r="235" spans="1:67" ht="12.75" hidden="1" customHeight="1">
      <c r="A235" s="35" t="s">
        <v>274</v>
      </c>
      <c r="C235" s="35" t="s">
        <v>43</v>
      </c>
      <c r="D235" s="35"/>
      <c r="E235" s="35">
        <f t="shared" si="48"/>
        <v>0</v>
      </c>
      <c r="F235" s="35"/>
      <c r="G235" s="35">
        <v>0</v>
      </c>
      <c r="H235" s="35"/>
      <c r="I235" s="35">
        <v>0</v>
      </c>
      <c r="J235" s="35"/>
      <c r="K235" s="35">
        <f t="shared" si="49"/>
        <v>0</v>
      </c>
      <c r="L235" s="35"/>
      <c r="M235" s="35">
        <v>0</v>
      </c>
      <c r="N235" s="35"/>
      <c r="O235" s="35">
        <v>0</v>
      </c>
      <c r="P235" s="35"/>
      <c r="Q235" s="35">
        <v>0</v>
      </c>
      <c r="R235" s="35"/>
      <c r="S235" s="35">
        <v>0</v>
      </c>
      <c r="T235" s="35"/>
      <c r="U235" s="35">
        <v>0</v>
      </c>
      <c r="V235" s="35"/>
      <c r="W235" s="35">
        <f t="shared" si="56"/>
        <v>0</v>
      </c>
      <c r="X235" s="35"/>
      <c r="Y235" s="35" t="s">
        <v>274</v>
      </c>
      <c r="Z235" s="55"/>
      <c r="AA235" s="35" t="s">
        <v>43</v>
      </c>
      <c r="AB235" s="35"/>
      <c r="AC235" s="35">
        <v>0</v>
      </c>
      <c r="AD235" s="35"/>
      <c r="AE235" s="35">
        <v>0</v>
      </c>
      <c r="AF235" s="35"/>
      <c r="AG235" s="35">
        <v>0</v>
      </c>
      <c r="AH235" s="35"/>
      <c r="AI235" s="45">
        <v>0</v>
      </c>
      <c r="AJ235" s="45"/>
      <c r="AK235" s="35">
        <v>0</v>
      </c>
      <c r="AL235" s="35"/>
      <c r="AM235" s="35">
        <v>0</v>
      </c>
      <c r="AN235" s="35"/>
      <c r="AO235" s="35">
        <v>0</v>
      </c>
      <c r="AP235" s="35"/>
      <c r="AQ235" s="35">
        <v>0</v>
      </c>
      <c r="AR235" s="35"/>
      <c r="AS235" s="45">
        <f t="shared" si="52"/>
        <v>0</v>
      </c>
      <c r="AT235" s="45"/>
      <c r="AU235" s="35">
        <v>0</v>
      </c>
      <c r="AV235" s="35"/>
      <c r="AW235" s="35">
        <v>0</v>
      </c>
      <c r="AX235" s="35"/>
      <c r="AY235" s="35">
        <f t="shared" si="53"/>
        <v>0</v>
      </c>
      <c r="AZ235" s="35"/>
      <c r="BA235" s="35" t="s">
        <v>274</v>
      </c>
      <c r="BB235" s="55"/>
      <c r="BC235" s="35" t="s">
        <v>43</v>
      </c>
      <c r="BD235" s="35"/>
      <c r="BE235" s="35"/>
      <c r="BF235" s="35"/>
      <c r="BG235" s="35"/>
      <c r="BH235" s="35"/>
      <c r="BI235" s="35"/>
      <c r="BJ235" s="35"/>
      <c r="BK235" s="35"/>
      <c r="BL235" s="35"/>
      <c r="BM235" s="35">
        <f t="shared" si="57"/>
        <v>0</v>
      </c>
      <c r="BN235" s="54" t="s">
        <v>347</v>
      </c>
    </row>
    <row r="236" spans="1:67" ht="12.75" hidden="1" customHeight="1">
      <c r="A236" s="35" t="s">
        <v>275</v>
      </c>
      <c r="C236" s="35" t="s">
        <v>92</v>
      </c>
      <c r="D236" s="35"/>
      <c r="E236" s="35">
        <f t="shared" si="48"/>
        <v>0</v>
      </c>
      <c r="F236" s="35"/>
      <c r="G236" s="35">
        <v>0</v>
      </c>
      <c r="H236" s="35"/>
      <c r="I236" s="35">
        <v>0</v>
      </c>
      <c r="J236" s="35"/>
      <c r="K236" s="35">
        <f t="shared" si="49"/>
        <v>0</v>
      </c>
      <c r="L236" s="35"/>
      <c r="M236" s="35">
        <v>0</v>
      </c>
      <c r="N236" s="35"/>
      <c r="O236" s="35">
        <v>0</v>
      </c>
      <c r="P236" s="35"/>
      <c r="Q236" s="35">
        <v>0</v>
      </c>
      <c r="R236" s="35"/>
      <c r="S236" s="35">
        <v>0</v>
      </c>
      <c r="T236" s="35"/>
      <c r="U236" s="35">
        <v>0</v>
      </c>
      <c r="V236" s="35"/>
      <c r="W236" s="35">
        <f t="shared" si="56"/>
        <v>0</v>
      </c>
      <c r="X236" s="35"/>
      <c r="Y236" s="35" t="s">
        <v>275</v>
      </c>
      <c r="Z236" s="55"/>
      <c r="AA236" s="35" t="s">
        <v>92</v>
      </c>
      <c r="AB236" s="35"/>
      <c r="AC236" s="35">
        <v>0</v>
      </c>
      <c r="AD236" s="35"/>
      <c r="AE236" s="35">
        <v>0</v>
      </c>
      <c r="AF236" s="35"/>
      <c r="AG236" s="35">
        <v>0</v>
      </c>
      <c r="AH236" s="35"/>
      <c r="AI236" s="45">
        <f t="shared" ref="AI236:AI243" si="58">+AC236-AE236-AG236</f>
        <v>0</v>
      </c>
      <c r="AJ236" s="45"/>
      <c r="AK236" s="35">
        <v>0</v>
      </c>
      <c r="AL236" s="35"/>
      <c r="AM236" s="35">
        <v>0</v>
      </c>
      <c r="AN236" s="35"/>
      <c r="AO236" s="35">
        <v>0</v>
      </c>
      <c r="AP236" s="35"/>
      <c r="AQ236" s="35">
        <v>0</v>
      </c>
      <c r="AR236" s="35"/>
      <c r="AS236" s="45">
        <f t="shared" si="52"/>
        <v>0</v>
      </c>
      <c r="AT236" s="45"/>
      <c r="AU236" s="35">
        <v>0</v>
      </c>
      <c r="AV236" s="35"/>
      <c r="AW236" s="35">
        <v>0</v>
      </c>
      <c r="AX236" s="35"/>
      <c r="AY236" s="35">
        <f t="shared" si="53"/>
        <v>0</v>
      </c>
      <c r="AZ236" s="35"/>
      <c r="BA236" s="35" t="s">
        <v>275</v>
      </c>
      <c r="BB236" s="55"/>
      <c r="BC236" s="35" t="s">
        <v>92</v>
      </c>
      <c r="BD236" s="35"/>
      <c r="BE236" s="35"/>
      <c r="BF236" s="35"/>
      <c r="BG236" s="35"/>
      <c r="BH236" s="35"/>
      <c r="BI236" s="35"/>
      <c r="BJ236" s="35"/>
      <c r="BK236" s="35"/>
      <c r="BL236" s="35"/>
      <c r="BM236" s="35">
        <f t="shared" si="57"/>
        <v>0</v>
      </c>
      <c r="BN236" s="54" t="s">
        <v>347</v>
      </c>
    </row>
    <row r="237" spans="1:67" ht="12.75" hidden="1" customHeight="1">
      <c r="A237" s="35" t="s">
        <v>276</v>
      </c>
      <c r="C237" s="35" t="s">
        <v>38</v>
      </c>
      <c r="D237" s="35"/>
      <c r="E237" s="35">
        <f t="shared" si="48"/>
        <v>0</v>
      </c>
      <c r="F237" s="35"/>
      <c r="G237" s="35"/>
      <c r="H237" s="35"/>
      <c r="I237" s="35"/>
      <c r="J237" s="35"/>
      <c r="K237" s="35">
        <f t="shared" si="49"/>
        <v>0</v>
      </c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>
        <f t="shared" si="56"/>
        <v>0</v>
      </c>
      <c r="X237" s="35"/>
      <c r="Y237" s="35" t="s">
        <v>276</v>
      </c>
      <c r="Z237" s="55"/>
      <c r="AA237" s="35" t="s">
        <v>38</v>
      </c>
      <c r="AB237" s="35"/>
      <c r="AC237" s="35"/>
      <c r="AD237" s="35"/>
      <c r="AE237" s="35"/>
      <c r="AF237" s="35"/>
      <c r="AG237" s="35"/>
      <c r="AH237" s="35"/>
      <c r="AI237" s="45">
        <f t="shared" si="58"/>
        <v>0</v>
      </c>
      <c r="AJ237" s="45"/>
      <c r="AK237" s="35"/>
      <c r="AL237" s="35"/>
      <c r="AM237" s="35"/>
      <c r="AN237" s="35"/>
      <c r="AO237" s="35"/>
      <c r="AP237" s="35"/>
      <c r="AQ237" s="35"/>
      <c r="AR237" s="35"/>
      <c r="AS237" s="45">
        <f t="shared" si="52"/>
        <v>0</v>
      </c>
      <c r="AT237" s="45"/>
      <c r="AU237" s="35">
        <v>0</v>
      </c>
      <c r="AV237" s="35"/>
      <c r="AW237" s="35">
        <v>0</v>
      </c>
      <c r="AX237" s="35"/>
      <c r="AY237" s="35">
        <f t="shared" si="53"/>
        <v>0</v>
      </c>
      <c r="AZ237" s="35"/>
      <c r="BA237" s="35" t="s">
        <v>276</v>
      </c>
      <c r="BB237" s="55"/>
      <c r="BC237" s="35" t="s">
        <v>38</v>
      </c>
      <c r="BD237" s="35"/>
      <c r="BE237" s="35"/>
      <c r="BF237" s="35"/>
      <c r="BG237" s="35"/>
      <c r="BH237" s="35"/>
      <c r="BI237" s="35"/>
      <c r="BJ237" s="35"/>
      <c r="BK237" s="35"/>
      <c r="BL237" s="35"/>
      <c r="BM237" s="35">
        <f t="shared" si="57"/>
        <v>0</v>
      </c>
      <c r="BN237" s="54" t="s">
        <v>347</v>
      </c>
      <c r="BO237" s="35" t="s">
        <v>366</v>
      </c>
    </row>
    <row r="238" spans="1:67" ht="12.75" hidden="1" customHeight="1">
      <c r="A238" s="35" t="s">
        <v>277</v>
      </c>
      <c r="C238" s="35" t="s">
        <v>92</v>
      </c>
      <c r="D238" s="35"/>
      <c r="E238" s="35">
        <f t="shared" si="48"/>
        <v>0</v>
      </c>
      <c r="F238" s="35"/>
      <c r="G238" s="35">
        <v>0</v>
      </c>
      <c r="H238" s="35"/>
      <c r="I238" s="35">
        <v>0</v>
      </c>
      <c r="J238" s="35"/>
      <c r="K238" s="35">
        <f t="shared" si="49"/>
        <v>0</v>
      </c>
      <c r="L238" s="35"/>
      <c r="M238" s="35">
        <v>0</v>
      </c>
      <c r="N238" s="35"/>
      <c r="O238" s="35">
        <v>0</v>
      </c>
      <c r="P238" s="35"/>
      <c r="Q238" s="35">
        <v>0</v>
      </c>
      <c r="R238" s="35"/>
      <c r="S238" s="35">
        <v>0</v>
      </c>
      <c r="T238" s="35"/>
      <c r="U238" s="35">
        <v>0</v>
      </c>
      <c r="V238" s="35"/>
      <c r="W238" s="35">
        <f t="shared" si="56"/>
        <v>0</v>
      </c>
      <c r="X238" s="35"/>
      <c r="Y238" s="35" t="s">
        <v>277</v>
      </c>
      <c r="Z238" s="55"/>
      <c r="AA238" s="35" t="s">
        <v>92</v>
      </c>
      <c r="AB238" s="35"/>
      <c r="AC238" s="35">
        <v>0</v>
      </c>
      <c r="AD238" s="35"/>
      <c r="AE238" s="35">
        <v>0</v>
      </c>
      <c r="AF238" s="35"/>
      <c r="AG238" s="35">
        <v>0</v>
      </c>
      <c r="AH238" s="35"/>
      <c r="AI238" s="45">
        <f t="shared" si="58"/>
        <v>0</v>
      </c>
      <c r="AJ238" s="45"/>
      <c r="AK238" s="35">
        <v>0</v>
      </c>
      <c r="AL238" s="35"/>
      <c r="AM238" s="35">
        <v>0</v>
      </c>
      <c r="AN238" s="35"/>
      <c r="AO238" s="35">
        <v>0</v>
      </c>
      <c r="AP238" s="35"/>
      <c r="AQ238" s="35">
        <v>0</v>
      </c>
      <c r="AR238" s="35"/>
      <c r="AS238" s="45">
        <f t="shared" si="52"/>
        <v>0</v>
      </c>
      <c r="AT238" s="45"/>
      <c r="AU238" s="35">
        <v>0</v>
      </c>
      <c r="AV238" s="35"/>
      <c r="AW238" s="35">
        <v>0</v>
      </c>
      <c r="AX238" s="35"/>
      <c r="AY238" s="35">
        <f t="shared" ref="AY238:AY247" si="59">+E238-K238</f>
        <v>0</v>
      </c>
      <c r="AZ238" s="35"/>
      <c r="BA238" s="35" t="s">
        <v>277</v>
      </c>
      <c r="BB238" s="55"/>
      <c r="BC238" s="35" t="s">
        <v>92</v>
      </c>
      <c r="BD238" s="35"/>
      <c r="BE238" s="35"/>
      <c r="BF238" s="35"/>
      <c r="BG238" s="35"/>
      <c r="BH238" s="35"/>
      <c r="BI238" s="35"/>
      <c r="BJ238" s="35"/>
      <c r="BK238" s="35"/>
      <c r="BL238" s="35"/>
      <c r="BM238" s="35">
        <f t="shared" si="57"/>
        <v>0</v>
      </c>
      <c r="BN238" s="54" t="s">
        <v>347</v>
      </c>
    </row>
    <row r="239" spans="1:67" ht="12.75" hidden="1" customHeight="1">
      <c r="A239" s="35" t="s">
        <v>278</v>
      </c>
      <c r="C239" s="35" t="s">
        <v>92</v>
      </c>
      <c r="D239" s="35"/>
      <c r="E239" s="35">
        <f t="shared" si="48"/>
        <v>0</v>
      </c>
      <c r="F239" s="35"/>
      <c r="G239" s="35"/>
      <c r="H239" s="35"/>
      <c r="I239" s="35"/>
      <c r="J239" s="35"/>
      <c r="K239" s="35">
        <f t="shared" si="49"/>
        <v>0</v>
      </c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>
        <f t="shared" si="56"/>
        <v>0</v>
      </c>
      <c r="X239" s="35"/>
      <c r="Y239" s="35" t="s">
        <v>278</v>
      </c>
      <c r="Z239" s="55"/>
      <c r="AA239" s="35" t="s">
        <v>92</v>
      </c>
      <c r="AB239" s="35"/>
      <c r="AC239" s="35"/>
      <c r="AD239" s="35"/>
      <c r="AE239" s="35"/>
      <c r="AF239" s="35"/>
      <c r="AG239" s="35"/>
      <c r="AH239" s="35"/>
      <c r="AI239" s="45">
        <f t="shared" si="58"/>
        <v>0</v>
      </c>
      <c r="AJ239" s="45"/>
      <c r="AK239" s="35"/>
      <c r="AL239" s="35"/>
      <c r="AM239" s="35"/>
      <c r="AN239" s="35"/>
      <c r="AO239" s="35"/>
      <c r="AP239" s="35"/>
      <c r="AQ239" s="35"/>
      <c r="AR239" s="35"/>
      <c r="AS239" s="45">
        <f t="shared" si="52"/>
        <v>0</v>
      </c>
      <c r="AT239" s="45"/>
      <c r="AU239" s="35">
        <v>0</v>
      </c>
      <c r="AV239" s="35"/>
      <c r="AW239" s="35">
        <v>0</v>
      </c>
      <c r="AX239" s="35"/>
      <c r="AY239" s="35">
        <f t="shared" si="59"/>
        <v>0</v>
      </c>
      <c r="AZ239" s="35"/>
      <c r="BA239" s="35" t="s">
        <v>278</v>
      </c>
      <c r="BB239" s="55"/>
      <c r="BC239" s="35" t="s">
        <v>92</v>
      </c>
      <c r="BD239" s="35"/>
      <c r="BE239" s="35"/>
      <c r="BF239" s="35"/>
      <c r="BG239" s="35"/>
      <c r="BH239" s="35"/>
      <c r="BI239" s="35"/>
      <c r="BJ239" s="35"/>
      <c r="BK239" s="35"/>
      <c r="BL239" s="35"/>
      <c r="BM239" s="35">
        <f t="shared" si="57"/>
        <v>0</v>
      </c>
      <c r="BN239" s="54" t="s">
        <v>347</v>
      </c>
    </row>
    <row r="240" spans="1:67" ht="12.75" hidden="1" customHeight="1">
      <c r="A240" s="35" t="s">
        <v>279</v>
      </c>
      <c r="C240" s="35" t="s">
        <v>92</v>
      </c>
      <c r="D240" s="35"/>
      <c r="E240" s="35">
        <f t="shared" si="48"/>
        <v>0</v>
      </c>
      <c r="F240" s="35"/>
      <c r="G240" s="35">
        <v>0</v>
      </c>
      <c r="H240" s="35"/>
      <c r="I240" s="35">
        <v>0</v>
      </c>
      <c r="J240" s="35"/>
      <c r="K240" s="35">
        <f t="shared" si="49"/>
        <v>0</v>
      </c>
      <c r="L240" s="35"/>
      <c r="M240" s="35">
        <v>0</v>
      </c>
      <c r="N240" s="35"/>
      <c r="O240" s="35">
        <v>0</v>
      </c>
      <c r="P240" s="35"/>
      <c r="Q240" s="35">
        <v>0</v>
      </c>
      <c r="R240" s="35"/>
      <c r="S240" s="35">
        <v>0</v>
      </c>
      <c r="T240" s="35"/>
      <c r="U240" s="35">
        <v>0</v>
      </c>
      <c r="V240" s="35"/>
      <c r="W240" s="35">
        <f t="shared" si="56"/>
        <v>0</v>
      </c>
      <c r="X240" s="35"/>
      <c r="Y240" s="35" t="s">
        <v>279</v>
      </c>
      <c r="Z240" s="55"/>
      <c r="AA240" s="35" t="s">
        <v>92</v>
      </c>
      <c r="AB240" s="35"/>
      <c r="AC240" s="35">
        <v>0</v>
      </c>
      <c r="AD240" s="35"/>
      <c r="AE240" s="35">
        <v>0</v>
      </c>
      <c r="AF240" s="35"/>
      <c r="AG240" s="35">
        <v>0</v>
      </c>
      <c r="AH240" s="35"/>
      <c r="AI240" s="45">
        <f t="shared" si="58"/>
        <v>0</v>
      </c>
      <c r="AJ240" s="45"/>
      <c r="AK240" s="35">
        <v>0</v>
      </c>
      <c r="AL240" s="35"/>
      <c r="AM240" s="35">
        <v>0</v>
      </c>
      <c r="AN240" s="35"/>
      <c r="AO240" s="35">
        <v>0</v>
      </c>
      <c r="AP240" s="35"/>
      <c r="AQ240" s="35">
        <v>0</v>
      </c>
      <c r="AR240" s="35"/>
      <c r="AS240" s="45">
        <v>0</v>
      </c>
      <c r="AT240" s="45"/>
      <c r="AU240" s="35">
        <v>0</v>
      </c>
      <c r="AV240" s="35"/>
      <c r="AW240" s="35">
        <v>0</v>
      </c>
      <c r="AX240" s="35"/>
      <c r="AY240" s="35">
        <f t="shared" si="59"/>
        <v>0</v>
      </c>
      <c r="AZ240" s="35"/>
      <c r="BA240" s="35" t="s">
        <v>279</v>
      </c>
      <c r="BB240" s="55"/>
      <c r="BC240" s="35" t="s">
        <v>92</v>
      </c>
      <c r="BD240" s="35"/>
      <c r="BE240" s="35"/>
      <c r="BF240" s="35"/>
      <c r="BG240" s="35"/>
      <c r="BH240" s="35"/>
      <c r="BI240" s="35"/>
      <c r="BJ240" s="35"/>
      <c r="BK240" s="35"/>
      <c r="BL240" s="35"/>
      <c r="BM240" s="35">
        <f t="shared" si="57"/>
        <v>0</v>
      </c>
      <c r="BN240" s="54" t="s">
        <v>347</v>
      </c>
      <c r="BO240" s="55" t="s">
        <v>367</v>
      </c>
    </row>
    <row r="241" spans="1:67" ht="12.75" hidden="1" customHeight="1">
      <c r="A241" s="35" t="s">
        <v>280</v>
      </c>
      <c r="C241" s="35" t="s">
        <v>281</v>
      </c>
      <c r="D241" s="35"/>
      <c r="E241" s="35">
        <f t="shared" si="48"/>
        <v>0</v>
      </c>
      <c r="F241" s="35"/>
      <c r="G241" s="35">
        <v>0</v>
      </c>
      <c r="H241" s="35"/>
      <c r="I241" s="35">
        <v>0</v>
      </c>
      <c r="J241" s="35"/>
      <c r="K241" s="35">
        <f t="shared" si="49"/>
        <v>0</v>
      </c>
      <c r="L241" s="35"/>
      <c r="M241" s="35">
        <v>0</v>
      </c>
      <c r="N241" s="35"/>
      <c r="O241" s="35">
        <v>0</v>
      </c>
      <c r="P241" s="35"/>
      <c r="Q241" s="35">
        <v>0</v>
      </c>
      <c r="R241" s="35"/>
      <c r="S241" s="35">
        <v>0</v>
      </c>
      <c r="T241" s="35"/>
      <c r="U241" s="35">
        <v>0</v>
      </c>
      <c r="V241" s="35"/>
      <c r="W241" s="35">
        <f t="shared" si="56"/>
        <v>0</v>
      </c>
      <c r="X241" s="35"/>
      <c r="Y241" s="35" t="s">
        <v>280</v>
      </c>
      <c r="Z241" s="55"/>
      <c r="AA241" s="35" t="s">
        <v>281</v>
      </c>
      <c r="AB241" s="35"/>
      <c r="AC241" s="35">
        <v>0</v>
      </c>
      <c r="AD241" s="35"/>
      <c r="AE241" s="35">
        <v>0</v>
      </c>
      <c r="AF241" s="35"/>
      <c r="AG241" s="35">
        <v>0</v>
      </c>
      <c r="AH241" s="35"/>
      <c r="AI241" s="45">
        <f t="shared" si="58"/>
        <v>0</v>
      </c>
      <c r="AJ241" s="45"/>
      <c r="AK241" s="35">
        <v>0</v>
      </c>
      <c r="AL241" s="35"/>
      <c r="AM241" s="35">
        <v>0</v>
      </c>
      <c r="AN241" s="35"/>
      <c r="AO241" s="35">
        <v>0</v>
      </c>
      <c r="AP241" s="35"/>
      <c r="AQ241" s="35">
        <v>0</v>
      </c>
      <c r="AR241" s="35"/>
      <c r="AS241" s="45">
        <f t="shared" ref="AS241:AS247" si="60">+AI241+AK241+AM241-AO241+AQ241</f>
        <v>0</v>
      </c>
      <c r="AT241" s="45"/>
      <c r="AU241" s="35">
        <v>0</v>
      </c>
      <c r="AV241" s="35"/>
      <c r="AW241" s="35">
        <v>0</v>
      </c>
      <c r="AX241" s="35"/>
      <c r="AY241" s="35">
        <f t="shared" si="59"/>
        <v>0</v>
      </c>
      <c r="AZ241" s="35"/>
      <c r="BA241" s="35" t="s">
        <v>280</v>
      </c>
      <c r="BB241" s="55"/>
      <c r="BC241" s="35" t="s">
        <v>281</v>
      </c>
      <c r="BD241" s="35"/>
      <c r="BE241" s="35"/>
      <c r="BF241" s="35"/>
      <c r="BG241" s="35"/>
      <c r="BH241" s="35"/>
      <c r="BI241" s="35"/>
      <c r="BJ241" s="35"/>
      <c r="BK241" s="35"/>
      <c r="BL241" s="35"/>
      <c r="BM241" s="35">
        <f t="shared" si="57"/>
        <v>0</v>
      </c>
      <c r="BN241" s="54" t="s">
        <v>347</v>
      </c>
      <c r="BO241" s="55" t="s">
        <v>367</v>
      </c>
    </row>
    <row r="242" spans="1:67" ht="12.75" hidden="1" customHeight="1">
      <c r="A242" s="35" t="s">
        <v>282</v>
      </c>
      <c r="C242" s="35" t="s">
        <v>199</v>
      </c>
      <c r="D242" s="35"/>
      <c r="E242" s="35">
        <f t="shared" si="48"/>
        <v>0</v>
      </c>
      <c r="F242" s="35"/>
      <c r="G242" s="35"/>
      <c r="H242" s="35"/>
      <c r="I242" s="35"/>
      <c r="J242" s="35"/>
      <c r="K242" s="35">
        <f t="shared" si="49"/>
        <v>0</v>
      </c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>
        <f t="shared" si="56"/>
        <v>0</v>
      </c>
      <c r="X242" s="35"/>
      <c r="Y242" s="35" t="s">
        <v>282</v>
      </c>
      <c r="Z242" s="55"/>
      <c r="AA242" s="35" t="s">
        <v>199</v>
      </c>
      <c r="AB242" s="35"/>
      <c r="AC242" s="35"/>
      <c r="AD242" s="35"/>
      <c r="AE242" s="35"/>
      <c r="AF242" s="35"/>
      <c r="AG242" s="35"/>
      <c r="AH242" s="35"/>
      <c r="AI242" s="45">
        <f t="shared" si="58"/>
        <v>0</v>
      </c>
      <c r="AJ242" s="45"/>
      <c r="AK242" s="35"/>
      <c r="AL242" s="35"/>
      <c r="AM242" s="35"/>
      <c r="AN242" s="35"/>
      <c r="AO242" s="35"/>
      <c r="AP242" s="35"/>
      <c r="AQ242" s="35"/>
      <c r="AR242" s="35"/>
      <c r="AS242" s="45">
        <f t="shared" si="60"/>
        <v>0</v>
      </c>
      <c r="AT242" s="45"/>
      <c r="AU242" s="35">
        <v>0</v>
      </c>
      <c r="AV242" s="35"/>
      <c r="AW242" s="35">
        <v>0</v>
      </c>
      <c r="AX242" s="35"/>
      <c r="AY242" s="35">
        <f t="shared" si="59"/>
        <v>0</v>
      </c>
      <c r="AZ242" s="35"/>
      <c r="BA242" s="35" t="s">
        <v>282</v>
      </c>
      <c r="BB242" s="55"/>
      <c r="BC242" s="35" t="s">
        <v>199</v>
      </c>
      <c r="BD242" s="35"/>
      <c r="BE242" s="35"/>
      <c r="BF242" s="35"/>
      <c r="BG242" s="35"/>
      <c r="BH242" s="35"/>
      <c r="BI242" s="35"/>
      <c r="BJ242" s="35"/>
      <c r="BK242" s="35"/>
      <c r="BL242" s="35"/>
      <c r="BM242" s="35">
        <f t="shared" si="57"/>
        <v>0</v>
      </c>
      <c r="BN242" s="54" t="s">
        <v>347</v>
      </c>
    </row>
    <row r="243" spans="1:67" ht="12.75" hidden="1" customHeight="1">
      <c r="A243" s="35" t="s">
        <v>283</v>
      </c>
      <c r="C243" s="35" t="s">
        <v>43</v>
      </c>
      <c r="D243" s="35"/>
      <c r="E243" s="35">
        <f t="shared" si="48"/>
        <v>0</v>
      </c>
      <c r="F243" s="35"/>
      <c r="G243" s="35">
        <v>0</v>
      </c>
      <c r="H243" s="35"/>
      <c r="I243" s="35">
        <v>0</v>
      </c>
      <c r="J243" s="35"/>
      <c r="K243" s="35">
        <f t="shared" si="49"/>
        <v>0</v>
      </c>
      <c r="L243" s="35"/>
      <c r="M243" s="35">
        <v>0</v>
      </c>
      <c r="N243" s="35"/>
      <c r="O243" s="35">
        <v>0</v>
      </c>
      <c r="P243" s="35"/>
      <c r="Q243" s="35">
        <v>0</v>
      </c>
      <c r="R243" s="35"/>
      <c r="S243" s="35">
        <v>0</v>
      </c>
      <c r="T243" s="35"/>
      <c r="U243" s="35">
        <v>0</v>
      </c>
      <c r="V243" s="35"/>
      <c r="W243" s="35">
        <f t="shared" si="56"/>
        <v>0</v>
      </c>
      <c r="X243" s="35"/>
      <c r="Y243" s="35" t="s">
        <v>283</v>
      </c>
      <c r="Z243" s="55"/>
      <c r="AA243" s="35" t="s">
        <v>43</v>
      </c>
      <c r="AB243" s="35"/>
      <c r="AC243" s="35">
        <v>0</v>
      </c>
      <c r="AD243" s="35"/>
      <c r="AE243" s="35">
        <v>0</v>
      </c>
      <c r="AF243" s="35"/>
      <c r="AG243" s="35">
        <v>0</v>
      </c>
      <c r="AH243" s="35"/>
      <c r="AI243" s="45">
        <f t="shared" si="58"/>
        <v>0</v>
      </c>
      <c r="AJ243" s="45"/>
      <c r="AK243" s="35">
        <v>0</v>
      </c>
      <c r="AL243" s="35"/>
      <c r="AM243" s="35">
        <v>0</v>
      </c>
      <c r="AN243" s="35"/>
      <c r="AO243" s="35">
        <v>0</v>
      </c>
      <c r="AP243" s="35"/>
      <c r="AQ243" s="35">
        <v>0</v>
      </c>
      <c r="AR243" s="35"/>
      <c r="AS243" s="45">
        <f t="shared" si="60"/>
        <v>0</v>
      </c>
      <c r="AT243" s="45"/>
      <c r="AU243" s="35">
        <v>0</v>
      </c>
      <c r="AV243" s="35"/>
      <c r="AW243" s="35">
        <v>0</v>
      </c>
      <c r="AX243" s="35"/>
      <c r="AY243" s="35">
        <f t="shared" si="59"/>
        <v>0</v>
      </c>
      <c r="AZ243" s="35"/>
      <c r="BA243" s="35" t="s">
        <v>283</v>
      </c>
      <c r="BB243" s="55"/>
      <c r="BC243" s="35" t="s">
        <v>43</v>
      </c>
      <c r="BD243" s="35"/>
      <c r="BE243" s="35"/>
      <c r="BF243" s="35"/>
      <c r="BG243" s="35"/>
      <c r="BH243" s="35"/>
      <c r="BI243" s="35"/>
      <c r="BJ243" s="35"/>
      <c r="BK243" s="35"/>
      <c r="BL243" s="35"/>
      <c r="BM243" s="35">
        <f t="shared" si="57"/>
        <v>0</v>
      </c>
      <c r="BN243" s="54" t="s">
        <v>347</v>
      </c>
      <c r="BO243" s="55" t="s">
        <v>367</v>
      </c>
    </row>
    <row r="244" spans="1:67" ht="12.75" hidden="1" customHeight="1">
      <c r="A244" s="35" t="s">
        <v>284</v>
      </c>
      <c r="C244" s="35" t="s">
        <v>45</v>
      </c>
      <c r="D244" s="35"/>
      <c r="E244" s="35">
        <f t="shared" si="48"/>
        <v>0</v>
      </c>
      <c r="F244" s="35"/>
      <c r="G244" s="35">
        <v>0</v>
      </c>
      <c r="H244" s="35"/>
      <c r="I244" s="35">
        <v>0</v>
      </c>
      <c r="J244" s="35"/>
      <c r="K244" s="35">
        <f t="shared" si="49"/>
        <v>0</v>
      </c>
      <c r="L244" s="35"/>
      <c r="M244" s="35">
        <v>0</v>
      </c>
      <c r="N244" s="35"/>
      <c r="O244" s="35">
        <v>0</v>
      </c>
      <c r="P244" s="35"/>
      <c r="Q244" s="35">
        <v>0</v>
      </c>
      <c r="R244" s="35"/>
      <c r="S244" s="35">
        <v>0</v>
      </c>
      <c r="T244" s="35"/>
      <c r="U244" s="35">
        <v>0</v>
      </c>
      <c r="V244" s="35"/>
      <c r="W244" s="35">
        <f t="shared" si="56"/>
        <v>0</v>
      </c>
      <c r="X244" s="35"/>
      <c r="Y244" s="35" t="s">
        <v>284</v>
      </c>
      <c r="Z244" s="55"/>
      <c r="AA244" s="35" t="s">
        <v>45</v>
      </c>
      <c r="AB244" s="35"/>
      <c r="AC244" s="35">
        <v>0</v>
      </c>
      <c r="AD244" s="35"/>
      <c r="AE244" s="35">
        <v>0</v>
      </c>
      <c r="AF244" s="35"/>
      <c r="AG244" s="35">
        <v>0</v>
      </c>
      <c r="AH244" s="35"/>
      <c r="AI244" s="45">
        <v>0</v>
      </c>
      <c r="AJ244" s="45"/>
      <c r="AK244" s="35">
        <v>0</v>
      </c>
      <c r="AL244" s="35"/>
      <c r="AM244" s="35">
        <v>0</v>
      </c>
      <c r="AN244" s="35"/>
      <c r="AO244" s="35">
        <v>0</v>
      </c>
      <c r="AP244" s="35"/>
      <c r="AQ244" s="35">
        <v>0</v>
      </c>
      <c r="AR244" s="35"/>
      <c r="AS244" s="45">
        <f t="shared" si="60"/>
        <v>0</v>
      </c>
      <c r="AT244" s="45"/>
      <c r="AU244" s="35">
        <v>0</v>
      </c>
      <c r="AV244" s="35"/>
      <c r="AW244" s="35">
        <v>0</v>
      </c>
      <c r="AX244" s="35"/>
      <c r="AY244" s="35">
        <f t="shared" si="59"/>
        <v>0</v>
      </c>
      <c r="AZ244" s="35"/>
      <c r="BA244" s="35" t="s">
        <v>284</v>
      </c>
      <c r="BB244" s="55"/>
      <c r="BC244" s="35" t="s">
        <v>45</v>
      </c>
      <c r="BD244" s="35"/>
      <c r="BE244" s="35"/>
      <c r="BF244" s="35"/>
      <c r="BG244" s="35"/>
      <c r="BH244" s="35"/>
      <c r="BI244" s="35"/>
      <c r="BJ244" s="35"/>
      <c r="BK244" s="35"/>
      <c r="BL244" s="35"/>
      <c r="BM244" s="35">
        <f t="shared" si="57"/>
        <v>0</v>
      </c>
      <c r="BN244" s="54" t="s">
        <v>347</v>
      </c>
    </row>
    <row r="245" spans="1:67" ht="12.75" hidden="1" customHeight="1">
      <c r="A245" s="35" t="s">
        <v>285</v>
      </c>
      <c r="C245" s="35" t="s">
        <v>30</v>
      </c>
      <c r="D245" s="35"/>
      <c r="E245" s="35">
        <f t="shared" si="48"/>
        <v>0</v>
      </c>
      <c r="F245" s="35"/>
      <c r="G245" s="35">
        <v>0</v>
      </c>
      <c r="H245" s="35"/>
      <c r="I245" s="35">
        <v>0</v>
      </c>
      <c r="J245" s="35"/>
      <c r="K245" s="35">
        <f t="shared" si="49"/>
        <v>0</v>
      </c>
      <c r="L245" s="35"/>
      <c r="M245" s="35">
        <v>0</v>
      </c>
      <c r="N245" s="35"/>
      <c r="O245" s="35">
        <v>0</v>
      </c>
      <c r="P245" s="35"/>
      <c r="Q245" s="35">
        <v>0</v>
      </c>
      <c r="R245" s="35"/>
      <c r="S245" s="35">
        <v>0</v>
      </c>
      <c r="T245" s="35"/>
      <c r="U245" s="35">
        <v>0</v>
      </c>
      <c r="V245" s="35"/>
      <c r="W245" s="35">
        <f t="shared" si="56"/>
        <v>0</v>
      </c>
      <c r="X245" s="35"/>
      <c r="Y245" s="35" t="s">
        <v>285</v>
      </c>
      <c r="Z245" s="55"/>
      <c r="AA245" s="35" t="s">
        <v>30</v>
      </c>
      <c r="AB245" s="35"/>
      <c r="AC245" s="35">
        <v>0</v>
      </c>
      <c r="AD245" s="35"/>
      <c r="AE245" s="35">
        <v>0</v>
      </c>
      <c r="AF245" s="35"/>
      <c r="AG245" s="35">
        <v>0</v>
      </c>
      <c r="AH245" s="35"/>
      <c r="AI245" s="45">
        <f>+AC245-AE245-AG245</f>
        <v>0</v>
      </c>
      <c r="AJ245" s="45"/>
      <c r="AK245" s="35">
        <v>0</v>
      </c>
      <c r="AL245" s="35"/>
      <c r="AM245" s="35">
        <v>0</v>
      </c>
      <c r="AN245" s="35"/>
      <c r="AO245" s="35">
        <v>0</v>
      </c>
      <c r="AP245" s="35"/>
      <c r="AQ245" s="35">
        <v>0</v>
      </c>
      <c r="AR245" s="35"/>
      <c r="AS245" s="45">
        <f t="shared" si="60"/>
        <v>0</v>
      </c>
      <c r="AT245" s="45"/>
      <c r="AU245" s="35">
        <v>0</v>
      </c>
      <c r="AV245" s="35"/>
      <c r="AW245" s="35">
        <v>0</v>
      </c>
      <c r="AX245" s="35"/>
      <c r="AY245" s="35">
        <f t="shared" si="59"/>
        <v>0</v>
      </c>
      <c r="AZ245" s="35"/>
      <c r="BA245" s="35" t="s">
        <v>285</v>
      </c>
      <c r="BB245" s="55"/>
      <c r="BC245" s="35" t="s">
        <v>30</v>
      </c>
      <c r="BD245" s="35"/>
      <c r="BE245" s="35"/>
      <c r="BF245" s="35"/>
      <c r="BG245" s="35"/>
      <c r="BH245" s="35"/>
      <c r="BI245" s="35"/>
      <c r="BJ245" s="35"/>
      <c r="BK245" s="35"/>
      <c r="BL245" s="35"/>
      <c r="BM245" s="35">
        <f t="shared" si="57"/>
        <v>0</v>
      </c>
      <c r="BN245" s="54" t="s">
        <v>347</v>
      </c>
    </row>
    <row r="246" spans="1:67" ht="12.75" hidden="1" customHeight="1">
      <c r="A246" s="35" t="s">
        <v>286</v>
      </c>
      <c r="C246" s="35" t="s">
        <v>61</v>
      </c>
      <c r="D246" s="35"/>
      <c r="E246" s="35">
        <f t="shared" si="48"/>
        <v>0</v>
      </c>
      <c r="F246" s="35"/>
      <c r="G246" s="35"/>
      <c r="H246" s="35"/>
      <c r="I246" s="35"/>
      <c r="J246" s="35"/>
      <c r="K246" s="35">
        <f t="shared" si="49"/>
        <v>0</v>
      </c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>
        <f t="shared" si="56"/>
        <v>0</v>
      </c>
      <c r="X246" s="35"/>
      <c r="Y246" s="35" t="s">
        <v>286</v>
      </c>
      <c r="Z246" s="55"/>
      <c r="AA246" s="35" t="s">
        <v>61</v>
      </c>
      <c r="AB246" s="35"/>
      <c r="AC246" s="35"/>
      <c r="AD246" s="35"/>
      <c r="AE246" s="35"/>
      <c r="AF246" s="35"/>
      <c r="AG246" s="35"/>
      <c r="AH246" s="35"/>
      <c r="AI246" s="45">
        <f>+AC246-AE246-AG246</f>
        <v>0</v>
      </c>
      <c r="AJ246" s="45"/>
      <c r="AK246" s="35"/>
      <c r="AL246" s="35"/>
      <c r="AM246" s="35"/>
      <c r="AN246" s="35"/>
      <c r="AO246" s="35"/>
      <c r="AP246" s="35"/>
      <c r="AQ246" s="35"/>
      <c r="AR246" s="35"/>
      <c r="AS246" s="45">
        <f t="shared" si="60"/>
        <v>0</v>
      </c>
      <c r="AT246" s="45"/>
      <c r="AU246" s="35">
        <v>0</v>
      </c>
      <c r="AV246" s="35"/>
      <c r="AW246" s="35">
        <v>0</v>
      </c>
      <c r="AX246" s="35"/>
      <c r="AY246" s="35">
        <f t="shared" si="59"/>
        <v>0</v>
      </c>
      <c r="AZ246" s="35"/>
      <c r="BA246" s="35" t="s">
        <v>286</v>
      </c>
      <c r="BB246" s="55"/>
      <c r="BC246" s="35" t="s">
        <v>61</v>
      </c>
      <c r="BD246" s="35"/>
      <c r="BE246" s="35"/>
      <c r="BF246" s="35"/>
      <c r="BG246" s="35"/>
      <c r="BH246" s="35"/>
      <c r="BI246" s="35"/>
      <c r="BJ246" s="35"/>
      <c r="BK246" s="35"/>
      <c r="BL246" s="35"/>
      <c r="BM246" s="35">
        <f t="shared" si="57"/>
        <v>0</v>
      </c>
      <c r="BN246" s="54" t="s">
        <v>347</v>
      </c>
    </row>
    <row r="247" spans="1:67" ht="12.75" hidden="1" customHeight="1">
      <c r="A247" s="35" t="s">
        <v>287</v>
      </c>
      <c r="C247" s="35" t="s">
        <v>288</v>
      </c>
      <c r="D247" s="35"/>
      <c r="E247" s="35">
        <f t="shared" si="48"/>
        <v>0</v>
      </c>
      <c r="F247" s="35"/>
      <c r="G247" s="35">
        <v>0</v>
      </c>
      <c r="H247" s="35"/>
      <c r="I247" s="35">
        <v>0</v>
      </c>
      <c r="J247" s="35"/>
      <c r="K247" s="35">
        <f t="shared" si="49"/>
        <v>0</v>
      </c>
      <c r="L247" s="35"/>
      <c r="M247" s="35">
        <v>0</v>
      </c>
      <c r="N247" s="35"/>
      <c r="O247" s="35">
        <v>0</v>
      </c>
      <c r="P247" s="35"/>
      <c r="Q247" s="35">
        <v>0</v>
      </c>
      <c r="R247" s="35"/>
      <c r="S247" s="35">
        <v>0</v>
      </c>
      <c r="T247" s="35"/>
      <c r="U247" s="35">
        <v>0</v>
      </c>
      <c r="V247" s="35"/>
      <c r="W247" s="35">
        <f t="shared" si="56"/>
        <v>0</v>
      </c>
      <c r="X247" s="35"/>
      <c r="Y247" s="35" t="s">
        <v>287</v>
      </c>
      <c r="Z247" s="55"/>
      <c r="AA247" s="35" t="s">
        <v>288</v>
      </c>
      <c r="AB247" s="35"/>
      <c r="AC247" s="35">
        <v>0</v>
      </c>
      <c r="AD247" s="35"/>
      <c r="AE247" s="35">
        <v>0</v>
      </c>
      <c r="AF247" s="35"/>
      <c r="AG247" s="35">
        <v>0</v>
      </c>
      <c r="AH247" s="35"/>
      <c r="AI247" s="45">
        <f>+AC247-AE247-AG247</f>
        <v>0</v>
      </c>
      <c r="AJ247" s="45"/>
      <c r="AK247" s="35">
        <v>0</v>
      </c>
      <c r="AL247" s="35"/>
      <c r="AM247" s="35">
        <v>0</v>
      </c>
      <c r="AN247" s="35"/>
      <c r="AO247" s="35">
        <v>0</v>
      </c>
      <c r="AP247" s="35"/>
      <c r="AQ247" s="35">
        <v>0</v>
      </c>
      <c r="AR247" s="35"/>
      <c r="AS247" s="45">
        <f t="shared" si="60"/>
        <v>0</v>
      </c>
      <c r="AT247" s="45"/>
      <c r="AU247" s="35">
        <v>0</v>
      </c>
      <c r="AV247" s="35"/>
      <c r="AW247" s="35">
        <v>0</v>
      </c>
      <c r="AX247" s="35"/>
      <c r="AY247" s="35">
        <f t="shared" si="59"/>
        <v>0</v>
      </c>
      <c r="AZ247" s="35"/>
      <c r="BA247" s="35" t="s">
        <v>287</v>
      </c>
      <c r="BB247" s="55"/>
      <c r="BC247" s="35" t="s">
        <v>288</v>
      </c>
      <c r="BD247" s="35"/>
      <c r="BE247" s="35"/>
      <c r="BF247" s="35"/>
      <c r="BG247" s="35"/>
      <c r="BH247" s="35"/>
      <c r="BI247" s="35"/>
      <c r="BJ247" s="35"/>
      <c r="BK247" s="35"/>
      <c r="BL247" s="35"/>
      <c r="BM247" s="35">
        <f t="shared" si="57"/>
        <v>0</v>
      </c>
      <c r="BN247" s="54" t="s">
        <v>347</v>
      </c>
    </row>
    <row r="248" spans="1:67" ht="12.75" customHeight="1"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5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B248" s="5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</row>
    <row r="249" spans="1:67" ht="12.75" customHeight="1"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5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B249" s="5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</row>
    <row r="250" spans="1:67" ht="12.75" customHeight="1"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5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B250" s="5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</row>
    <row r="251" spans="1:67" ht="12.75" customHeight="1"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5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B251" s="5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</row>
    <row r="252" spans="1:67" ht="12.75" customHeight="1"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5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B252" s="5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</row>
    <row r="253" spans="1:67" ht="12.75" customHeight="1"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5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B253" s="5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</row>
    <row r="254" spans="1:67" ht="12.75" customHeight="1"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5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B254" s="5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</row>
    <row r="255" spans="1:67" ht="12.75" customHeight="1"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5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B255" s="5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</row>
    <row r="256" spans="1:67" ht="12.75" customHeight="1"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5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B256" s="5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</row>
    <row r="257" spans="5:66" ht="12.75" customHeight="1"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5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B257" s="5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</row>
    <row r="258" spans="5:66" ht="12.75" customHeight="1"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5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B258" s="5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</row>
    <row r="259" spans="5:66" ht="12.75" customHeight="1"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5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B259" s="5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</row>
    <row r="260" spans="5:66" ht="12.75" customHeight="1"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5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B260" s="5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</row>
    <row r="261" spans="5:66" ht="12.75" customHeight="1"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5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B261" s="5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</row>
    <row r="262" spans="5:66" ht="12.75" customHeight="1"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5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B262" s="5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</row>
    <row r="263" spans="5:66" ht="12.75" customHeight="1"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5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B263" s="5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</row>
    <row r="264" spans="5:66" ht="12.75" customHeight="1"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5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B264" s="5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</row>
    <row r="265" spans="5:66" ht="12.75" customHeight="1"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5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B265" s="5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</row>
    <row r="266" spans="5:66" ht="12.75" customHeight="1"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5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B266" s="5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</row>
    <row r="267" spans="5:66" ht="12.75" customHeight="1"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5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B267" s="5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</row>
    <row r="268" spans="5:66" ht="12.75" customHeight="1"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5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B268" s="5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</row>
    <row r="269" spans="5:66" ht="12.75" customHeight="1"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5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B269" s="5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</row>
    <row r="270" spans="5:66" ht="12.75" customHeight="1">
      <c r="Z270" s="55"/>
      <c r="BB270" s="55"/>
      <c r="BE270" s="45"/>
      <c r="BG270" s="45"/>
      <c r="BI270" s="45"/>
      <c r="BK270" s="45"/>
    </row>
    <row r="271" spans="5:66" ht="12.75" customHeight="1">
      <c r="Z271" s="55"/>
      <c r="BB271" s="55"/>
      <c r="BE271" s="45"/>
      <c r="BG271" s="45"/>
      <c r="BI271" s="45"/>
      <c r="BK271" s="45"/>
    </row>
    <row r="272" spans="5:66" ht="12.75" customHeight="1">
      <c r="Z272" s="55"/>
      <c r="BB272" s="55"/>
      <c r="BE272" s="45"/>
      <c r="BG272" s="45"/>
      <c r="BI272" s="45"/>
      <c r="BK272" s="45"/>
    </row>
    <row r="273" spans="26:63" ht="12.75" customHeight="1">
      <c r="Z273" s="55"/>
      <c r="BB273" s="55"/>
      <c r="BE273" s="45"/>
      <c r="BG273" s="45"/>
      <c r="BI273" s="45"/>
      <c r="BK273" s="45"/>
    </row>
    <row r="274" spans="26:63" ht="12.75" customHeight="1">
      <c r="Z274" s="55"/>
      <c r="BB274" s="55"/>
      <c r="BE274" s="45"/>
      <c r="BG274" s="45"/>
      <c r="BI274" s="45"/>
      <c r="BK274" s="45"/>
    </row>
    <row r="275" spans="26:63" ht="12.75" customHeight="1">
      <c r="Z275" s="55"/>
      <c r="BB275" s="55"/>
      <c r="BE275" s="45"/>
      <c r="BG275" s="45"/>
      <c r="BI275" s="45"/>
      <c r="BK275" s="45"/>
    </row>
    <row r="276" spans="26:63" ht="12.75" customHeight="1">
      <c r="Z276" s="55"/>
      <c r="BB276" s="55"/>
      <c r="BE276" s="45"/>
      <c r="BG276" s="45"/>
      <c r="BI276" s="45"/>
      <c r="BK276" s="45"/>
    </row>
    <row r="277" spans="26:63" ht="12.75" customHeight="1">
      <c r="Z277" s="55"/>
      <c r="BB277" s="55"/>
      <c r="BE277" s="45"/>
      <c r="BG277" s="45"/>
      <c r="BI277" s="45"/>
      <c r="BK277" s="45"/>
    </row>
    <row r="278" spans="26:63" ht="12.75" customHeight="1">
      <c r="Z278" s="55"/>
      <c r="BB278" s="55"/>
      <c r="BE278" s="45"/>
      <c r="BG278" s="45"/>
      <c r="BI278" s="45"/>
      <c r="BK278" s="45"/>
    </row>
    <row r="279" spans="26:63" ht="12.75" customHeight="1">
      <c r="Z279" s="55"/>
      <c r="BB279" s="55"/>
      <c r="BE279" s="45"/>
      <c r="BG279" s="45"/>
      <c r="BI279" s="45"/>
      <c r="BK279" s="45"/>
    </row>
    <row r="280" spans="26:63" ht="12.75" customHeight="1">
      <c r="Z280" s="55"/>
      <c r="BB280" s="55"/>
      <c r="BE280" s="45"/>
      <c r="BG280" s="45"/>
      <c r="BI280" s="45"/>
      <c r="BK280" s="45"/>
    </row>
    <row r="281" spans="26:63" ht="12.75" customHeight="1">
      <c r="Z281" s="55"/>
      <c r="BB281" s="55"/>
      <c r="BE281" s="45"/>
      <c r="BG281" s="45"/>
      <c r="BI281" s="45"/>
      <c r="BK281" s="45"/>
    </row>
    <row r="282" spans="26:63" ht="12.75" customHeight="1">
      <c r="Z282" s="55"/>
      <c r="BB282" s="55"/>
      <c r="BE282" s="45"/>
      <c r="BG282" s="45"/>
      <c r="BI282" s="45"/>
      <c r="BK282" s="45"/>
    </row>
    <row r="283" spans="26:63" ht="12.75" customHeight="1">
      <c r="Z283" s="55"/>
      <c r="BB283" s="55"/>
      <c r="BE283" s="45"/>
      <c r="BG283" s="45"/>
      <c r="BI283" s="45"/>
      <c r="BK283" s="45"/>
    </row>
    <row r="284" spans="26:63" ht="12.75" customHeight="1">
      <c r="Z284" s="55"/>
      <c r="BB284" s="55"/>
      <c r="BE284" s="45"/>
      <c r="BG284" s="45"/>
      <c r="BI284" s="45"/>
      <c r="BK284" s="45"/>
    </row>
    <row r="285" spans="26:63" ht="12.75" customHeight="1">
      <c r="Z285" s="55"/>
      <c r="BB285" s="55"/>
      <c r="BE285" s="45"/>
      <c r="BG285" s="45"/>
      <c r="BI285" s="45"/>
      <c r="BK285" s="45"/>
    </row>
    <row r="286" spans="26:63" ht="12.75" customHeight="1">
      <c r="Z286" s="55"/>
      <c r="BB286" s="55"/>
      <c r="BE286" s="45"/>
      <c r="BG286" s="45"/>
      <c r="BI286" s="45"/>
      <c r="BK286" s="45"/>
    </row>
    <row r="287" spans="26:63" ht="12.75" customHeight="1">
      <c r="Z287" s="55"/>
      <c r="BB287" s="55"/>
      <c r="BE287" s="45"/>
      <c r="BG287" s="45"/>
      <c r="BI287" s="45"/>
      <c r="BK287" s="45"/>
    </row>
    <row r="288" spans="26:63" ht="12.75" customHeight="1">
      <c r="Z288" s="55"/>
      <c r="BB288" s="55"/>
      <c r="BE288" s="45"/>
      <c r="BG288" s="45"/>
      <c r="BI288" s="45"/>
      <c r="BK288" s="45"/>
    </row>
    <row r="289" spans="26:63" ht="12.75" customHeight="1">
      <c r="Z289" s="55"/>
      <c r="BB289" s="55"/>
      <c r="BE289" s="45"/>
      <c r="BG289" s="45"/>
      <c r="BI289" s="45"/>
      <c r="BK289" s="45"/>
    </row>
    <row r="290" spans="26:63" ht="12.75" customHeight="1">
      <c r="Z290" s="55"/>
      <c r="BB290" s="55"/>
      <c r="BE290" s="45"/>
      <c r="BG290" s="45"/>
      <c r="BI290" s="45"/>
      <c r="BK290" s="45"/>
    </row>
    <row r="291" spans="26:63" ht="12.75" customHeight="1">
      <c r="Z291" s="55"/>
      <c r="BB291" s="55"/>
      <c r="BE291" s="45"/>
      <c r="BG291" s="45"/>
      <c r="BI291" s="45"/>
      <c r="BK291" s="45"/>
    </row>
    <row r="292" spans="26:63" ht="12.75" customHeight="1">
      <c r="Z292" s="55"/>
      <c r="BB292" s="55"/>
      <c r="BE292" s="45"/>
      <c r="BG292" s="45"/>
      <c r="BI292" s="45"/>
      <c r="BK292" s="45"/>
    </row>
    <row r="293" spans="26:63" ht="12.75" customHeight="1">
      <c r="Z293" s="55"/>
      <c r="BB293" s="55"/>
      <c r="BE293" s="45"/>
      <c r="BG293" s="45"/>
      <c r="BI293" s="45"/>
      <c r="BK293" s="45"/>
    </row>
    <row r="294" spans="26:63" ht="12.75" customHeight="1">
      <c r="Z294" s="55"/>
      <c r="BB294" s="55"/>
      <c r="BE294" s="45"/>
      <c r="BG294" s="45"/>
      <c r="BI294" s="45"/>
      <c r="BK294" s="45"/>
    </row>
    <row r="295" spans="26:63" ht="12.75" customHeight="1">
      <c r="Z295" s="55"/>
      <c r="BB295" s="55"/>
      <c r="BE295" s="45"/>
      <c r="BG295" s="45"/>
      <c r="BI295" s="45"/>
      <c r="BK295" s="45"/>
    </row>
    <row r="296" spans="26:63" ht="12.75" customHeight="1">
      <c r="Z296" s="55"/>
      <c r="BB296" s="55"/>
      <c r="BE296" s="45"/>
      <c r="BG296" s="45"/>
      <c r="BI296" s="45"/>
      <c r="BK296" s="45"/>
    </row>
    <row r="297" spans="26:63" ht="12.75" customHeight="1">
      <c r="Z297" s="55"/>
      <c r="BB297" s="55"/>
      <c r="BE297" s="45"/>
      <c r="BG297" s="45"/>
      <c r="BI297" s="45"/>
      <c r="BK297" s="45"/>
    </row>
    <row r="298" spans="26:63" ht="12.75" customHeight="1">
      <c r="Z298" s="55"/>
      <c r="BB298" s="55"/>
      <c r="BE298" s="45"/>
      <c r="BG298" s="45"/>
      <c r="BI298" s="45"/>
      <c r="BK298" s="45"/>
    </row>
    <row r="299" spans="26:63" ht="12.75" customHeight="1">
      <c r="Z299" s="55"/>
      <c r="BB299" s="55"/>
      <c r="BE299" s="45"/>
      <c r="BG299" s="45"/>
      <c r="BI299" s="45"/>
      <c r="BK299" s="45"/>
    </row>
    <row r="300" spans="26:63" ht="12.75" customHeight="1">
      <c r="Z300" s="55"/>
      <c r="BB300" s="55"/>
      <c r="BE300" s="45"/>
      <c r="BG300" s="45"/>
      <c r="BI300" s="45"/>
      <c r="BK300" s="45"/>
    </row>
    <row r="301" spans="26:63" ht="12.75" customHeight="1">
      <c r="Z301" s="55"/>
      <c r="BB301" s="55"/>
      <c r="BE301" s="45"/>
      <c r="BG301" s="45"/>
      <c r="BI301" s="45"/>
      <c r="BK301" s="45"/>
    </row>
    <row r="302" spans="26:63" ht="12.75" customHeight="1">
      <c r="Z302" s="55"/>
      <c r="BB302" s="55"/>
      <c r="BE302" s="45"/>
      <c r="BG302" s="45"/>
      <c r="BI302" s="45"/>
      <c r="BK302" s="45"/>
    </row>
    <row r="303" spans="26:63" ht="12.75" customHeight="1">
      <c r="Z303" s="55"/>
      <c r="BB303" s="55"/>
      <c r="BE303" s="45"/>
      <c r="BG303" s="45"/>
      <c r="BI303" s="45"/>
      <c r="BK303" s="45"/>
    </row>
    <row r="304" spans="26:63" ht="12.75" customHeight="1">
      <c r="Z304" s="55"/>
      <c r="BB304" s="55"/>
      <c r="BE304" s="45"/>
      <c r="BG304" s="45"/>
      <c r="BI304" s="45"/>
      <c r="BK304" s="45"/>
    </row>
    <row r="305" spans="26:63" ht="12.75" customHeight="1">
      <c r="Z305" s="55"/>
      <c r="BB305" s="55"/>
      <c r="BE305" s="45"/>
      <c r="BG305" s="45"/>
      <c r="BI305" s="45"/>
      <c r="BK305" s="45"/>
    </row>
    <row r="306" spans="26:63" ht="12.75" customHeight="1">
      <c r="Z306" s="55"/>
      <c r="BB306" s="55"/>
      <c r="BE306" s="45"/>
      <c r="BG306" s="45"/>
      <c r="BI306" s="45"/>
      <c r="BK306" s="45"/>
    </row>
    <row r="307" spans="26:63" ht="12.75" customHeight="1">
      <c r="Z307" s="55"/>
      <c r="BB307" s="55"/>
      <c r="BE307" s="45"/>
      <c r="BG307" s="45"/>
      <c r="BI307" s="45"/>
      <c r="BK307" s="45"/>
    </row>
    <row r="308" spans="26:63" ht="12.75" customHeight="1">
      <c r="Z308" s="55"/>
      <c r="BB308" s="55"/>
      <c r="BE308" s="45"/>
      <c r="BG308" s="45"/>
      <c r="BI308" s="45"/>
      <c r="BK308" s="45"/>
    </row>
    <row r="309" spans="26:63" ht="12.75" customHeight="1">
      <c r="Z309" s="55"/>
      <c r="BB309" s="55"/>
      <c r="BE309" s="45"/>
      <c r="BG309" s="45"/>
      <c r="BI309" s="45"/>
      <c r="BK309" s="45"/>
    </row>
    <row r="310" spans="26:63" ht="12.75" customHeight="1">
      <c r="Z310" s="55"/>
      <c r="BB310" s="55"/>
      <c r="BE310" s="45"/>
      <c r="BG310" s="45"/>
      <c r="BI310" s="45"/>
      <c r="BK310" s="45"/>
    </row>
    <row r="311" spans="26:63" ht="12.75" customHeight="1">
      <c r="Z311" s="55"/>
      <c r="BB311" s="55"/>
    </row>
    <row r="312" spans="26:63" ht="12.75" customHeight="1">
      <c r="Z312" s="55"/>
      <c r="BB312" s="55"/>
    </row>
    <row r="313" spans="26:63" ht="12.75" customHeight="1">
      <c r="Z313" s="55"/>
      <c r="BB313" s="55"/>
    </row>
    <row r="314" spans="26:63" ht="12.75" customHeight="1">
      <c r="Z314" s="55"/>
      <c r="BB314" s="55"/>
    </row>
  </sheetData>
  <mergeCells count="1">
    <mergeCell ref="Q6:U6"/>
  </mergeCells>
  <phoneticPr fontId="4" type="noConversion"/>
  <pageMargins left="0.75" right="0.75" top="0.5" bottom="0.5" header="0" footer="0.25"/>
  <pageSetup scale="90" firstPageNumber="120" pageOrder="overThenDown" orientation="portrait" useFirstPageNumber="1" r:id="rId1"/>
  <headerFooter alignWithMargins="0">
    <oddFooter>&amp;C&amp;"Times New Roman,Regular"&amp;11&amp;P</oddFooter>
  </headerFooter>
  <colBreaks count="1" manualBreakCount="1">
    <brk id="12" min="12" max="23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F301"/>
  <sheetViews>
    <sheetView zoomScaleNormal="100" zoomScaleSheetLayoutView="75" workbookViewId="0">
      <pane xSplit="3" ySplit="8" topLeftCell="D9" activePane="bottomRight" state="frozen"/>
      <selection pane="topRight" activeCell="D1" sqref="D1"/>
      <selection pane="bottomLeft" activeCell="A10" sqref="A10"/>
      <selection pane="bottomRight" activeCell="A5" sqref="A5"/>
    </sheetView>
  </sheetViews>
  <sheetFormatPr defaultColWidth="9.140625" defaultRowHeight="12.75" customHeight="1"/>
  <cols>
    <col min="1" max="1" width="15.140625" style="57" customWidth="1"/>
    <col min="2" max="2" width="1.7109375" customWidth="1"/>
    <col min="3" max="3" width="11.28515625" style="57" customWidth="1"/>
    <col min="4" max="4" width="1.7109375" style="57" customWidth="1"/>
    <col min="5" max="5" width="11.7109375" style="57" customWidth="1"/>
    <col min="6" max="6" width="1.7109375" style="57" customWidth="1"/>
    <col min="7" max="7" width="11.7109375" style="57" customWidth="1"/>
    <col min="8" max="8" width="1.7109375" style="57" customWidth="1"/>
    <col min="9" max="9" width="11.7109375" style="57" customWidth="1"/>
    <col min="10" max="10" width="1.7109375" style="57" customWidth="1"/>
    <col min="11" max="11" width="11.7109375" style="57" customWidth="1"/>
    <col min="12" max="12" width="1.7109375" style="57" customWidth="1"/>
    <col min="13" max="13" width="11.7109375" style="57" customWidth="1"/>
    <col min="14" max="14" width="1.7109375" style="57" customWidth="1"/>
    <col min="15" max="15" width="11.7109375" style="57" customWidth="1"/>
    <col min="16" max="16" width="1.7109375" style="57" customWidth="1"/>
    <col min="17" max="17" width="11.7109375" style="57" customWidth="1"/>
    <col min="18" max="18" width="1.7109375" style="57" customWidth="1"/>
    <col min="19" max="19" width="12.85546875" style="57" bestFit="1" customWidth="1"/>
    <col min="20" max="20" width="1.7109375" style="57" customWidth="1"/>
    <col min="21" max="21" width="11.7109375" style="2" customWidth="1"/>
    <col min="22" max="22" width="1.7109375" style="57" customWidth="1"/>
    <col min="23" max="23" width="11.85546875" style="2" bestFit="1" customWidth="1"/>
    <col min="24" max="24" width="1.7109375" style="57" customWidth="1"/>
    <col min="25" max="25" width="13.140625" style="57" bestFit="1" customWidth="1"/>
    <col min="26" max="26" width="1.7109375" style="57" customWidth="1"/>
    <col min="27" max="27" width="13.28515625" style="57" bestFit="1" customWidth="1"/>
    <col min="28" max="28" width="1.7109375" style="57" customWidth="1"/>
    <col min="29" max="30" width="11.5703125" style="57" bestFit="1" customWidth="1"/>
    <col min="31" max="16384" width="9.140625" style="57"/>
  </cols>
  <sheetData>
    <row r="1" spans="1:25" s="69" customFormat="1" ht="12.75" customHeight="1">
      <c r="A1" s="20" t="s">
        <v>421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"/>
      <c r="U1" s="1"/>
      <c r="W1" s="1"/>
    </row>
    <row r="2" spans="1:25" s="69" customFormat="1" ht="12.75" customHeight="1">
      <c r="A2" s="20" t="s">
        <v>500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1"/>
      <c r="U2" s="1"/>
      <c r="W2" s="1"/>
    </row>
    <row r="3" spans="1:25" ht="12.75" customHeight="1">
      <c r="A3" s="22" t="s">
        <v>289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2"/>
    </row>
    <row r="4" spans="1:25" ht="12.75" customHeight="1">
      <c r="A4" s="22" t="s">
        <v>484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</row>
    <row r="5" spans="1:25" ht="12.75" customHeight="1">
      <c r="A5" s="22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2"/>
    </row>
    <row r="6" spans="1:25" s="71" customFormat="1" ht="12.75" customHeight="1">
      <c r="A6" s="6"/>
      <c r="C6" s="6"/>
      <c r="D6" s="6"/>
      <c r="E6" s="6" t="s">
        <v>296</v>
      </c>
      <c r="F6" s="6"/>
      <c r="G6" s="6" t="s">
        <v>328</v>
      </c>
      <c r="H6" s="6"/>
      <c r="I6" s="6"/>
      <c r="J6" s="6"/>
      <c r="K6" s="6"/>
      <c r="L6" s="6"/>
      <c r="M6" s="6"/>
      <c r="N6" s="6"/>
      <c r="O6" s="6"/>
      <c r="P6" s="6"/>
      <c r="Q6" s="6" t="s">
        <v>376</v>
      </c>
      <c r="R6" s="6"/>
      <c r="S6" s="6" t="s">
        <v>6</v>
      </c>
      <c r="T6" s="3"/>
      <c r="U6" s="3" t="s">
        <v>440</v>
      </c>
      <c r="W6" s="3"/>
    </row>
    <row r="7" spans="1:25" s="71" customFormat="1" ht="12.75" customHeight="1">
      <c r="A7" s="6"/>
      <c r="C7" s="6"/>
      <c r="D7" s="6"/>
      <c r="E7" s="6" t="s">
        <v>356</v>
      </c>
      <c r="F7" s="6"/>
      <c r="G7" s="6" t="s">
        <v>377</v>
      </c>
      <c r="H7" s="6"/>
      <c r="I7" s="6" t="s">
        <v>378</v>
      </c>
      <c r="J7" s="6"/>
      <c r="K7" s="6" t="s">
        <v>363</v>
      </c>
      <c r="L7" s="6"/>
      <c r="M7" s="6" t="s">
        <v>4</v>
      </c>
      <c r="N7" s="6"/>
      <c r="O7" s="6" t="s">
        <v>379</v>
      </c>
      <c r="P7" s="6"/>
      <c r="Q7" s="6" t="s">
        <v>294</v>
      </c>
      <c r="R7" s="6"/>
      <c r="S7" s="6" t="s">
        <v>352</v>
      </c>
      <c r="T7" s="3"/>
      <c r="U7" s="3" t="s">
        <v>441</v>
      </c>
      <c r="W7" s="3" t="s">
        <v>324</v>
      </c>
    </row>
    <row r="8" spans="1:25" s="106" customFormat="1" ht="12.75" customHeight="1">
      <c r="A8" s="7" t="s">
        <v>8</v>
      </c>
      <c r="C8" s="7" t="s">
        <v>9</v>
      </c>
      <c r="D8" s="8"/>
      <c r="E8" s="78" t="s">
        <v>362</v>
      </c>
      <c r="F8" s="8"/>
      <c r="G8" s="78" t="s">
        <v>362</v>
      </c>
      <c r="H8" s="8"/>
      <c r="I8" s="78" t="s">
        <v>380</v>
      </c>
      <c r="J8" s="8"/>
      <c r="K8" s="78" t="s">
        <v>381</v>
      </c>
      <c r="L8" s="8"/>
      <c r="M8" s="78" t="s">
        <v>382</v>
      </c>
      <c r="N8" s="8"/>
      <c r="O8" s="78" t="s">
        <v>383</v>
      </c>
      <c r="P8" s="8"/>
      <c r="Q8" s="78" t="s">
        <v>364</v>
      </c>
      <c r="R8" s="8"/>
      <c r="S8" s="78" t="s">
        <v>364</v>
      </c>
      <c r="T8" s="81"/>
      <c r="U8" s="7" t="s">
        <v>442</v>
      </c>
      <c r="W8" s="81" t="s">
        <v>436</v>
      </c>
    </row>
    <row r="9" spans="1:25" s="65" customFormat="1" ht="12.75" customHeight="1">
      <c r="A9" s="35"/>
      <c r="B9" s="51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44"/>
      <c r="U9" s="44"/>
      <c r="W9" s="44"/>
    </row>
    <row r="10" spans="1:25" s="66" customFormat="1" ht="12.75" customHeight="1">
      <c r="A10" s="35" t="s">
        <v>12</v>
      </c>
      <c r="B10" s="65"/>
      <c r="C10" s="35" t="s">
        <v>13</v>
      </c>
      <c r="D10" s="35"/>
      <c r="E10" s="68">
        <f>202648923+123488</f>
        <v>202772411</v>
      </c>
      <c r="F10" s="68"/>
      <c r="G10" s="68">
        <v>8780422</v>
      </c>
      <c r="H10" s="68"/>
      <c r="I10" s="68">
        <v>67897200</v>
      </c>
      <c r="J10" s="68"/>
      <c r="K10" s="68">
        <f>11654067+995219+6756297</f>
        <v>19405583</v>
      </c>
      <c r="L10" s="68"/>
      <c r="M10" s="68">
        <v>75051348</v>
      </c>
      <c r="N10" s="68"/>
      <c r="O10" s="68">
        <v>43438024</v>
      </c>
      <c r="P10" s="68"/>
      <c r="Q10" s="68">
        <f>58145000+200655000+37535000+66199560-43438024+28915134</f>
        <v>348011670</v>
      </c>
      <c r="R10" s="68"/>
      <c r="S10" s="68">
        <f t="shared" ref="S10:S72" si="0">SUM(E10:Q10)</f>
        <v>765356658</v>
      </c>
      <c r="T10" s="46"/>
      <c r="U10" s="46">
        <f>9955606+6123437+4423362+91524610</f>
        <v>112027015</v>
      </c>
      <c r="V10" s="65"/>
      <c r="W10" s="44">
        <f>+S10-'Stmt net assets'!O10-U10</f>
        <v>0</v>
      </c>
    </row>
    <row r="11" spans="1:25" s="65" customFormat="1" ht="12.75" customHeight="1">
      <c r="A11" s="35" t="s">
        <v>14</v>
      </c>
      <c r="C11" s="35" t="s">
        <v>15</v>
      </c>
      <c r="D11" s="35"/>
      <c r="E11" s="48">
        <v>1335000</v>
      </c>
      <c r="F11" s="48"/>
      <c r="G11" s="48">
        <v>305000</v>
      </c>
      <c r="H11" s="48"/>
      <c r="I11" s="48">
        <v>0</v>
      </c>
      <c r="J11" s="48"/>
      <c r="K11" s="48">
        <v>0</v>
      </c>
      <c r="L11" s="48"/>
      <c r="M11" s="48">
        <v>0</v>
      </c>
      <c r="N11" s="48"/>
      <c r="O11" s="48">
        <v>2474711</v>
      </c>
      <c r="P11" s="48"/>
      <c r="Q11" s="48">
        <f>373276</f>
        <v>373276</v>
      </c>
      <c r="R11" s="48"/>
      <c r="S11" s="48">
        <f>SUM(E11:Q11)</f>
        <v>4487987</v>
      </c>
      <c r="T11" s="44"/>
      <c r="U11" s="48">
        <v>1125169</v>
      </c>
      <c r="W11" s="44">
        <f>+S11-'Stmt net assets'!O11-U11</f>
        <v>0</v>
      </c>
    </row>
    <row r="12" spans="1:25" s="65" customFormat="1" ht="12.75" customHeight="1">
      <c r="A12" s="35" t="s">
        <v>16</v>
      </c>
      <c r="B12" s="51"/>
      <c r="C12" s="35" t="s">
        <v>17</v>
      </c>
      <c r="D12" s="35"/>
      <c r="E12" s="48">
        <v>3113805</v>
      </c>
      <c r="F12" s="48"/>
      <c r="G12" s="48">
        <v>0</v>
      </c>
      <c r="H12" s="48"/>
      <c r="I12" s="48">
        <v>0</v>
      </c>
      <c r="J12" s="48"/>
      <c r="K12" s="48">
        <v>572574</v>
      </c>
      <c r="L12" s="48"/>
      <c r="M12" s="48">
        <v>0</v>
      </c>
      <c r="N12" s="48"/>
      <c r="O12" s="48">
        <v>268043</v>
      </c>
      <c r="P12" s="48"/>
      <c r="Q12" s="48">
        <v>0</v>
      </c>
      <c r="R12" s="48"/>
      <c r="S12" s="48">
        <f>SUM(E12:Q12)</f>
        <v>3954422</v>
      </c>
      <c r="T12" s="44"/>
      <c r="U12" s="48">
        <v>312188</v>
      </c>
      <c r="W12" s="44">
        <f>+S12-'Stmt net assets'!O12-U12</f>
        <v>0</v>
      </c>
    </row>
    <row r="13" spans="1:25" s="65" customFormat="1" ht="12.75" customHeight="1">
      <c r="A13" s="35" t="s">
        <v>18</v>
      </c>
      <c r="B13" s="51"/>
      <c r="C13" s="35" t="s">
        <v>18</v>
      </c>
      <c r="D13" s="35"/>
      <c r="E13" s="48">
        <v>2247000</v>
      </c>
      <c r="F13" s="48"/>
      <c r="G13" s="48">
        <v>0</v>
      </c>
      <c r="H13" s="48"/>
      <c r="I13" s="48">
        <v>0</v>
      </c>
      <c r="J13" s="48"/>
      <c r="K13" s="48">
        <v>390060</v>
      </c>
      <c r="L13" s="48"/>
      <c r="M13" s="48">
        <v>0</v>
      </c>
      <c r="N13" s="48"/>
      <c r="O13" s="48">
        <v>707754</v>
      </c>
      <c r="P13" s="48"/>
      <c r="Q13" s="48">
        <v>0</v>
      </c>
      <c r="R13" s="48"/>
      <c r="S13" s="48">
        <f t="shared" si="0"/>
        <v>3344814</v>
      </c>
      <c r="T13" s="44"/>
      <c r="U13" s="48">
        <v>221064</v>
      </c>
      <c r="W13" s="44">
        <f>+S13-'Stmt net assets'!O13-U13</f>
        <v>0</v>
      </c>
    </row>
    <row r="14" spans="1:25" s="65" customFormat="1" ht="12.75" customHeight="1">
      <c r="A14" s="35" t="s">
        <v>19</v>
      </c>
      <c r="B14" s="51"/>
      <c r="C14" s="35" t="s">
        <v>19</v>
      </c>
      <c r="D14" s="35"/>
      <c r="E14" s="48">
        <v>349827</v>
      </c>
      <c r="F14" s="48"/>
      <c r="G14" s="48">
        <v>102715</v>
      </c>
      <c r="H14" s="48"/>
      <c r="I14" s="48">
        <v>0</v>
      </c>
      <c r="J14" s="48"/>
      <c r="K14" s="48">
        <v>699</v>
      </c>
      <c r="L14" s="48"/>
      <c r="M14" s="48">
        <v>0</v>
      </c>
      <c r="N14" s="48"/>
      <c r="O14" s="48">
        <v>3113766</v>
      </c>
      <c r="P14" s="48"/>
      <c r="Q14" s="48">
        <v>269007</v>
      </c>
      <c r="R14" s="48"/>
      <c r="S14" s="48">
        <f t="shared" si="0"/>
        <v>3836014</v>
      </c>
      <c r="T14" s="44"/>
      <c r="U14" s="48">
        <v>1629958</v>
      </c>
      <c r="W14" s="44">
        <f>+S14-'Stmt net assets'!O14-U14</f>
        <v>0</v>
      </c>
    </row>
    <row r="15" spans="1:25" s="65" customFormat="1" ht="12.75" customHeight="1">
      <c r="A15" s="35" t="s">
        <v>20</v>
      </c>
      <c r="B15" s="51"/>
      <c r="C15" s="35" t="s">
        <v>20</v>
      </c>
      <c r="D15" s="35"/>
      <c r="E15" s="48">
        <v>3610000</v>
      </c>
      <c r="F15" s="48"/>
      <c r="G15" s="48">
        <v>0</v>
      </c>
      <c r="H15" s="48"/>
      <c r="I15" s="48">
        <v>1200000</v>
      </c>
      <c r="J15" s="48"/>
      <c r="K15" s="48">
        <v>0</v>
      </c>
      <c r="L15" s="48"/>
      <c r="M15" s="48">
        <v>0</v>
      </c>
      <c r="N15" s="48"/>
      <c r="O15" s="48">
        <v>1122640</v>
      </c>
      <c r="P15" s="48"/>
      <c r="Q15" s="48">
        <v>10174</v>
      </c>
      <c r="R15" s="48"/>
      <c r="S15" s="48">
        <f t="shared" si="0"/>
        <v>5942814</v>
      </c>
      <c r="T15" s="44"/>
      <c r="U15" s="48">
        <f>1088123+1200000</f>
        <v>2288123</v>
      </c>
      <c r="W15" s="44">
        <f>+S15-'Stmt net assets'!O15-U15</f>
        <v>0</v>
      </c>
    </row>
    <row r="16" spans="1:25" s="65" customFormat="1" ht="12.75" customHeight="1">
      <c r="A16" s="35" t="s">
        <v>21</v>
      </c>
      <c r="B16" s="51"/>
      <c r="C16" s="35" t="s">
        <v>22</v>
      </c>
      <c r="D16" s="35"/>
      <c r="E16" s="48">
        <f>9711851+171288-208584</f>
        <v>9674555</v>
      </c>
      <c r="F16" s="48"/>
      <c r="G16" s="48">
        <v>0</v>
      </c>
      <c r="H16" s="48"/>
      <c r="I16" s="48">
        <v>0</v>
      </c>
      <c r="J16" s="48"/>
      <c r="K16" s="48">
        <v>247500</v>
      </c>
      <c r="L16" s="48"/>
      <c r="M16" s="48">
        <v>45570</v>
      </c>
      <c r="N16" s="48"/>
      <c r="O16" s="48">
        <v>915459</v>
      </c>
      <c r="P16" s="48"/>
      <c r="Q16" s="48">
        <v>0</v>
      </c>
      <c r="R16" s="48"/>
      <c r="S16" s="48">
        <f t="shared" si="0"/>
        <v>10883084</v>
      </c>
      <c r="T16" s="44"/>
      <c r="U16" s="48">
        <v>669459</v>
      </c>
      <c r="W16" s="44">
        <f>+S16-'Stmt net assets'!O16-U16</f>
        <v>0</v>
      </c>
      <c r="Y16" s="65">
        <f>10213625+669459</f>
        <v>10883084</v>
      </c>
    </row>
    <row r="17" spans="1:25" s="65" customFormat="1" ht="12.75" customHeight="1">
      <c r="A17" s="35" t="s">
        <v>23</v>
      </c>
      <c r="B17" s="51"/>
      <c r="C17" s="35" t="s">
        <v>17</v>
      </c>
      <c r="D17" s="35"/>
      <c r="E17" s="48">
        <v>44441334</v>
      </c>
      <c r="F17" s="48"/>
      <c r="G17" s="48">
        <v>3208858</v>
      </c>
      <c r="H17" s="48"/>
      <c r="I17" s="48">
        <v>5600000</v>
      </c>
      <c r="J17" s="48"/>
      <c r="K17" s="48">
        <v>215286</v>
      </c>
      <c r="L17" s="48"/>
      <c r="M17" s="48">
        <v>0</v>
      </c>
      <c r="N17" s="48"/>
      <c r="O17" s="48">
        <v>1763339</v>
      </c>
      <c r="P17" s="48"/>
      <c r="Q17" s="48">
        <v>0</v>
      </c>
      <c r="R17" s="48"/>
      <c r="S17" s="48">
        <f t="shared" si="0"/>
        <v>55228817</v>
      </c>
      <c r="T17" s="44"/>
      <c r="U17" s="48">
        <v>1818692</v>
      </c>
      <c r="W17" s="44">
        <f>+S17-'Stmt net assets'!O17-U17</f>
        <v>0</v>
      </c>
    </row>
    <row r="18" spans="1:25" s="65" customFormat="1" ht="12.75" customHeight="1">
      <c r="A18" s="35" t="s">
        <v>24</v>
      </c>
      <c r="B18" s="51"/>
      <c r="C18" s="35" t="s">
        <v>17</v>
      </c>
      <c r="D18" s="35"/>
      <c r="E18" s="48">
        <v>10234263</v>
      </c>
      <c r="F18" s="48"/>
      <c r="G18" s="48">
        <v>2404937</v>
      </c>
      <c r="H18" s="48"/>
      <c r="I18" s="48">
        <v>0</v>
      </c>
      <c r="J18" s="48"/>
      <c r="K18" s="48">
        <v>226919</v>
      </c>
      <c r="L18" s="48"/>
      <c r="M18" s="48">
        <v>54741</v>
      </c>
      <c r="N18" s="48"/>
      <c r="O18" s="48">
        <v>1275541</v>
      </c>
      <c r="P18" s="48"/>
      <c r="Q18" s="48">
        <f>722027+101545+100000</f>
        <v>923572</v>
      </c>
      <c r="R18" s="48"/>
      <c r="S18" s="48">
        <f t="shared" si="0"/>
        <v>15119973</v>
      </c>
      <c r="T18" s="44"/>
      <c r="U18" s="48">
        <v>1357988</v>
      </c>
      <c r="W18" s="44">
        <f>+S18-'Stmt net assets'!O18-U18</f>
        <v>0</v>
      </c>
    </row>
    <row r="19" spans="1:25" s="65" customFormat="1" ht="12.75" customHeight="1">
      <c r="A19" s="35" t="s">
        <v>25</v>
      </c>
      <c r="B19" s="51"/>
      <c r="C19" s="35" t="s">
        <v>13</v>
      </c>
      <c r="D19" s="35"/>
      <c r="E19" s="48">
        <v>5148101</v>
      </c>
      <c r="F19" s="48"/>
      <c r="G19" s="48">
        <v>129522</v>
      </c>
      <c r="H19" s="48"/>
      <c r="I19" s="48">
        <v>0</v>
      </c>
      <c r="J19" s="48"/>
      <c r="K19" s="48">
        <f>865000+182560</f>
        <v>1047560</v>
      </c>
      <c r="L19" s="48"/>
      <c r="M19" s="48">
        <v>397510</v>
      </c>
      <c r="N19" s="48"/>
      <c r="O19" s="48">
        <v>3312532</v>
      </c>
      <c r="P19" s="48"/>
      <c r="Q19" s="48">
        <v>0</v>
      </c>
      <c r="R19" s="48"/>
      <c r="S19" s="48">
        <f t="shared" si="0"/>
        <v>10035225</v>
      </c>
      <c r="T19" s="44"/>
      <c r="U19" s="48">
        <v>1863946</v>
      </c>
      <c r="W19" s="44">
        <f>+S19-'Stmt net assets'!O19-U19</f>
        <v>0</v>
      </c>
    </row>
    <row r="20" spans="1:25" s="65" customFormat="1" ht="12.75" customHeight="1">
      <c r="A20" s="35" t="s">
        <v>26</v>
      </c>
      <c r="B20" s="51"/>
      <c r="C20" s="35" t="s">
        <v>27</v>
      </c>
      <c r="D20" s="35"/>
      <c r="E20" s="48">
        <f>9660000+44911</f>
        <v>9704911</v>
      </c>
      <c r="F20" s="48"/>
      <c r="G20" s="48">
        <v>0</v>
      </c>
      <c r="H20" s="48"/>
      <c r="I20" s="48">
        <v>0</v>
      </c>
      <c r="J20" s="48"/>
      <c r="K20" s="48">
        <v>0</v>
      </c>
      <c r="L20" s="48"/>
      <c r="M20" s="48">
        <v>0</v>
      </c>
      <c r="N20" s="48"/>
      <c r="O20" s="48">
        <f>4038+1302990</f>
        <v>1307028</v>
      </c>
      <c r="P20" s="48"/>
      <c r="Q20" s="48">
        <v>0</v>
      </c>
      <c r="R20" s="48"/>
      <c r="S20" s="48">
        <f t="shared" si="0"/>
        <v>11011939</v>
      </c>
      <c r="T20" s="44"/>
      <c r="U20" s="48">
        <v>1996667</v>
      </c>
      <c r="W20" s="44">
        <f>+S20-'Stmt net assets'!O20-U20</f>
        <v>0</v>
      </c>
    </row>
    <row r="21" spans="1:25" s="65" customFormat="1" ht="12.75" customHeight="1">
      <c r="A21" s="35" t="s">
        <v>28</v>
      </c>
      <c r="B21" s="51"/>
      <c r="C21" s="35" t="s">
        <v>27</v>
      </c>
      <c r="D21" s="35"/>
      <c r="E21" s="48">
        <v>10894484</v>
      </c>
      <c r="F21" s="48"/>
      <c r="G21" s="48">
        <v>3735000</v>
      </c>
      <c r="H21" s="48"/>
      <c r="I21" s="48">
        <v>3000000</v>
      </c>
      <c r="J21" s="48"/>
      <c r="K21" s="48">
        <v>0</v>
      </c>
      <c r="L21" s="48"/>
      <c r="M21" s="48">
        <v>0</v>
      </c>
      <c r="N21" s="48"/>
      <c r="O21" s="48">
        <v>2562923</v>
      </c>
      <c r="P21" s="48"/>
      <c r="Q21" s="48">
        <v>0</v>
      </c>
      <c r="R21" s="48"/>
      <c r="S21" s="48">
        <f t="shared" si="0"/>
        <v>20192407</v>
      </c>
      <c r="T21" s="44"/>
      <c r="U21" s="48">
        <f>2275087+3000000</f>
        <v>5275087</v>
      </c>
      <c r="W21" s="44">
        <f>+S21-'Stmt net assets'!O21-U21</f>
        <v>0</v>
      </c>
      <c r="Y21" s="44"/>
    </row>
    <row r="22" spans="1:25" s="65" customFormat="1" ht="12.75" customHeight="1">
      <c r="A22" s="35" t="s">
        <v>29</v>
      </c>
      <c r="B22" s="51"/>
      <c r="C22" s="35" t="s">
        <v>30</v>
      </c>
      <c r="D22" s="35"/>
      <c r="E22" s="48">
        <v>5025000</v>
      </c>
      <c r="F22" s="48"/>
      <c r="G22" s="48">
        <v>3660000</v>
      </c>
      <c r="H22" s="48"/>
      <c r="I22" s="48">
        <v>405000</v>
      </c>
      <c r="J22" s="48"/>
      <c r="K22" s="48">
        <v>0</v>
      </c>
      <c r="L22" s="48"/>
      <c r="M22" s="48">
        <v>2221</v>
      </c>
      <c r="N22" s="48"/>
      <c r="O22" s="48">
        <v>1078072</v>
      </c>
      <c r="P22" s="48"/>
      <c r="Q22" s="48">
        <v>0</v>
      </c>
      <c r="R22" s="48"/>
      <c r="S22" s="48">
        <f t="shared" si="0"/>
        <v>10170293</v>
      </c>
      <c r="T22" s="44"/>
      <c r="U22" s="48">
        <f>1146054+405000</f>
        <v>1551054</v>
      </c>
      <c r="W22" s="44">
        <f>+S22-'Stmt net assets'!O22-U22</f>
        <v>0</v>
      </c>
      <c r="Y22" s="65">
        <f>1146054-1081311</f>
        <v>64743</v>
      </c>
    </row>
    <row r="23" spans="1:25" s="65" customFormat="1" ht="12.75" customHeight="1">
      <c r="A23" s="35" t="s">
        <v>31</v>
      </c>
      <c r="B23" s="51"/>
      <c r="C23" s="35" t="s">
        <v>27</v>
      </c>
      <c r="D23" s="35"/>
      <c r="E23" s="48">
        <v>10341088</v>
      </c>
      <c r="F23" s="48"/>
      <c r="G23" s="48">
        <v>370000</v>
      </c>
      <c r="H23" s="48"/>
      <c r="I23" s="48">
        <v>0</v>
      </c>
      <c r="J23" s="48"/>
      <c r="K23" s="48">
        <v>385388</v>
      </c>
      <c r="L23" s="48"/>
      <c r="M23" s="48">
        <v>31102</v>
      </c>
      <c r="N23" s="48"/>
      <c r="O23" s="48">
        <v>1389974</v>
      </c>
      <c r="P23" s="48"/>
      <c r="Q23" s="48">
        <v>190131</v>
      </c>
      <c r="R23" s="48"/>
      <c r="S23" s="48">
        <f t="shared" si="0"/>
        <v>12707683</v>
      </c>
      <c r="T23" s="44"/>
      <c r="U23" s="48">
        <v>1026279</v>
      </c>
      <c r="W23" s="44">
        <f>+S23-'Stmt net assets'!O23-U23</f>
        <v>0</v>
      </c>
      <c r="Y23" s="65">
        <f>888463+534392-416877</f>
        <v>1005978</v>
      </c>
    </row>
    <row r="24" spans="1:25" s="65" customFormat="1" ht="12.75" customHeight="1">
      <c r="A24" s="35" t="s">
        <v>32</v>
      </c>
      <c r="B24" s="51"/>
      <c r="C24" s="35" t="s">
        <v>27</v>
      </c>
      <c r="D24" s="35"/>
      <c r="E24" s="48">
        <f>1325000+1475000+1256500</f>
        <v>4056500</v>
      </c>
      <c r="F24" s="48"/>
      <c r="G24" s="48">
        <v>0</v>
      </c>
      <c r="H24" s="48"/>
      <c r="I24" s="48">
        <v>0</v>
      </c>
      <c r="J24" s="48"/>
      <c r="K24" s="48">
        <v>248726</v>
      </c>
      <c r="L24" s="48"/>
      <c r="M24" s="48">
        <v>559274</v>
      </c>
      <c r="N24" s="48"/>
      <c r="O24" s="48">
        <v>1851456</v>
      </c>
      <c r="P24" s="48"/>
      <c r="Q24" s="48">
        <v>442754</v>
      </c>
      <c r="R24" s="48"/>
      <c r="S24" s="48">
        <f t="shared" ref="S24:S53" si="1">SUM(E24:Q24)</f>
        <v>7158710</v>
      </c>
      <c r="T24" s="44"/>
      <c r="U24" s="48">
        <v>1657000</v>
      </c>
      <c r="W24" s="44">
        <f>+S24-'Stmt net assets'!O24-U24</f>
        <v>0</v>
      </c>
      <c r="Y24" s="65">
        <f>6473449-6467231</f>
        <v>6218</v>
      </c>
    </row>
    <row r="25" spans="1:25" s="65" customFormat="1" ht="12.75" customHeight="1">
      <c r="A25" s="35" t="s">
        <v>34</v>
      </c>
      <c r="B25" s="51"/>
      <c r="C25" s="35" t="s">
        <v>30</v>
      </c>
      <c r="D25" s="35"/>
      <c r="E25" s="48">
        <v>0</v>
      </c>
      <c r="F25" s="48"/>
      <c r="G25" s="48">
        <v>0</v>
      </c>
      <c r="H25" s="48"/>
      <c r="I25" s="48">
        <v>0</v>
      </c>
      <c r="J25" s="48"/>
      <c r="K25" s="48">
        <v>0</v>
      </c>
      <c r="L25" s="48"/>
      <c r="M25" s="48">
        <v>0</v>
      </c>
      <c r="N25" s="48"/>
      <c r="O25" s="48">
        <v>196749</v>
      </c>
      <c r="P25" s="48"/>
      <c r="Q25" s="48">
        <v>0</v>
      </c>
      <c r="R25" s="48"/>
      <c r="S25" s="48">
        <f t="shared" si="1"/>
        <v>196749</v>
      </c>
      <c r="T25" s="44"/>
      <c r="U25" s="48">
        <v>80590</v>
      </c>
      <c r="W25" s="44">
        <f>+S25-'Stmt net assets'!O25-U25</f>
        <v>0</v>
      </c>
    </row>
    <row r="26" spans="1:25" s="65" customFormat="1" ht="12.75" customHeight="1">
      <c r="A26" s="35" t="s">
        <v>35</v>
      </c>
      <c r="B26" s="51"/>
      <c r="C26" s="35" t="s">
        <v>36</v>
      </c>
      <c r="D26" s="35"/>
      <c r="E26" s="48">
        <v>0</v>
      </c>
      <c r="F26" s="48"/>
      <c r="G26" s="48">
        <v>50000</v>
      </c>
      <c r="H26" s="48"/>
      <c r="I26" s="48">
        <v>0</v>
      </c>
      <c r="J26" s="48"/>
      <c r="K26" s="48">
        <v>285000</v>
      </c>
      <c r="L26" s="48"/>
      <c r="M26" s="48">
        <v>0</v>
      </c>
      <c r="N26" s="48"/>
      <c r="O26" s="48">
        <v>1138667</v>
      </c>
      <c r="P26" s="48"/>
      <c r="Q26" s="48">
        <f>395000+22084</f>
        <v>417084</v>
      </c>
      <c r="R26" s="48"/>
      <c r="S26" s="48">
        <f t="shared" si="1"/>
        <v>1890751</v>
      </c>
      <c r="T26" s="44"/>
      <c r="U26" s="48">
        <v>399276</v>
      </c>
      <c r="W26" s="44">
        <f>+S26-'Stmt net assets'!O26-U26</f>
        <v>0</v>
      </c>
      <c r="Y26" s="65">
        <f>1146054+8619239+1525000</f>
        <v>11290293</v>
      </c>
    </row>
    <row r="27" spans="1:25" s="65" customFormat="1" ht="12.75" customHeight="1">
      <c r="A27" s="35" t="s">
        <v>37</v>
      </c>
      <c r="B27" s="51"/>
      <c r="C27" s="35" t="s">
        <v>38</v>
      </c>
      <c r="D27" s="35"/>
      <c r="E27" s="48">
        <v>0</v>
      </c>
      <c r="F27" s="48"/>
      <c r="G27" s="48">
        <v>1245000</v>
      </c>
      <c r="H27" s="48"/>
      <c r="I27" s="48">
        <v>0</v>
      </c>
      <c r="J27" s="48"/>
      <c r="K27" s="48">
        <v>0</v>
      </c>
      <c r="L27" s="48"/>
      <c r="M27" s="48">
        <v>0</v>
      </c>
      <c r="N27" s="48"/>
      <c r="O27" s="48">
        <v>583649</v>
      </c>
      <c r="P27" s="48"/>
      <c r="Q27" s="48">
        <v>0</v>
      </c>
      <c r="R27" s="48"/>
      <c r="S27" s="48">
        <f t="shared" si="1"/>
        <v>1828649</v>
      </c>
      <c r="T27" s="44"/>
      <c r="U27" s="48">
        <v>250955</v>
      </c>
      <c r="W27" s="44">
        <f>+S27-'Stmt net assets'!O27-U27</f>
        <v>0</v>
      </c>
    </row>
    <row r="28" spans="1:25" s="65" customFormat="1" ht="12.75" customHeight="1">
      <c r="A28" s="35" t="s">
        <v>39</v>
      </c>
      <c r="B28" s="51"/>
      <c r="C28" s="35" t="s">
        <v>40</v>
      </c>
      <c r="D28" s="35"/>
      <c r="E28" s="48">
        <v>0</v>
      </c>
      <c r="F28" s="48"/>
      <c r="G28" s="48">
        <v>0</v>
      </c>
      <c r="H28" s="48"/>
      <c r="I28" s="48">
        <v>0</v>
      </c>
      <c r="J28" s="48"/>
      <c r="K28" s="48">
        <v>0</v>
      </c>
      <c r="L28" s="48"/>
      <c r="M28" s="48">
        <v>1049553</v>
      </c>
      <c r="N28" s="48"/>
      <c r="O28" s="48">
        <v>24329</v>
      </c>
      <c r="P28" s="48"/>
      <c r="Q28" s="48">
        <v>20164</v>
      </c>
      <c r="R28" s="48"/>
      <c r="S28" s="48">
        <f t="shared" si="1"/>
        <v>1094046</v>
      </c>
      <c r="T28" s="44"/>
      <c r="U28" s="48">
        <v>117771</v>
      </c>
      <c r="W28" s="44">
        <f>+S28-'Stmt net assets'!O28-U28</f>
        <v>0</v>
      </c>
    </row>
    <row r="29" spans="1:25" s="65" customFormat="1" ht="12.75" customHeight="1">
      <c r="A29" s="35" t="s">
        <v>41</v>
      </c>
      <c r="B29" s="51"/>
      <c r="C29" s="35" t="s">
        <v>27</v>
      </c>
      <c r="D29" s="35"/>
      <c r="E29" s="48">
        <f>8875000+97946</f>
        <v>8972946</v>
      </c>
      <c r="F29" s="48"/>
      <c r="G29" s="48">
        <v>0</v>
      </c>
      <c r="H29" s="48"/>
      <c r="I29" s="48">
        <v>5850000</v>
      </c>
      <c r="J29" s="48"/>
      <c r="K29" s="48">
        <v>666243</v>
      </c>
      <c r="L29" s="48"/>
      <c r="M29" s="48">
        <v>382140</v>
      </c>
      <c r="N29" s="48"/>
      <c r="O29" s="48">
        <v>1223238</v>
      </c>
      <c r="P29" s="48"/>
      <c r="Q29" s="48">
        <f>680000+228711</f>
        <v>908711</v>
      </c>
      <c r="R29" s="48"/>
      <c r="S29" s="48">
        <f t="shared" si="1"/>
        <v>18003278</v>
      </c>
      <c r="T29" s="44"/>
      <c r="U29" s="48">
        <v>7332416</v>
      </c>
      <c r="W29" s="44">
        <f>+S29-'Stmt net assets'!O29-U29</f>
        <v>0</v>
      </c>
    </row>
    <row r="30" spans="1:25" s="65" customFormat="1" ht="12.75" customHeight="1">
      <c r="A30" s="35" t="s">
        <v>42</v>
      </c>
      <c r="B30" s="51"/>
      <c r="C30" s="35" t="s">
        <v>43</v>
      </c>
      <c r="D30" s="35"/>
      <c r="E30" s="48">
        <f>5775500+55390-114165+1250000+7040000+209742</f>
        <v>14216467</v>
      </c>
      <c r="F30" s="48"/>
      <c r="G30" s="48">
        <v>0</v>
      </c>
      <c r="H30" s="48"/>
      <c r="I30" s="48">
        <v>0</v>
      </c>
      <c r="J30" s="48"/>
      <c r="K30" s="48">
        <f>1358284+672734+6319</f>
        <v>2037337</v>
      </c>
      <c r="L30" s="48"/>
      <c r="M30" s="48">
        <v>125658</v>
      </c>
      <c r="N30" s="48"/>
      <c r="O30" s="48">
        <v>332425</v>
      </c>
      <c r="P30" s="48"/>
      <c r="Q30" s="48">
        <v>367894</v>
      </c>
      <c r="R30" s="48"/>
      <c r="S30" s="48">
        <f t="shared" si="1"/>
        <v>17079781</v>
      </c>
      <c r="T30" s="44"/>
      <c r="U30" s="48">
        <v>873712</v>
      </c>
      <c r="W30" s="44">
        <f>+S30-'Stmt net assets'!O30-U30</f>
        <v>0</v>
      </c>
    </row>
    <row r="31" spans="1:25" s="65" customFormat="1" ht="12.75" customHeight="1">
      <c r="A31" s="35" t="s">
        <v>44</v>
      </c>
      <c r="B31" s="51"/>
      <c r="C31" s="35" t="s">
        <v>45</v>
      </c>
      <c r="D31" s="35"/>
      <c r="E31" s="48">
        <v>25070000</v>
      </c>
      <c r="F31" s="48"/>
      <c r="G31" s="48">
        <v>0</v>
      </c>
      <c r="H31" s="48"/>
      <c r="I31" s="48">
        <v>0</v>
      </c>
      <c r="J31" s="48"/>
      <c r="K31" s="48">
        <f>17699441+2293852</f>
        <v>19993293</v>
      </c>
      <c r="L31" s="48"/>
      <c r="M31" s="48">
        <v>0</v>
      </c>
      <c r="N31" s="48"/>
      <c r="O31" s="48">
        <v>1693518</v>
      </c>
      <c r="P31" s="48"/>
      <c r="Q31" s="48">
        <v>0</v>
      </c>
      <c r="R31" s="48"/>
      <c r="S31" s="48">
        <f t="shared" si="1"/>
        <v>46756811</v>
      </c>
      <c r="T31" s="44"/>
      <c r="U31" s="48">
        <v>2991778</v>
      </c>
      <c r="W31" s="44">
        <f>+S31-'Stmt net assets'!O31-U31</f>
        <v>0</v>
      </c>
    </row>
    <row r="32" spans="1:25" s="65" customFormat="1" ht="12.75" customHeight="1">
      <c r="A32" s="35" t="s">
        <v>46</v>
      </c>
      <c r="B32" s="51"/>
      <c r="C32" s="35" t="s">
        <v>47</v>
      </c>
      <c r="D32" s="35"/>
      <c r="E32" s="48">
        <v>8730458</v>
      </c>
      <c r="F32" s="48"/>
      <c r="G32" s="48">
        <v>0</v>
      </c>
      <c r="H32" s="48"/>
      <c r="I32" s="48">
        <v>800000</v>
      </c>
      <c r="J32" s="48"/>
      <c r="K32" s="48">
        <v>16679258</v>
      </c>
      <c r="L32" s="48"/>
      <c r="M32" s="48">
        <v>0</v>
      </c>
      <c r="N32" s="48"/>
      <c r="O32" s="48">
        <v>1584605</v>
      </c>
      <c r="P32" s="48"/>
      <c r="Q32" s="48">
        <v>0</v>
      </c>
      <c r="R32" s="48"/>
      <c r="S32" s="48">
        <f t="shared" si="1"/>
        <v>27794321</v>
      </c>
      <c r="T32" s="44"/>
      <c r="U32" s="48">
        <v>2754725</v>
      </c>
      <c r="W32" s="44">
        <f>+S32-'Stmt net assets'!O32-U32</f>
        <v>0</v>
      </c>
    </row>
    <row r="33" spans="1:25" s="65" customFormat="1" ht="12.75" customHeight="1">
      <c r="A33" s="35" t="s">
        <v>48</v>
      </c>
      <c r="B33" s="51"/>
      <c r="C33" s="35" t="s">
        <v>27</v>
      </c>
      <c r="D33" s="35"/>
      <c r="E33" s="48">
        <v>9465056</v>
      </c>
      <c r="F33" s="48"/>
      <c r="G33" s="48">
        <v>3467090</v>
      </c>
      <c r="H33" s="48"/>
      <c r="I33" s="48">
        <v>0</v>
      </c>
      <c r="J33" s="48"/>
      <c r="K33" s="48">
        <v>601527</v>
      </c>
      <c r="L33" s="48"/>
      <c r="M33" s="48">
        <v>0</v>
      </c>
      <c r="N33" s="48"/>
      <c r="O33" s="48">
        <v>827511</v>
      </c>
      <c r="P33" s="48"/>
      <c r="Q33" s="48">
        <v>0</v>
      </c>
      <c r="R33" s="48"/>
      <c r="S33" s="48">
        <f t="shared" si="1"/>
        <v>14361184</v>
      </c>
      <c r="T33" s="44"/>
      <c r="U33" s="48">
        <v>1329113</v>
      </c>
      <c r="W33" s="44">
        <f>+S33-'Stmt net assets'!O33-U33</f>
        <v>0</v>
      </c>
    </row>
    <row r="34" spans="1:25" s="65" customFormat="1" ht="12.75" customHeight="1">
      <c r="A34" s="35" t="s">
        <v>49</v>
      </c>
      <c r="B34" s="51"/>
      <c r="C34" s="35" t="s">
        <v>27</v>
      </c>
      <c r="D34" s="35"/>
      <c r="E34" s="48">
        <v>6196319</v>
      </c>
      <c r="F34" s="48"/>
      <c r="G34" s="48">
        <v>2792198</v>
      </c>
      <c r="H34" s="48"/>
      <c r="I34" s="48">
        <v>0</v>
      </c>
      <c r="J34" s="48"/>
      <c r="K34" s="48">
        <f>1556527+190000+250983</f>
        <v>1997510</v>
      </c>
      <c r="L34" s="48"/>
      <c r="M34" s="48">
        <v>10585</v>
      </c>
      <c r="N34" s="48"/>
      <c r="O34" s="48">
        <v>1315128</v>
      </c>
      <c r="P34" s="48"/>
      <c r="Q34" s="48">
        <v>0</v>
      </c>
      <c r="R34" s="48"/>
      <c r="S34" s="48">
        <f t="shared" si="1"/>
        <v>12311740</v>
      </c>
      <c r="T34" s="44"/>
      <c r="U34" s="48">
        <v>1700495</v>
      </c>
      <c r="W34" s="44">
        <f>+S34-'Stmt net assets'!O34-U34</f>
        <v>0</v>
      </c>
    </row>
    <row r="35" spans="1:25" s="65" customFormat="1" ht="12.75" customHeight="1">
      <c r="A35" s="35" t="s">
        <v>50</v>
      </c>
      <c r="B35" s="51"/>
      <c r="C35" s="35" t="s">
        <v>27</v>
      </c>
      <c r="D35" s="35"/>
      <c r="E35" s="48">
        <v>1430000</v>
      </c>
      <c r="F35" s="48"/>
      <c r="G35" s="48">
        <v>0</v>
      </c>
      <c r="H35" s="48"/>
      <c r="I35" s="48">
        <v>0</v>
      </c>
      <c r="J35" s="48"/>
      <c r="K35" s="48">
        <f>1949332+339187</f>
        <v>2288519</v>
      </c>
      <c r="L35" s="48"/>
      <c r="M35" s="48">
        <v>650507</v>
      </c>
      <c r="N35" s="48"/>
      <c r="O35" s="48">
        <v>2441289</v>
      </c>
      <c r="P35" s="48"/>
      <c r="Q35" s="48">
        <v>300000</v>
      </c>
      <c r="R35" s="48"/>
      <c r="S35" s="48">
        <f t="shared" si="1"/>
        <v>7110315</v>
      </c>
      <c r="T35" s="44"/>
      <c r="U35" s="48">
        <v>1904173</v>
      </c>
      <c r="W35" s="44">
        <f>+S35-'Stmt net assets'!O35-U35</f>
        <v>0</v>
      </c>
    </row>
    <row r="36" spans="1:25" s="65" customFormat="1" ht="12.75" customHeight="1">
      <c r="A36" s="35" t="s">
        <v>51</v>
      </c>
      <c r="B36" s="51"/>
      <c r="C36" s="35" t="s">
        <v>27</v>
      </c>
      <c r="D36" s="35"/>
      <c r="E36" s="48">
        <v>5942831</v>
      </c>
      <c r="F36" s="48"/>
      <c r="G36" s="48">
        <v>0</v>
      </c>
      <c r="H36" s="48"/>
      <c r="I36" s="48">
        <v>1815000</v>
      </c>
      <c r="J36" s="48"/>
      <c r="K36" s="48">
        <v>329820</v>
      </c>
      <c r="L36" s="48"/>
      <c r="M36" s="48">
        <v>2258699</v>
      </c>
      <c r="N36" s="48"/>
      <c r="O36" s="48">
        <v>1930339</v>
      </c>
      <c r="P36" s="48"/>
      <c r="Q36" s="48">
        <f>50135+6805425</f>
        <v>6855560</v>
      </c>
      <c r="R36" s="48"/>
      <c r="S36" s="48">
        <f t="shared" si="1"/>
        <v>19132249</v>
      </c>
      <c r="T36" s="44"/>
      <c r="U36" s="48">
        <v>978574</v>
      </c>
      <c r="W36" s="44">
        <f>+S36-'Stmt net assets'!O36-U36</f>
        <v>0</v>
      </c>
    </row>
    <row r="37" spans="1:25" s="65" customFormat="1" ht="12.75" customHeight="1">
      <c r="A37" s="35" t="s">
        <v>462</v>
      </c>
      <c r="B37" s="51"/>
      <c r="C37" s="35" t="s">
        <v>66</v>
      </c>
      <c r="D37" s="35"/>
      <c r="E37" s="48">
        <v>0</v>
      </c>
      <c r="F37" s="48"/>
      <c r="G37" s="48">
        <v>0</v>
      </c>
      <c r="H37" s="48"/>
      <c r="I37" s="48">
        <f>1085000+1025000</f>
        <v>2110000</v>
      </c>
      <c r="J37" s="48"/>
      <c r="K37" s="48">
        <v>0</v>
      </c>
      <c r="L37" s="48"/>
      <c r="M37" s="48">
        <f>17085+165985</f>
        <v>183070</v>
      </c>
      <c r="N37" s="48"/>
      <c r="O37" s="48">
        <v>97328</v>
      </c>
      <c r="P37" s="48"/>
      <c r="Q37" s="48">
        <v>0</v>
      </c>
      <c r="R37" s="48"/>
      <c r="S37" s="48">
        <f t="shared" si="1"/>
        <v>2390398</v>
      </c>
      <c r="T37" s="44"/>
      <c r="U37" s="48">
        <v>1268159</v>
      </c>
      <c r="W37" s="44">
        <f>+S37-'Stmt net assets'!O37-U37</f>
        <v>0</v>
      </c>
    </row>
    <row r="38" spans="1:25" s="65" customFormat="1" ht="12.75" customHeight="1">
      <c r="A38" s="35" t="s">
        <v>52</v>
      </c>
      <c r="B38" s="51"/>
      <c r="C38" s="35" t="s">
        <v>53</v>
      </c>
      <c r="D38" s="35"/>
      <c r="E38" s="48">
        <v>5446141</v>
      </c>
      <c r="F38" s="48"/>
      <c r="G38" s="48">
        <v>1979666</v>
      </c>
      <c r="H38" s="48"/>
      <c r="I38" s="48">
        <v>0</v>
      </c>
      <c r="J38" s="48"/>
      <c r="K38" s="48">
        <v>170047</v>
      </c>
      <c r="L38" s="48"/>
      <c r="M38" s="48">
        <v>215733</v>
      </c>
      <c r="N38" s="48"/>
      <c r="O38" s="48">
        <v>464233</v>
      </c>
      <c r="P38" s="48"/>
      <c r="Q38" s="48">
        <v>331115</v>
      </c>
      <c r="R38" s="48"/>
      <c r="S38" s="48">
        <f t="shared" si="1"/>
        <v>8606935</v>
      </c>
      <c r="T38" s="44"/>
      <c r="U38" s="48">
        <v>1157527</v>
      </c>
      <c r="W38" s="44">
        <f>+S38-'Stmt net assets'!O38-U38</f>
        <v>0</v>
      </c>
    </row>
    <row r="39" spans="1:25" s="65" customFormat="1" ht="12.75" customHeight="1">
      <c r="A39" s="35" t="s">
        <v>54</v>
      </c>
      <c r="B39" s="51"/>
      <c r="C39" s="35" t="s">
        <v>55</v>
      </c>
      <c r="D39" s="35"/>
      <c r="E39" s="48">
        <v>0</v>
      </c>
      <c r="F39" s="48"/>
      <c r="G39" s="48">
        <v>0</v>
      </c>
      <c r="H39" s="48"/>
      <c r="I39" s="48">
        <v>2100000</v>
      </c>
      <c r="J39" s="48"/>
      <c r="K39" s="48">
        <v>0</v>
      </c>
      <c r="L39" s="48"/>
      <c r="M39" s="48">
        <v>0</v>
      </c>
      <c r="N39" s="48"/>
      <c r="O39" s="48">
        <v>1071796</v>
      </c>
      <c r="P39" s="48"/>
      <c r="Q39" s="48">
        <v>0</v>
      </c>
      <c r="R39" s="48"/>
      <c r="S39" s="48">
        <f t="shared" si="1"/>
        <v>3171796</v>
      </c>
      <c r="T39" s="44"/>
      <c r="U39" s="48">
        <v>2362037</v>
      </c>
      <c r="W39" s="44">
        <f>+S39-'Stmt net assets'!O39-U39</f>
        <v>0</v>
      </c>
    </row>
    <row r="40" spans="1:25" s="65" customFormat="1" ht="12.75" customHeight="1">
      <c r="A40" s="35" t="s">
        <v>56</v>
      </c>
      <c r="B40" s="51"/>
      <c r="C40" s="35" t="s">
        <v>57</v>
      </c>
      <c r="D40" s="35"/>
      <c r="E40" s="48">
        <v>0</v>
      </c>
      <c r="F40" s="48"/>
      <c r="G40" s="48">
        <v>113000</v>
      </c>
      <c r="H40" s="48"/>
      <c r="I40" s="48">
        <v>0</v>
      </c>
      <c r="J40" s="48"/>
      <c r="K40" s="48">
        <v>188000</v>
      </c>
      <c r="L40" s="48"/>
      <c r="M40" s="48">
        <v>18613</v>
      </c>
      <c r="N40" s="48"/>
      <c r="O40" s="48">
        <v>573957</v>
      </c>
      <c r="P40" s="48"/>
      <c r="Q40" s="48">
        <f>137348+156812</f>
        <v>294160</v>
      </c>
      <c r="R40" s="48"/>
      <c r="S40" s="48">
        <f t="shared" si="1"/>
        <v>1187730</v>
      </c>
      <c r="T40" s="44"/>
      <c r="U40" s="48">
        <v>86622</v>
      </c>
      <c r="W40" s="44">
        <f>+S40-'Stmt net assets'!O40-U40</f>
        <v>0</v>
      </c>
    </row>
    <row r="41" spans="1:25" s="65" customFormat="1" ht="12.75" customHeight="1">
      <c r="A41" s="35" t="s">
        <v>58</v>
      </c>
      <c r="B41" s="51"/>
      <c r="C41" s="35" t="s">
        <v>59</v>
      </c>
      <c r="D41" s="35"/>
      <c r="E41" s="48">
        <v>4170148</v>
      </c>
      <c r="F41" s="48"/>
      <c r="G41" s="48">
        <v>0</v>
      </c>
      <c r="H41" s="48"/>
      <c r="I41" s="48">
        <v>0</v>
      </c>
      <c r="J41" s="48"/>
      <c r="K41" s="48">
        <v>0</v>
      </c>
      <c r="L41" s="48"/>
      <c r="M41" s="48">
        <v>289344</v>
      </c>
      <c r="N41" s="48"/>
      <c r="O41" s="48">
        <v>815623</v>
      </c>
      <c r="P41" s="48"/>
      <c r="Q41" s="48">
        <v>490977</v>
      </c>
      <c r="R41" s="48"/>
      <c r="S41" s="48">
        <f t="shared" si="1"/>
        <v>5766092</v>
      </c>
      <c r="T41" s="44"/>
      <c r="U41" s="48">
        <v>218141</v>
      </c>
      <c r="W41" s="44">
        <f>+S41-'Stmt net assets'!O41-U41</f>
        <v>0</v>
      </c>
    </row>
    <row r="42" spans="1:25" s="65" customFormat="1" ht="12.75" customHeight="1">
      <c r="A42" s="44" t="s">
        <v>476</v>
      </c>
      <c r="B42" s="51"/>
      <c r="C42" s="35" t="s">
        <v>15</v>
      </c>
      <c r="D42" s="35"/>
      <c r="E42" s="48">
        <v>1355023</v>
      </c>
      <c r="F42" s="48"/>
      <c r="G42" s="48">
        <v>0</v>
      </c>
      <c r="H42" s="48"/>
      <c r="I42" s="48">
        <v>0</v>
      </c>
      <c r="J42" s="48"/>
      <c r="K42" s="48">
        <v>0</v>
      </c>
      <c r="L42" s="48"/>
      <c r="M42" s="48">
        <v>50861</v>
      </c>
      <c r="N42" s="48"/>
      <c r="O42" s="48">
        <v>64278</v>
      </c>
      <c r="P42" s="48"/>
      <c r="Q42" s="48">
        <v>0</v>
      </c>
      <c r="R42" s="48"/>
      <c r="S42" s="48">
        <f>SUM(E42:Q42)</f>
        <v>1470162</v>
      </c>
      <c r="T42" s="44"/>
      <c r="U42" s="48">
        <v>124812</v>
      </c>
      <c r="W42" s="44">
        <f>+S42-'Stmt net assets'!O42-U42</f>
        <v>0</v>
      </c>
    </row>
    <row r="43" spans="1:25" s="65" customFormat="1" ht="12.75" customHeight="1">
      <c r="A43" s="35" t="s">
        <v>60</v>
      </c>
      <c r="B43" s="51"/>
      <c r="C43" s="35" t="s">
        <v>61</v>
      </c>
      <c r="D43" s="35"/>
      <c r="E43" s="48">
        <v>1150000</v>
      </c>
      <c r="F43" s="48"/>
      <c r="G43" s="48">
        <v>0</v>
      </c>
      <c r="H43" s="48"/>
      <c r="I43" s="48">
        <v>0</v>
      </c>
      <c r="J43" s="48"/>
      <c r="K43" s="48">
        <v>194109</v>
      </c>
      <c r="L43" s="48"/>
      <c r="M43" s="48">
        <v>0</v>
      </c>
      <c r="N43" s="48"/>
      <c r="O43" s="48">
        <v>175440</v>
      </c>
      <c r="P43" s="48"/>
      <c r="Q43" s="48">
        <v>0</v>
      </c>
      <c r="R43" s="48"/>
      <c r="S43" s="48">
        <f t="shared" si="1"/>
        <v>1519549</v>
      </c>
      <c r="T43" s="44"/>
      <c r="U43" s="48">
        <v>141474</v>
      </c>
      <c r="W43" s="44">
        <f>+S43-'Stmt net assets'!O43-U43</f>
        <v>0</v>
      </c>
    </row>
    <row r="44" spans="1:25" s="65" customFormat="1" ht="12.75" customHeight="1">
      <c r="A44" s="44" t="s">
        <v>62</v>
      </c>
      <c r="B44" s="51"/>
      <c r="C44" s="35" t="s">
        <v>15</v>
      </c>
      <c r="D44" s="35"/>
      <c r="E44" s="48">
        <f>3915000+4350000+1290000+9928363</f>
        <v>19483363</v>
      </c>
      <c r="F44" s="48"/>
      <c r="G44" s="48">
        <v>0</v>
      </c>
      <c r="H44" s="48"/>
      <c r="I44" s="48">
        <v>0</v>
      </c>
      <c r="J44" s="48"/>
      <c r="K44" s="48">
        <f>776931+808477+215796+232500+494000</f>
        <v>2527704</v>
      </c>
      <c r="L44" s="48"/>
      <c r="M44" s="48">
        <v>1070540</v>
      </c>
      <c r="N44" s="48"/>
      <c r="O44" s="48">
        <f>6895092+1303742</f>
        <v>8198834</v>
      </c>
      <c r="P44" s="48"/>
      <c r="Q44" s="48">
        <v>94300</v>
      </c>
      <c r="R44" s="48"/>
      <c r="S44" s="48">
        <f t="shared" si="1"/>
        <v>31374741</v>
      </c>
      <c r="T44" s="44"/>
      <c r="U44" s="48">
        <f>4108848+169818</f>
        <v>4278666</v>
      </c>
      <c r="W44" s="44">
        <f>+S44-'Stmt net assets'!O44-U44</f>
        <v>0</v>
      </c>
    </row>
    <row r="45" spans="1:25" s="65" customFormat="1" ht="12.75" customHeight="1">
      <c r="A45" s="35" t="s">
        <v>485</v>
      </c>
      <c r="B45" s="51"/>
      <c r="C45" s="35" t="s">
        <v>111</v>
      </c>
      <c r="D45" s="35"/>
      <c r="E45" s="48">
        <v>310000</v>
      </c>
      <c r="F45" s="48"/>
      <c r="G45" s="48">
        <v>338094</v>
      </c>
      <c r="H45" s="48"/>
      <c r="I45" s="48">
        <f>399000+1173250</f>
        <v>1572250</v>
      </c>
      <c r="J45" s="48"/>
      <c r="K45" s="48">
        <v>0</v>
      </c>
      <c r="L45" s="48"/>
      <c r="M45" s="48">
        <v>0</v>
      </c>
      <c r="N45" s="48"/>
      <c r="O45" s="48">
        <v>7700</v>
      </c>
      <c r="P45" s="48"/>
      <c r="Q45" s="48">
        <v>0</v>
      </c>
      <c r="R45" s="48"/>
      <c r="S45" s="48">
        <f>SUM(E45:Q45)</f>
        <v>2228044</v>
      </c>
      <c r="T45" s="44"/>
      <c r="U45" s="48">
        <v>1627275</v>
      </c>
      <c r="W45" s="44">
        <f>+S45-'Stmt net assets'!O45-U45</f>
        <v>0</v>
      </c>
    </row>
    <row r="46" spans="1:25" s="65" customFormat="1" ht="12.75" customHeight="1">
      <c r="A46" s="35" t="s">
        <v>63</v>
      </c>
      <c r="B46" s="51"/>
      <c r="C46" s="35" t="s">
        <v>64</v>
      </c>
      <c r="D46" s="35"/>
      <c r="E46" s="48">
        <v>456112</v>
      </c>
      <c r="F46" s="48"/>
      <c r="G46" s="48">
        <v>0</v>
      </c>
      <c r="H46" s="48"/>
      <c r="I46" s="48">
        <v>1200000</v>
      </c>
      <c r="J46" s="48"/>
      <c r="K46" s="48">
        <v>37371</v>
      </c>
      <c r="L46" s="48"/>
      <c r="M46" s="48">
        <v>0</v>
      </c>
      <c r="N46" s="48"/>
      <c r="O46" s="48">
        <v>428080</v>
      </c>
      <c r="P46" s="48"/>
      <c r="Q46" s="48">
        <v>0</v>
      </c>
      <c r="R46" s="48"/>
      <c r="S46" s="48">
        <f t="shared" si="1"/>
        <v>2121563</v>
      </c>
      <c r="T46" s="44"/>
      <c r="U46" s="48">
        <v>214850</v>
      </c>
      <c r="W46" s="44">
        <f>+S46-'Stmt net assets'!O46-U46</f>
        <v>0</v>
      </c>
    </row>
    <row r="47" spans="1:25" s="65" customFormat="1" ht="12.75" customHeight="1">
      <c r="A47" s="35" t="s">
        <v>65</v>
      </c>
      <c r="B47" s="51"/>
      <c r="C47" s="35" t="s">
        <v>66</v>
      </c>
      <c r="D47" s="35"/>
      <c r="E47" s="48">
        <v>13886995</v>
      </c>
      <c r="F47" s="48"/>
      <c r="G47" s="48">
        <v>6568000</v>
      </c>
      <c r="H47" s="48"/>
      <c r="I47" s="48">
        <v>795078</v>
      </c>
      <c r="J47" s="48"/>
      <c r="K47" s="48">
        <v>0</v>
      </c>
      <c r="L47" s="48"/>
      <c r="M47" s="48">
        <v>0</v>
      </c>
      <c r="N47" s="48"/>
      <c r="O47" s="48">
        <v>722886</v>
      </c>
      <c r="P47" s="48"/>
      <c r="Q47" s="48">
        <v>0</v>
      </c>
      <c r="R47" s="48"/>
      <c r="S47" s="48">
        <f t="shared" si="1"/>
        <v>21972959</v>
      </c>
      <c r="T47" s="44"/>
      <c r="U47" s="48">
        <v>1367196</v>
      </c>
      <c r="W47" s="44">
        <f>+S47-'Stmt net assets'!O47-U47</f>
        <v>0</v>
      </c>
    </row>
    <row r="48" spans="1:25" s="65" customFormat="1" ht="12.75" customHeight="1">
      <c r="A48" s="64" t="s">
        <v>67</v>
      </c>
      <c r="B48" s="66"/>
      <c r="C48" s="64" t="s">
        <v>375</v>
      </c>
      <c r="D48" s="64"/>
      <c r="E48" s="48">
        <v>1080000</v>
      </c>
      <c r="F48" s="48"/>
      <c r="G48" s="48">
        <v>0</v>
      </c>
      <c r="H48" s="48"/>
      <c r="I48" s="48">
        <v>0</v>
      </c>
      <c r="J48" s="48"/>
      <c r="K48" s="48">
        <v>1055967</v>
      </c>
      <c r="L48" s="48"/>
      <c r="M48" s="48">
        <v>0</v>
      </c>
      <c r="N48" s="48"/>
      <c r="O48" s="48">
        <v>631283</v>
      </c>
      <c r="P48" s="48"/>
      <c r="Q48" s="48">
        <v>0</v>
      </c>
      <c r="R48" s="48"/>
      <c r="S48" s="48">
        <f t="shared" si="1"/>
        <v>2767250</v>
      </c>
      <c r="T48" s="44"/>
      <c r="U48" s="48">
        <v>460406</v>
      </c>
      <c r="W48" s="44">
        <f>+S48-'Stmt net assets'!O48-U48</f>
        <v>0</v>
      </c>
      <c r="Y48" s="154"/>
    </row>
    <row r="49" spans="1:25" s="65" customFormat="1" ht="12.75" customHeight="1">
      <c r="A49" s="64" t="s">
        <v>68</v>
      </c>
      <c r="B49" s="66"/>
      <c r="C49" s="64" t="s">
        <v>45</v>
      </c>
      <c r="D49" s="64"/>
      <c r="E49" s="48">
        <v>0</v>
      </c>
      <c r="F49" s="48"/>
      <c r="G49" s="48">
        <v>0</v>
      </c>
      <c r="H49" s="48"/>
      <c r="I49" s="48">
        <v>86418</v>
      </c>
      <c r="J49" s="48"/>
      <c r="K49" s="48">
        <v>0</v>
      </c>
      <c r="L49" s="48"/>
      <c r="M49" s="48">
        <v>0</v>
      </c>
      <c r="N49" s="48"/>
      <c r="O49" s="48">
        <v>139110</v>
      </c>
      <c r="P49" s="48"/>
      <c r="Q49" s="48">
        <v>0</v>
      </c>
      <c r="R49" s="48"/>
      <c r="S49" s="48">
        <f t="shared" si="1"/>
        <v>225528</v>
      </c>
      <c r="T49" s="44"/>
      <c r="U49" s="48">
        <v>50249</v>
      </c>
      <c r="W49" s="44">
        <f>+S49-'Stmt net assets'!O49-U49</f>
        <v>0</v>
      </c>
    </row>
    <row r="50" spans="1:25" s="65" customFormat="1" ht="12.75" customHeight="1">
      <c r="A50" s="35" t="s">
        <v>69</v>
      </c>
      <c r="B50" s="51"/>
      <c r="C50" s="35" t="s">
        <v>70</v>
      </c>
      <c r="D50" s="35"/>
      <c r="E50" s="48">
        <f>455000+4162+415000</f>
        <v>874162</v>
      </c>
      <c r="F50" s="48"/>
      <c r="G50" s="48">
        <v>0</v>
      </c>
      <c r="H50" s="48"/>
      <c r="I50" s="48">
        <v>900000</v>
      </c>
      <c r="J50" s="48"/>
      <c r="K50" s="48">
        <v>63063</v>
      </c>
      <c r="L50" s="48"/>
      <c r="M50" s="48">
        <v>114276</v>
      </c>
      <c r="N50" s="48"/>
      <c r="O50" s="48">
        <v>2377734</v>
      </c>
      <c r="P50" s="48"/>
      <c r="Q50" s="48">
        <v>564551</v>
      </c>
      <c r="R50" s="48"/>
      <c r="S50" s="48">
        <f t="shared" si="1"/>
        <v>4893786</v>
      </c>
      <c r="T50" s="44"/>
      <c r="U50" s="48">
        <v>2131060</v>
      </c>
      <c r="W50" s="44">
        <f>+S50-'Stmt net assets'!O50-U50</f>
        <v>0</v>
      </c>
    </row>
    <row r="51" spans="1:25" s="65" customFormat="1" ht="12.75" customHeight="1">
      <c r="A51" s="35" t="s">
        <v>71</v>
      </c>
      <c r="B51" s="51"/>
      <c r="C51" s="35" t="s">
        <v>45</v>
      </c>
      <c r="D51" s="35"/>
      <c r="E51" s="48">
        <v>469820000</v>
      </c>
      <c r="F51" s="48"/>
      <c r="G51" s="48">
        <v>0</v>
      </c>
      <c r="H51" s="48"/>
      <c r="I51" s="48">
        <v>0</v>
      </c>
      <c r="J51" s="48"/>
      <c r="K51" s="48">
        <v>3029000</v>
      </c>
      <c r="L51" s="48"/>
      <c r="M51" s="48">
        <v>501000</v>
      </c>
      <c r="N51" s="48"/>
      <c r="O51" s="48">
        <v>101687000</v>
      </c>
      <c r="P51" s="48"/>
      <c r="Q51" s="48">
        <f>35972000+41713000+21038000+1857000</f>
        <v>100580000</v>
      </c>
      <c r="R51" s="48"/>
      <c r="S51" s="48">
        <f t="shared" si="1"/>
        <v>675617000</v>
      </c>
      <c r="T51" s="44"/>
      <c r="U51" s="48">
        <v>92135000</v>
      </c>
      <c r="W51" s="44">
        <f>+S51-'Stmt net assets'!O51-U51</f>
        <v>0</v>
      </c>
    </row>
    <row r="52" spans="1:25" s="65" customFormat="1" ht="12.75" customHeight="1">
      <c r="A52" s="44" t="s">
        <v>463</v>
      </c>
      <c r="B52" s="51"/>
      <c r="C52" s="44" t="s">
        <v>464</v>
      </c>
      <c r="D52" s="44"/>
      <c r="E52" s="48">
        <v>3945859</v>
      </c>
      <c r="F52" s="48"/>
      <c r="G52" s="48">
        <v>0</v>
      </c>
      <c r="H52" s="48"/>
      <c r="I52" s="48">
        <v>0</v>
      </c>
      <c r="J52" s="48"/>
      <c r="K52" s="48">
        <v>0</v>
      </c>
      <c r="L52" s="48"/>
      <c r="M52" s="48">
        <v>139433</v>
      </c>
      <c r="N52" s="48"/>
      <c r="O52" s="48">
        <v>372262</v>
      </c>
      <c r="P52" s="48"/>
      <c r="Q52" s="48">
        <v>0</v>
      </c>
      <c r="R52" s="48"/>
      <c r="S52" s="48">
        <f t="shared" si="1"/>
        <v>4457554</v>
      </c>
      <c r="T52" s="44"/>
      <c r="U52" s="48">
        <v>579214</v>
      </c>
      <c r="W52" s="44">
        <f>+S52-'Stmt net assets'!O52-U52</f>
        <v>0</v>
      </c>
      <c r="Y52" s="154"/>
    </row>
    <row r="53" spans="1:25" s="65" customFormat="1" ht="12.75" customHeight="1">
      <c r="A53" s="35" t="s">
        <v>72</v>
      </c>
      <c r="B53" s="51"/>
      <c r="C53" s="35" t="s">
        <v>66</v>
      </c>
      <c r="D53" s="35"/>
      <c r="E53" s="48">
        <v>4148415</v>
      </c>
      <c r="F53" s="48"/>
      <c r="G53" s="48">
        <v>0</v>
      </c>
      <c r="H53" s="48"/>
      <c r="I53" s="48">
        <v>0</v>
      </c>
      <c r="J53" s="48"/>
      <c r="K53" s="48">
        <v>0</v>
      </c>
      <c r="L53" s="48"/>
      <c r="M53" s="48">
        <v>489646</v>
      </c>
      <c r="N53" s="48"/>
      <c r="O53" s="48">
        <v>183264</v>
      </c>
      <c r="P53" s="48"/>
      <c r="Q53" s="48">
        <v>477384</v>
      </c>
      <c r="R53" s="48"/>
      <c r="S53" s="48">
        <f t="shared" si="1"/>
        <v>5298709</v>
      </c>
      <c r="T53" s="44"/>
      <c r="U53" s="48">
        <v>384163</v>
      </c>
      <c r="W53" s="44">
        <f>+S53-'Stmt net assets'!O53-U53</f>
        <v>0</v>
      </c>
    </row>
    <row r="54" spans="1:25" s="65" customFormat="1" ht="12.75" customHeight="1">
      <c r="A54" s="35" t="s">
        <v>73</v>
      </c>
      <c r="C54" s="35" t="s">
        <v>27</v>
      </c>
      <c r="D54" s="35"/>
      <c r="E54" s="48">
        <v>334258000</v>
      </c>
      <c r="F54" s="48"/>
      <c r="G54" s="48">
        <v>0</v>
      </c>
      <c r="H54" s="48"/>
      <c r="I54" s="48">
        <v>1750000</v>
      </c>
      <c r="J54" s="48"/>
      <c r="K54" s="48">
        <v>0</v>
      </c>
      <c r="L54" s="48"/>
      <c r="M54" s="48">
        <v>5320000</v>
      </c>
      <c r="N54" s="48"/>
      <c r="O54" s="48">
        <f>59036000+58743000+2552000</f>
        <v>120331000</v>
      </c>
      <c r="P54" s="48"/>
      <c r="Q54" s="48">
        <v>310276000</v>
      </c>
      <c r="R54" s="48"/>
      <c r="S54" s="48">
        <f t="shared" si="0"/>
        <v>771935000</v>
      </c>
      <c r="T54" s="44"/>
      <c r="U54" s="48">
        <v>85369000</v>
      </c>
      <c r="W54" s="44">
        <f>+S54-'Stmt net assets'!O54-U54</f>
        <v>0</v>
      </c>
    </row>
    <row r="55" spans="1:25" s="65" customFormat="1" ht="12.75" customHeight="1">
      <c r="A55" s="35" t="s">
        <v>74</v>
      </c>
      <c r="B55" s="51"/>
      <c r="C55" s="35" t="s">
        <v>27</v>
      </c>
      <c r="D55" s="35"/>
      <c r="E55" s="48">
        <v>14466915</v>
      </c>
      <c r="F55" s="48"/>
      <c r="G55" s="48">
        <v>0</v>
      </c>
      <c r="H55" s="48"/>
      <c r="I55" s="48">
        <v>0</v>
      </c>
      <c r="J55" s="48"/>
      <c r="K55" s="48">
        <v>1226097</v>
      </c>
      <c r="L55" s="48"/>
      <c r="M55" s="48">
        <v>122055</v>
      </c>
      <c r="N55" s="48"/>
      <c r="O55" s="48">
        <v>6363945</v>
      </c>
      <c r="P55" s="48"/>
      <c r="Q55" s="48">
        <v>460000</v>
      </c>
      <c r="R55" s="48"/>
      <c r="S55" s="48">
        <f t="shared" si="0"/>
        <v>22639012</v>
      </c>
      <c r="T55" s="44"/>
      <c r="U55" s="48">
        <v>4407803</v>
      </c>
      <c r="W55" s="44">
        <f>+S55-'Stmt net assets'!O55-U55</f>
        <v>0</v>
      </c>
    </row>
    <row r="56" spans="1:25" s="66" customFormat="1" ht="12.75" customHeight="1">
      <c r="A56" s="35" t="s">
        <v>75</v>
      </c>
      <c r="B56" s="51"/>
      <c r="C56" s="35" t="s">
        <v>76</v>
      </c>
      <c r="D56" s="35"/>
      <c r="E56" s="48">
        <v>2675000</v>
      </c>
      <c r="F56" s="48"/>
      <c r="G56" s="48">
        <v>0</v>
      </c>
      <c r="H56" s="48"/>
      <c r="I56" s="48">
        <v>1800000</v>
      </c>
      <c r="J56" s="48"/>
      <c r="K56" s="48">
        <v>501413</v>
      </c>
      <c r="L56" s="48"/>
      <c r="M56" s="48">
        <v>0</v>
      </c>
      <c r="N56" s="48"/>
      <c r="O56" s="48">
        <v>153668</v>
      </c>
      <c r="P56" s="48"/>
      <c r="Q56" s="48">
        <v>71853</v>
      </c>
      <c r="R56" s="48"/>
      <c r="S56" s="48">
        <f t="shared" si="0"/>
        <v>5201934</v>
      </c>
      <c r="T56" s="44"/>
      <c r="U56" s="48">
        <v>502155</v>
      </c>
      <c r="V56" s="65"/>
      <c r="W56" s="44">
        <f>+S56-'Stmt net assets'!O56-U56</f>
        <v>0</v>
      </c>
    </row>
    <row r="57" spans="1:25" s="65" customFormat="1" ht="12.75" customHeight="1">
      <c r="A57" s="35" t="s">
        <v>77</v>
      </c>
      <c r="B57" s="51"/>
      <c r="C57" s="35" t="s">
        <v>43</v>
      </c>
      <c r="D57" s="35"/>
      <c r="E57" s="48">
        <v>913129000</v>
      </c>
      <c r="F57" s="48"/>
      <c r="G57" s="48">
        <v>0</v>
      </c>
      <c r="H57" s="48"/>
      <c r="I57" s="48">
        <v>21300000</v>
      </c>
      <c r="J57" s="48"/>
      <c r="K57" s="48">
        <v>5433000</v>
      </c>
      <c r="L57" s="48"/>
      <c r="M57" s="48">
        <v>2000000</v>
      </c>
      <c r="N57" s="48"/>
      <c r="O57" s="48">
        <v>73856000</v>
      </c>
      <c r="P57" s="48"/>
      <c r="Q57" s="48">
        <v>0</v>
      </c>
      <c r="R57" s="48"/>
      <c r="S57" s="48">
        <f t="shared" si="0"/>
        <v>1015718000</v>
      </c>
      <c r="T57" s="44"/>
      <c r="U57" s="48">
        <f>98154000+49506000</f>
        <v>147660000</v>
      </c>
      <c r="W57" s="44">
        <f>+S57-'Stmt net assets'!O57-U57</f>
        <v>0</v>
      </c>
    </row>
    <row r="58" spans="1:25" s="65" customFormat="1" ht="12.75" customHeight="1">
      <c r="A58" s="35" t="s">
        <v>94</v>
      </c>
      <c r="B58" s="51"/>
      <c r="C58" s="35" t="s">
        <v>94</v>
      </c>
      <c r="D58" s="35"/>
      <c r="E58" s="48">
        <v>0</v>
      </c>
      <c r="F58" s="48"/>
      <c r="G58" s="48">
        <v>0</v>
      </c>
      <c r="H58" s="48"/>
      <c r="I58" s="48">
        <v>0</v>
      </c>
      <c r="J58" s="48"/>
      <c r="K58" s="48">
        <v>0</v>
      </c>
      <c r="L58" s="48"/>
      <c r="M58" s="48">
        <v>0</v>
      </c>
      <c r="N58" s="48"/>
      <c r="O58" s="48">
        <v>130982</v>
      </c>
      <c r="P58" s="48"/>
      <c r="Q58" s="48">
        <v>0</v>
      </c>
      <c r="R58" s="48"/>
      <c r="S58" s="48">
        <f>SUM(E58:Q58)</f>
        <v>130982</v>
      </c>
      <c r="T58" s="44"/>
      <c r="U58" s="48">
        <v>47025</v>
      </c>
      <c r="W58" s="44">
        <f>+S58-'Stmt net assets'!O58-U58</f>
        <v>0</v>
      </c>
      <c r="Y58" s="154"/>
    </row>
    <row r="59" spans="1:25" s="65" customFormat="1" ht="12.75" customHeight="1">
      <c r="A59" s="35" t="s">
        <v>78</v>
      </c>
      <c r="B59" s="51"/>
      <c r="C59" s="35" t="s">
        <v>19</v>
      </c>
      <c r="D59" s="35"/>
      <c r="E59" s="48">
        <v>1145000</v>
      </c>
      <c r="F59" s="48"/>
      <c r="G59" s="48">
        <v>999827</v>
      </c>
      <c r="H59" s="48"/>
      <c r="I59" s="48">
        <v>151000</v>
      </c>
      <c r="J59" s="48"/>
      <c r="K59" s="48">
        <f>653334+24511</f>
        <v>677845</v>
      </c>
      <c r="L59" s="48"/>
      <c r="M59" s="48">
        <v>158346</v>
      </c>
      <c r="N59" s="48"/>
      <c r="O59" s="48">
        <v>589195</v>
      </c>
      <c r="P59" s="48"/>
      <c r="Q59" s="48">
        <v>0</v>
      </c>
      <c r="R59" s="48"/>
      <c r="S59" s="48">
        <f>SUM(E59:Q59)</f>
        <v>3721213</v>
      </c>
      <c r="T59" s="44"/>
      <c r="U59" s="48">
        <v>652120</v>
      </c>
      <c r="W59" s="44">
        <f>+S59-'Stmt net assets'!O59-U59</f>
        <v>0</v>
      </c>
    </row>
    <row r="60" spans="1:25" s="65" customFormat="1" ht="12.75" customHeight="1">
      <c r="A60" s="35" t="s">
        <v>79</v>
      </c>
      <c r="C60" s="35" t="s">
        <v>80</v>
      </c>
      <c r="D60" s="35"/>
      <c r="E60" s="48">
        <v>0</v>
      </c>
      <c r="F60" s="48"/>
      <c r="G60" s="48">
        <v>0</v>
      </c>
      <c r="H60" s="48"/>
      <c r="I60" s="48">
        <v>0</v>
      </c>
      <c r="J60" s="48"/>
      <c r="K60" s="48">
        <v>0</v>
      </c>
      <c r="L60" s="48"/>
      <c r="M60" s="48">
        <v>0</v>
      </c>
      <c r="N60" s="48"/>
      <c r="O60" s="48">
        <v>262843</v>
      </c>
      <c r="P60" s="48"/>
      <c r="Q60" s="48">
        <v>0</v>
      </c>
      <c r="R60" s="48"/>
      <c r="S60" s="48">
        <f t="shared" si="0"/>
        <v>262843</v>
      </c>
      <c r="T60" s="44"/>
      <c r="U60" s="48">
        <v>38377</v>
      </c>
      <c r="W60" s="44">
        <f>+S60-'Stmt net assets'!O60-U60</f>
        <v>0</v>
      </c>
    </row>
    <row r="61" spans="1:25" s="65" customFormat="1" ht="12.75" customHeight="1">
      <c r="A61" s="64"/>
      <c r="B61" s="66"/>
      <c r="C61" s="64"/>
      <c r="D61" s="64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4"/>
      <c r="U61" s="48" t="s">
        <v>484</v>
      </c>
      <c r="W61" s="44"/>
    </row>
    <row r="62" spans="1:25" s="66" customFormat="1" ht="12.75" customHeight="1">
      <c r="A62" s="35" t="s">
        <v>81</v>
      </c>
      <c r="B62" s="51"/>
      <c r="C62" s="35" t="s">
        <v>81</v>
      </c>
      <c r="D62" s="35"/>
      <c r="E62" s="68">
        <v>0</v>
      </c>
      <c r="F62" s="68"/>
      <c r="G62" s="68">
        <v>0</v>
      </c>
      <c r="H62" s="68"/>
      <c r="I62" s="68">
        <v>534721</v>
      </c>
      <c r="J62" s="68"/>
      <c r="K62" s="68">
        <v>0</v>
      </c>
      <c r="L62" s="68"/>
      <c r="M62" s="68">
        <v>0</v>
      </c>
      <c r="N62" s="68"/>
      <c r="O62" s="68">
        <v>645570</v>
      </c>
      <c r="P62" s="68"/>
      <c r="Q62" s="68">
        <v>0</v>
      </c>
      <c r="R62" s="68"/>
      <c r="S62" s="68">
        <f t="shared" si="0"/>
        <v>1180291</v>
      </c>
      <c r="T62" s="46"/>
      <c r="U62" s="68">
        <v>158283</v>
      </c>
      <c r="V62" s="65"/>
      <c r="W62" s="44">
        <f>+S62-'Stmt net assets'!O62-U62</f>
        <v>0</v>
      </c>
    </row>
    <row r="63" spans="1:25" s="65" customFormat="1" ht="12.75" customHeight="1">
      <c r="A63" s="47" t="s">
        <v>465</v>
      </c>
      <c r="B63" s="47"/>
      <c r="C63" s="47" t="s">
        <v>57</v>
      </c>
      <c r="D63" s="35"/>
      <c r="E63" s="48">
        <v>0</v>
      </c>
      <c r="F63" s="48"/>
      <c r="G63" s="48">
        <v>0</v>
      </c>
      <c r="H63" s="48"/>
      <c r="I63" s="48">
        <v>0</v>
      </c>
      <c r="J63" s="48"/>
      <c r="K63" s="48">
        <v>0</v>
      </c>
      <c r="L63" s="48"/>
      <c r="M63" s="48">
        <v>97219</v>
      </c>
      <c r="N63" s="48"/>
      <c r="O63" s="48">
        <v>85585</v>
      </c>
      <c r="P63" s="48"/>
      <c r="Q63" s="48">
        <v>103748</v>
      </c>
      <c r="R63" s="48"/>
      <c r="S63" s="48">
        <f t="shared" si="0"/>
        <v>286552</v>
      </c>
      <c r="T63" s="44"/>
      <c r="U63" s="48">
        <v>122182</v>
      </c>
      <c r="W63" s="44">
        <f>+S63-'Stmt net assets'!O63-U63</f>
        <v>0</v>
      </c>
    </row>
    <row r="64" spans="1:25" s="65" customFormat="1" ht="12.75" customHeight="1">
      <c r="A64" s="35" t="s">
        <v>82</v>
      </c>
      <c r="B64" s="51"/>
      <c r="C64" s="35" t="s">
        <v>13</v>
      </c>
      <c r="D64" s="35"/>
      <c r="E64" s="48">
        <f>7109319+98021</f>
        <v>7207340</v>
      </c>
      <c r="F64" s="48"/>
      <c r="G64" s="48">
        <v>0</v>
      </c>
      <c r="H64" s="48"/>
      <c r="I64" s="48">
        <v>0</v>
      </c>
      <c r="J64" s="48"/>
      <c r="K64" s="48">
        <v>0</v>
      </c>
      <c r="L64" s="48"/>
      <c r="M64" s="48">
        <v>2945806</v>
      </c>
      <c r="N64" s="48"/>
      <c r="O64" s="48">
        <v>6891899</v>
      </c>
      <c r="P64" s="48"/>
      <c r="Q64" s="48">
        <f>714369+292985</f>
        <v>1007354</v>
      </c>
      <c r="R64" s="48"/>
      <c r="S64" s="48">
        <f t="shared" si="0"/>
        <v>18052399</v>
      </c>
      <c r="T64" s="44"/>
      <c r="U64" s="48">
        <f>4820954+292985</f>
        <v>5113939</v>
      </c>
      <c r="W64" s="44">
        <f>+S64-'Stmt net assets'!O64-U64</f>
        <v>0</v>
      </c>
    </row>
    <row r="65" spans="1:27" s="65" customFormat="1" ht="12.75" customHeight="1">
      <c r="A65" s="35" t="s">
        <v>83</v>
      </c>
      <c r="B65" s="51"/>
      <c r="C65" s="35" t="s">
        <v>66</v>
      </c>
      <c r="D65" s="35"/>
      <c r="E65" s="48">
        <v>56284054</v>
      </c>
      <c r="F65" s="48"/>
      <c r="G65" s="48">
        <v>299500</v>
      </c>
      <c r="H65" s="48"/>
      <c r="I65" s="48">
        <v>0</v>
      </c>
      <c r="J65" s="48"/>
      <c r="K65" s="48">
        <v>197334</v>
      </c>
      <c r="L65" s="48"/>
      <c r="M65" s="48">
        <v>0</v>
      </c>
      <c r="N65" s="48"/>
      <c r="O65" s="48">
        <v>9519513</v>
      </c>
      <c r="P65" s="48"/>
      <c r="Q65" s="48">
        <f>39925000+3647+6290048+1179173+584038-1077053</f>
        <v>46904853</v>
      </c>
      <c r="R65" s="48"/>
      <c r="S65" s="48">
        <f t="shared" si="0"/>
        <v>113205254</v>
      </c>
      <c r="T65" s="44"/>
      <c r="U65" s="48">
        <v>13976270</v>
      </c>
      <c r="W65" s="44">
        <f>+S65-'Stmt net assets'!O65-U65</f>
        <v>0</v>
      </c>
    </row>
    <row r="66" spans="1:27" s="65" customFormat="1" ht="12.75" customHeight="1">
      <c r="A66" s="35" t="s">
        <v>84</v>
      </c>
      <c r="B66" s="51"/>
      <c r="C66" s="35" t="s">
        <v>45</v>
      </c>
      <c r="D66" s="35"/>
      <c r="E66" s="48">
        <v>2502872</v>
      </c>
      <c r="F66" s="48"/>
      <c r="G66" s="48">
        <v>0</v>
      </c>
      <c r="H66" s="48"/>
      <c r="I66" s="48">
        <v>0</v>
      </c>
      <c r="J66" s="48"/>
      <c r="K66" s="48">
        <v>139669</v>
      </c>
      <c r="L66" s="48"/>
      <c r="M66" s="48">
        <v>54446</v>
      </c>
      <c r="N66" s="48"/>
      <c r="O66" s="48">
        <v>172242</v>
      </c>
      <c r="P66" s="48"/>
      <c r="Q66" s="48">
        <v>107518</v>
      </c>
      <c r="R66" s="48"/>
      <c r="S66" s="48">
        <f t="shared" si="0"/>
        <v>2976747</v>
      </c>
      <c r="T66" s="44"/>
      <c r="U66" s="48">
        <v>222797</v>
      </c>
      <c r="W66" s="44">
        <f>+S66-'Stmt net assets'!O66-U66</f>
        <v>0</v>
      </c>
    </row>
    <row r="67" spans="1:27" s="65" customFormat="1" ht="12.75" customHeight="1">
      <c r="A67" s="35" t="s">
        <v>85</v>
      </c>
      <c r="B67" s="51"/>
      <c r="C67" s="35" t="s">
        <v>85</v>
      </c>
      <c r="D67" s="35"/>
      <c r="E67" s="48">
        <v>80000</v>
      </c>
      <c r="F67" s="48"/>
      <c r="G67" s="48">
        <v>166358</v>
      </c>
      <c r="H67" s="48"/>
      <c r="I67" s="48">
        <v>0</v>
      </c>
      <c r="J67" s="48"/>
      <c r="K67" s="48">
        <v>0</v>
      </c>
      <c r="L67" s="48"/>
      <c r="M67" s="48">
        <v>6925</v>
      </c>
      <c r="N67" s="48"/>
      <c r="O67" s="48">
        <v>586030</v>
      </c>
      <c r="P67" s="48"/>
      <c r="Q67" s="48">
        <v>0</v>
      </c>
      <c r="R67" s="48"/>
      <c r="S67" s="48">
        <f t="shared" si="0"/>
        <v>839313</v>
      </c>
      <c r="T67" s="44"/>
      <c r="U67" s="48">
        <v>381295</v>
      </c>
      <c r="W67" s="44">
        <f>+S67-'Stmt net assets'!O67-U67</f>
        <v>0</v>
      </c>
    </row>
    <row r="68" spans="1:27" s="65" customFormat="1" ht="12.75" customHeight="1">
      <c r="A68" s="35" t="s">
        <v>86</v>
      </c>
      <c r="B68" s="51"/>
      <c r="C68" s="35" t="s">
        <v>86</v>
      </c>
      <c r="D68" s="35"/>
      <c r="E68" s="48">
        <f>4140000+2962834</f>
        <v>7102834</v>
      </c>
      <c r="F68" s="48"/>
      <c r="G68" s="48">
        <v>23000</v>
      </c>
      <c r="H68" s="48"/>
      <c r="I68" s="48">
        <v>0</v>
      </c>
      <c r="J68" s="48"/>
      <c r="K68" s="48">
        <v>0</v>
      </c>
      <c r="L68" s="48"/>
      <c r="M68" s="48">
        <v>20900</v>
      </c>
      <c r="N68" s="48"/>
      <c r="O68" s="48">
        <v>4911152</v>
      </c>
      <c r="P68" s="48"/>
      <c r="Q68" s="48">
        <v>296020</v>
      </c>
      <c r="R68" s="48"/>
      <c r="S68" s="48">
        <f t="shared" si="0"/>
        <v>12353906</v>
      </c>
      <c r="T68" s="44"/>
      <c r="U68" s="48">
        <v>1330369</v>
      </c>
      <c r="W68" s="44">
        <f>+S68-'Stmt net assets'!O68-U68</f>
        <v>0</v>
      </c>
    </row>
    <row r="69" spans="1:27" s="66" customFormat="1" ht="12.75" customHeight="1">
      <c r="A69" s="64" t="s">
        <v>87</v>
      </c>
      <c r="C69" s="64" t="s">
        <v>88</v>
      </c>
      <c r="D69" s="64"/>
      <c r="E69" s="48">
        <v>0</v>
      </c>
      <c r="F69" s="48"/>
      <c r="G69" s="48">
        <v>0</v>
      </c>
      <c r="H69" s="48"/>
      <c r="I69" s="48">
        <v>0</v>
      </c>
      <c r="J69" s="48"/>
      <c r="K69" s="48">
        <v>0</v>
      </c>
      <c r="L69" s="48"/>
      <c r="M69" s="48">
        <v>59640</v>
      </c>
      <c r="N69" s="48"/>
      <c r="O69" s="48">
        <v>377453</v>
      </c>
      <c r="P69" s="48"/>
      <c r="Q69" s="48">
        <v>0</v>
      </c>
      <c r="R69" s="48"/>
      <c r="S69" s="48">
        <f t="shared" si="0"/>
        <v>437093</v>
      </c>
      <c r="T69" s="44"/>
      <c r="U69" s="48">
        <v>161749</v>
      </c>
      <c r="W69" s="46">
        <f>+S69-'Stmt net assets'!O69-U69</f>
        <v>0</v>
      </c>
    </row>
    <row r="70" spans="1:27" s="65" customFormat="1" ht="12.75" customHeight="1">
      <c r="A70" s="35" t="s">
        <v>395</v>
      </c>
      <c r="C70" s="35" t="s">
        <v>89</v>
      </c>
      <c r="D70" s="35"/>
      <c r="E70" s="48">
        <v>0</v>
      </c>
      <c r="F70" s="48"/>
      <c r="G70" s="48">
        <v>0</v>
      </c>
      <c r="H70" s="48"/>
      <c r="I70" s="48">
        <v>2100000</v>
      </c>
      <c r="J70" s="48"/>
      <c r="K70" s="48">
        <v>0</v>
      </c>
      <c r="L70" s="48"/>
      <c r="M70" s="48">
        <v>0</v>
      </c>
      <c r="N70" s="48"/>
      <c r="O70" s="48">
        <v>1414577</v>
      </c>
      <c r="P70" s="48"/>
      <c r="Q70" s="48">
        <v>279324</v>
      </c>
      <c r="R70" s="48"/>
      <c r="S70" s="48">
        <f t="shared" si="0"/>
        <v>3793901</v>
      </c>
      <c r="T70" s="44"/>
      <c r="U70" s="48">
        <v>167009</v>
      </c>
      <c r="W70" s="44">
        <f>+S70-'Stmt net assets'!O70-U70</f>
        <v>0</v>
      </c>
    </row>
    <row r="71" spans="1:27" s="107" customFormat="1" ht="12.75" customHeight="1">
      <c r="A71" s="35" t="s">
        <v>90</v>
      </c>
      <c r="B71" s="96"/>
      <c r="C71" s="35" t="s">
        <v>43</v>
      </c>
      <c r="D71" s="35"/>
      <c r="E71" s="48">
        <v>43295000</v>
      </c>
      <c r="F71" s="48"/>
      <c r="G71" s="48">
        <v>0</v>
      </c>
      <c r="H71" s="48"/>
      <c r="I71" s="48">
        <v>0</v>
      </c>
      <c r="J71" s="48"/>
      <c r="K71" s="48">
        <v>7740040</v>
      </c>
      <c r="L71" s="48"/>
      <c r="M71" s="48">
        <v>0</v>
      </c>
      <c r="N71" s="48"/>
      <c r="O71" s="48">
        <v>3510157</v>
      </c>
      <c r="P71" s="48"/>
      <c r="Q71" s="48">
        <f>1002000+2702581+1150794-1343092</f>
        <v>3512283</v>
      </c>
      <c r="R71" s="48"/>
      <c r="S71" s="48">
        <f t="shared" si="0"/>
        <v>58057480</v>
      </c>
      <c r="T71" s="44"/>
      <c r="U71" s="48">
        <v>7024270</v>
      </c>
      <c r="W71" s="44">
        <f>+S71-'Stmt net assets'!O71-U71</f>
        <v>0</v>
      </c>
      <c r="Y71" s="107">
        <f>58249778-7024270</f>
        <v>51225508</v>
      </c>
      <c r="AA71" s="107">
        <f>51033210-51225508</f>
        <v>-192298</v>
      </c>
    </row>
    <row r="72" spans="1:27" s="65" customFormat="1" ht="12.75" customHeight="1">
      <c r="A72" s="47" t="s">
        <v>488</v>
      </c>
      <c r="B72" s="47"/>
      <c r="C72" s="47" t="s">
        <v>27</v>
      </c>
      <c r="D72" s="35"/>
      <c r="E72" s="48">
        <v>0</v>
      </c>
      <c r="F72" s="48"/>
      <c r="G72" s="48">
        <v>0</v>
      </c>
      <c r="H72" s="48"/>
      <c r="I72" s="48">
        <v>0</v>
      </c>
      <c r="J72" s="48"/>
      <c r="K72" s="48">
        <v>3670147</v>
      </c>
      <c r="L72" s="48"/>
      <c r="M72" s="48">
        <v>300109</v>
      </c>
      <c r="N72" s="48"/>
      <c r="O72" s="48">
        <v>1779867</v>
      </c>
      <c r="P72" s="48"/>
      <c r="Q72" s="48">
        <v>1445826</v>
      </c>
      <c r="R72" s="48"/>
      <c r="S72" s="48">
        <f t="shared" si="0"/>
        <v>7195949</v>
      </c>
      <c r="T72" s="44"/>
      <c r="U72" s="48">
        <v>608744</v>
      </c>
      <c r="W72" s="44">
        <f>+S72-'Stmt net assets'!O72-U72</f>
        <v>0</v>
      </c>
    </row>
    <row r="73" spans="1:27" s="65" customFormat="1" ht="12.75" customHeight="1">
      <c r="A73" s="44" t="s">
        <v>93</v>
      </c>
      <c r="B73" s="47"/>
      <c r="C73" s="44" t="s">
        <v>94</v>
      </c>
      <c r="D73" s="35"/>
      <c r="E73" s="48">
        <v>0</v>
      </c>
      <c r="F73" s="48"/>
      <c r="G73" s="48">
        <v>0</v>
      </c>
      <c r="H73" s="48"/>
      <c r="I73" s="48">
        <v>0</v>
      </c>
      <c r="J73" s="48"/>
      <c r="K73" s="48">
        <f>219352+321276+196763+724319</f>
        <v>1461710</v>
      </c>
      <c r="L73" s="48"/>
      <c r="M73" s="48">
        <v>73319</v>
      </c>
      <c r="N73" s="48"/>
      <c r="O73" s="48">
        <v>419934</v>
      </c>
      <c r="P73" s="48"/>
      <c r="Q73" s="48">
        <v>847082</v>
      </c>
      <c r="R73" s="48"/>
      <c r="S73" s="48">
        <f>SUM(E73:Q73)</f>
        <v>2802045</v>
      </c>
      <c r="T73" s="44"/>
      <c r="U73" s="48">
        <v>330189</v>
      </c>
      <c r="W73" s="44">
        <f>+S73-'Stmt net assets'!O73-U73</f>
        <v>0</v>
      </c>
      <c r="X73" s="107"/>
    </row>
    <row r="74" spans="1:27" s="65" customFormat="1" ht="12.75" customHeight="1">
      <c r="A74" s="35" t="s">
        <v>95</v>
      </c>
      <c r="C74" s="35" t="s">
        <v>94</v>
      </c>
      <c r="D74" s="35"/>
      <c r="E74" s="48">
        <v>0</v>
      </c>
      <c r="F74" s="48"/>
      <c r="G74" s="48">
        <v>0</v>
      </c>
      <c r="H74" s="48"/>
      <c r="I74" s="48">
        <v>50660</v>
      </c>
      <c r="J74" s="48"/>
      <c r="K74" s="48">
        <f>156000+276704+534705</f>
        <v>967409</v>
      </c>
      <c r="L74" s="48"/>
      <c r="M74" s="48">
        <v>41261</v>
      </c>
      <c r="N74" s="48"/>
      <c r="O74" s="48">
        <v>141173</v>
      </c>
      <c r="P74" s="48"/>
      <c r="Q74" s="48">
        <v>0</v>
      </c>
      <c r="R74" s="48"/>
      <c r="S74" s="48">
        <f t="shared" ref="S74:S80" si="2">SUM(E74:Q74)</f>
        <v>1200503</v>
      </c>
      <c r="T74" s="44"/>
      <c r="U74" s="48">
        <v>176391</v>
      </c>
      <c r="W74" s="44">
        <f>+S74-'Stmt net assets'!O74-U74</f>
        <v>0</v>
      </c>
    </row>
    <row r="75" spans="1:27" s="65" customFormat="1" ht="12.75" customHeight="1">
      <c r="A75" s="35" t="s">
        <v>91</v>
      </c>
      <c r="B75" s="51"/>
      <c r="C75" s="35" t="s">
        <v>92</v>
      </c>
      <c r="D75" s="35"/>
      <c r="E75" s="48">
        <v>16610000</v>
      </c>
      <c r="F75" s="48"/>
      <c r="G75" s="48">
        <v>0</v>
      </c>
      <c r="H75" s="48"/>
      <c r="I75" s="48">
        <v>0</v>
      </c>
      <c r="J75" s="48"/>
      <c r="K75" s="48">
        <v>271090</v>
      </c>
      <c r="L75" s="48"/>
      <c r="M75" s="48">
        <v>53694</v>
      </c>
      <c r="N75" s="48"/>
      <c r="O75" s="48">
        <v>1975691</v>
      </c>
      <c r="P75" s="48"/>
      <c r="Q75" s="48">
        <v>230658</v>
      </c>
      <c r="R75" s="48"/>
      <c r="S75" s="48">
        <f t="shared" si="2"/>
        <v>19141133</v>
      </c>
      <c r="T75" s="44"/>
      <c r="U75" s="48">
        <v>1054843</v>
      </c>
      <c r="W75" s="44">
        <f>+S75-'Stmt net assets'!O75-U75</f>
        <v>0</v>
      </c>
    </row>
    <row r="76" spans="1:27" s="65" customFormat="1" ht="12.75" customHeight="1">
      <c r="A76" s="35" t="s">
        <v>96</v>
      </c>
      <c r="B76" s="51"/>
      <c r="C76" s="35" t="s">
        <v>97</v>
      </c>
      <c r="D76" s="35"/>
      <c r="E76" s="48">
        <v>893622</v>
      </c>
      <c r="F76" s="48"/>
      <c r="G76" s="48">
        <v>0</v>
      </c>
      <c r="H76" s="48"/>
      <c r="I76" s="48">
        <v>0</v>
      </c>
      <c r="J76" s="48"/>
      <c r="K76" s="48">
        <f>522500+393750</f>
        <v>916250</v>
      </c>
      <c r="L76" s="48"/>
      <c r="M76" s="48">
        <v>0</v>
      </c>
      <c r="N76" s="48"/>
      <c r="O76" s="48">
        <v>573801</v>
      </c>
      <c r="P76" s="48"/>
      <c r="Q76" s="48">
        <v>328337</v>
      </c>
      <c r="R76" s="48"/>
      <c r="S76" s="48">
        <f t="shared" si="2"/>
        <v>2712010</v>
      </c>
      <c r="T76" s="44"/>
      <c r="U76" s="48">
        <v>426496</v>
      </c>
      <c r="W76" s="44">
        <f>+S76-'Stmt net assets'!O76-U76</f>
        <v>0</v>
      </c>
    </row>
    <row r="77" spans="1:27" s="65" customFormat="1" ht="12.75" customHeight="1">
      <c r="A77" s="35" t="s">
        <v>98</v>
      </c>
      <c r="B77" s="51"/>
      <c r="C77" s="35" t="s">
        <v>17</v>
      </c>
      <c r="D77" s="35"/>
      <c r="E77" s="48">
        <v>25843643</v>
      </c>
      <c r="F77" s="48"/>
      <c r="G77" s="48">
        <v>3769325</v>
      </c>
      <c r="H77" s="48"/>
      <c r="I77" s="48">
        <v>0</v>
      </c>
      <c r="J77" s="48"/>
      <c r="K77" s="48">
        <f>459049+3252000</f>
        <v>3711049</v>
      </c>
      <c r="L77" s="48"/>
      <c r="M77" s="48">
        <v>0</v>
      </c>
      <c r="N77" s="48"/>
      <c r="O77" s="48">
        <v>4946920</v>
      </c>
      <c r="P77" s="48"/>
      <c r="Q77" s="48">
        <v>0</v>
      </c>
      <c r="R77" s="48"/>
      <c r="S77" s="48">
        <f t="shared" si="2"/>
        <v>38270937</v>
      </c>
      <c r="T77" s="44"/>
      <c r="U77" s="48">
        <v>2158168</v>
      </c>
      <c r="W77" s="44">
        <f>+S77-'Stmt net assets'!O77-U77</f>
        <v>0</v>
      </c>
      <c r="X77" s="107"/>
    </row>
    <row r="78" spans="1:27" s="65" customFormat="1" ht="12.75" customHeight="1">
      <c r="A78" s="35" t="s">
        <v>99</v>
      </c>
      <c r="B78" s="51"/>
      <c r="C78" s="35" t="s">
        <v>66</v>
      </c>
      <c r="D78" s="35"/>
      <c r="E78" s="48">
        <v>0</v>
      </c>
      <c r="F78" s="48"/>
      <c r="G78" s="48">
        <v>0</v>
      </c>
      <c r="H78" s="48"/>
      <c r="I78" s="48">
        <v>0</v>
      </c>
      <c r="J78" s="48"/>
      <c r="K78" s="48">
        <v>0</v>
      </c>
      <c r="L78" s="48"/>
      <c r="M78" s="48">
        <v>0</v>
      </c>
      <c r="N78" s="48"/>
      <c r="O78" s="48">
        <v>416031</v>
      </c>
      <c r="P78" s="48"/>
      <c r="Q78" s="48">
        <v>0</v>
      </c>
      <c r="R78" s="48"/>
      <c r="S78" s="48">
        <f t="shared" si="2"/>
        <v>416031</v>
      </c>
      <c r="T78" s="44"/>
      <c r="U78" s="48">
        <v>251396</v>
      </c>
      <c r="W78" s="44">
        <f>+S78-'Stmt net assets'!O78-U78</f>
        <v>0</v>
      </c>
    </row>
    <row r="79" spans="1:27" s="65" customFormat="1" ht="12.75" customHeight="1">
      <c r="A79" s="35" t="s">
        <v>100</v>
      </c>
      <c r="B79" s="51"/>
      <c r="C79" s="35" t="s">
        <v>27</v>
      </c>
      <c r="D79" s="35"/>
      <c r="E79" s="48">
        <v>25667580</v>
      </c>
      <c r="F79" s="48"/>
      <c r="G79" s="48">
        <v>1080000</v>
      </c>
      <c r="H79" s="48"/>
      <c r="I79" s="48">
        <v>2340000</v>
      </c>
      <c r="J79" s="48"/>
      <c r="K79" s="48">
        <v>1670375</v>
      </c>
      <c r="L79" s="48"/>
      <c r="M79" s="48">
        <v>653131</v>
      </c>
      <c r="N79" s="48"/>
      <c r="O79" s="48">
        <v>8476878</v>
      </c>
      <c r="P79" s="48"/>
      <c r="Q79" s="48">
        <f>1120000+987228</f>
        <v>2107228</v>
      </c>
      <c r="R79" s="48"/>
      <c r="S79" s="48">
        <f t="shared" si="2"/>
        <v>41995192</v>
      </c>
      <c r="T79" s="44"/>
      <c r="U79" s="48">
        <v>7108736</v>
      </c>
      <c r="W79" s="44">
        <f>+S79-'Stmt net assets'!O79-U79</f>
        <v>0</v>
      </c>
    </row>
    <row r="80" spans="1:27" s="65" customFormat="1" ht="12" customHeight="1">
      <c r="A80" s="35" t="s">
        <v>101</v>
      </c>
      <c r="B80" s="51"/>
      <c r="C80" s="35" t="s">
        <v>30</v>
      </c>
      <c r="D80" s="35"/>
      <c r="E80" s="48">
        <f>410000+285000</f>
        <v>695000</v>
      </c>
      <c r="F80" s="48"/>
      <c r="G80" s="48">
        <v>1789000</v>
      </c>
      <c r="H80" s="48"/>
      <c r="I80" s="48">
        <v>403000</v>
      </c>
      <c r="J80" s="48"/>
      <c r="K80" s="48">
        <v>0</v>
      </c>
      <c r="L80" s="48"/>
      <c r="M80" s="48">
        <v>669186</v>
      </c>
      <c r="N80" s="48"/>
      <c r="O80" s="48">
        <v>1181259</v>
      </c>
      <c r="P80" s="48"/>
      <c r="Q80" s="48">
        <v>5830729</v>
      </c>
      <c r="R80" s="48"/>
      <c r="S80" s="48">
        <f t="shared" si="2"/>
        <v>10568174</v>
      </c>
      <c r="T80" s="44"/>
      <c r="U80" s="48">
        <v>2485344</v>
      </c>
      <c r="W80" s="44">
        <f>+S80-'Stmt net assets'!O80-U80</f>
        <v>0</v>
      </c>
    </row>
    <row r="81" spans="1:23" s="65" customFormat="1" ht="12.75" customHeight="1">
      <c r="A81" s="35" t="s">
        <v>102</v>
      </c>
      <c r="B81" s="51"/>
      <c r="C81" s="35" t="s">
        <v>103</v>
      </c>
      <c r="D81" s="35"/>
      <c r="E81" s="48">
        <v>16840566</v>
      </c>
      <c r="F81" s="48"/>
      <c r="G81" s="48">
        <v>0</v>
      </c>
      <c r="H81" s="48"/>
      <c r="I81" s="48">
        <v>0</v>
      </c>
      <c r="J81" s="48"/>
      <c r="K81" s="48">
        <v>0</v>
      </c>
      <c r="L81" s="48"/>
      <c r="M81" s="48">
        <v>348831</v>
      </c>
      <c r="N81" s="48"/>
      <c r="O81" s="48">
        <v>3417023</v>
      </c>
      <c r="P81" s="48"/>
      <c r="Q81" s="48">
        <v>0</v>
      </c>
      <c r="R81" s="48"/>
      <c r="S81" s="48">
        <f t="shared" ref="S81:S146" si="3">SUM(E81:Q81)</f>
        <v>20606420</v>
      </c>
      <c r="T81" s="44"/>
      <c r="U81" s="48">
        <v>1294944</v>
      </c>
      <c r="W81" s="44">
        <f>+S81-'Stmt net assets'!O81-U81</f>
        <v>0</v>
      </c>
    </row>
    <row r="82" spans="1:23" s="65" customFormat="1" ht="12.75" customHeight="1">
      <c r="A82" s="35" t="s">
        <v>104</v>
      </c>
      <c r="B82" s="51"/>
      <c r="C82" s="35" t="s">
        <v>13</v>
      </c>
      <c r="D82" s="35"/>
      <c r="E82" s="48">
        <v>6785000</v>
      </c>
      <c r="F82" s="48"/>
      <c r="G82" s="48">
        <v>360000</v>
      </c>
      <c r="H82" s="48"/>
      <c r="I82" s="48">
        <v>0</v>
      </c>
      <c r="J82" s="48"/>
      <c r="K82" s="48">
        <v>386852</v>
      </c>
      <c r="L82" s="48"/>
      <c r="M82" s="48">
        <v>0</v>
      </c>
      <c r="N82" s="48"/>
      <c r="O82" s="48">
        <v>1322595</v>
      </c>
      <c r="P82" s="48"/>
      <c r="Q82" s="48">
        <v>0</v>
      </c>
      <c r="R82" s="48"/>
      <c r="S82" s="48">
        <f t="shared" si="3"/>
        <v>8854447</v>
      </c>
      <c r="T82" s="44"/>
      <c r="U82" s="48">
        <v>1292713</v>
      </c>
      <c r="W82" s="44">
        <f>+S82-'Stmt net assets'!O82-U82</f>
        <v>0</v>
      </c>
    </row>
    <row r="83" spans="1:23" s="65" customFormat="1" ht="12.75" customHeight="1">
      <c r="A83" s="35" t="s">
        <v>105</v>
      </c>
      <c r="B83" s="51"/>
      <c r="C83" s="35" t="s">
        <v>27</v>
      </c>
      <c r="D83" s="35"/>
      <c r="E83" s="48">
        <v>23212050</v>
      </c>
      <c r="F83" s="48"/>
      <c r="G83" s="48">
        <v>0</v>
      </c>
      <c r="H83" s="48"/>
      <c r="I83" s="48">
        <v>1100000</v>
      </c>
      <c r="J83" s="48"/>
      <c r="K83" s="48">
        <f>219048+750887+390821+391757</f>
        <v>1752513</v>
      </c>
      <c r="L83" s="48"/>
      <c r="M83" s="48">
        <v>437000</v>
      </c>
      <c r="N83" s="48"/>
      <c r="O83" s="48">
        <v>1633785</v>
      </c>
      <c r="P83" s="48"/>
      <c r="Q83" s="48">
        <v>0</v>
      </c>
      <c r="R83" s="48"/>
      <c r="S83" s="48">
        <f t="shared" si="3"/>
        <v>28135348</v>
      </c>
      <c r="T83" s="44"/>
      <c r="U83" s="48">
        <v>989172</v>
      </c>
      <c r="W83" s="44">
        <f>+S83-'Stmt net assets'!O83-U83</f>
        <v>0</v>
      </c>
    </row>
    <row r="84" spans="1:23" s="65" customFormat="1" ht="12.75" customHeight="1">
      <c r="A84" s="35" t="s">
        <v>106</v>
      </c>
      <c r="B84" s="51"/>
      <c r="C84" s="35" t="s">
        <v>107</v>
      </c>
      <c r="D84" s="35"/>
      <c r="E84" s="48">
        <v>10015000</v>
      </c>
      <c r="F84" s="48"/>
      <c r="G84" s="48">
        <v>67165</v>
      </c>
      <c r="H84" s="48"/>
      <c r="I84" s="48">
        <v>0</v>
      </c>
      <c r="J84" s="48"/>
      <c r="K84" s="48">
        <v>227872</v>
      </c>
      <c r="L84" s="48"/>
      <c r="M84" s="48">
        <v>0</v>
      </c>
      <c r="N84" s="48"/>
      <c r="O84" s="48">
        <v>3553292</v>
      </c>
      <c r="P84" s="48"/>
      <c r="Q84" s="48">
        <f>1157682+57172-44277-93310</f>
        <v>1077267</v>
      </c>
      <c r="R84" s="48"/>
      <c r="S84" s="48">
        <f t="shared" si="3"/>
        <v>14940596</v>
      </c>
      <c r="T84" s="44"/>
      <c r="U84" s="48">
        <v>2362450</v>
      </c>
      <c r="W84" s="44">
        <f>+S84-'Stmt net assets'!O84-U84</f>
        <v>0</v>
      </c>
    </row>
    <row r="85" spans="1:23" s="65" customFormat="1" ht="12.75" customHeight="1">
      <c r="A85" s="35" t="s">
        <v>108</v>
      </c>
      <c r="B85" s="51"/>
      <c r="C85" s="35" t="s">
        <v>45</v>
      </c>
      <c r="D85" s="35"/>
      <c r="E85" s="48">
        <v>2555000</v>
      </c>
      <c r="F85" s="48"/>
      <c r="G85" s="48">
        <v>0</v>
      </c>
      <c r="H85" s="48"/>
      <c r="I85" s="48">
        <v>0</v>
      </c>
      <c r="J85" s="48"/>
      <c r="K85" s="48">
        <v>19533</v>
      </c>
      <c r="L85" s="48"/>
      <c r="M85" s="48">
        <v>0</v>
      </c>
      <c r="N85" s="48"/>
      <c r="O85" s="48">
        <v>559737</v>
      </c>
      <c r="P85" s="48"/>
      <c r="Q85" s="48">
        <v>0</v>
      </c>
      <c r="R85" s="48"/>
      <c r="S85" s="48">
        <f t="shared" si="3"/>
        <v>3134270</v>
      </c>
      <c r="T85" s="44"/>
      <c r="U85" s="48">
        <v>433397</v>
      </c>
      <c r="W85" s="44">
        <f>+S85-'Stmt net assets'!O85-U85</f>
        <v>0</v>
      </c>
    </row>
    <row r="86" spans="1:23" s="65" customFormat="1" ht="12.75" customHeight="1">
      <c r="A86" s="35" t="s">
        <v>109</v>
      </c>
      <c r="C86" s="35" t="s">
        <v>110</v>
      </c>
      <c r="D86" s="35"/>
      <c r="E86" s="48">
        <v>0</v>
      </c>
      <c r="F86" s="48"/>
      <c r="G86" s="48">
        <v>219713</v>
      </c>
      <c r="H86" s="48"/>
      <c r="I86" s="48">
        <v>0</v>
      </c>
      <c r="J86" s="48"/>
      <c r="K86" s="48">
        <v>99581</v>
      </c>
      <c r="L86" s="48"/>
      <c r="M86" s="48">
        <v>211262</v>
      </c>
      <c r="N86" s="48"/>
      <c r="O86" s="48">
        <v>1241156</v>
      </c>
      <c r="P86" s="48"/>
      <c r="Q86" s="48">
        <v>0</v>
      </c>
      <c r="R86" s="48"/>
      <c r="S86" s="48">
        <f t="shared" si="3"/>
        <v>1771712</v>
      </c>
      <c r="T86" s="44"/>
      <c r="U86" s="48">
        <v>365845</v>
      </c>
      <c r="W86" s="44">
        <f>+S86-'Stmt net assets'!O86-U86</f>
        <v>0</v>
      </c>
    </row>
    <row r="87" spans="1:23" s="65" customFormat="1" ht="12.75" customHeight="1">
      <c r="A87" s="44" t="s">
        <v>43</v>
      </c>
      <c r="C87" s="35" t="s">
        <v>111</v>
      </c>
      <c r="D87" s="35"/>
      <c r="E87" s="48">
        <v>6547456</v>
      </c>
      <c r="F87" s="48"/>
      <c r="G87" s="48">
        <v>2421000</v>
      </c>
      <c r="H87" s="48"/>
      <c r="I87" s="48">
        <f>247000+140500</f>
        <v>387500</v>
      </c>
      <c r="J87" s="48"/>
      <c r="K87" s="48">
        <v>0</v>
      </c>
      <c r="L87" s="48"/>
      <c r="M87" s="48">
        <v>0</v>
      </c>
      <c r="N87" s="48"/>
      <c r="O87" s="48">
        <v>915614</v>
      </c>
      <c r="P87" s="48"/>
      <c r="Q87" s="48">
        <v>66871</v>
      </c>
      <c r="R87" s="48"/>
      <c r="S87" s="48">
        <f t="shared" si="3"/>
        <v>10338441</v>
      </c>
      <c r="T87" s="44"/>
      <c r="U87" s="48">
        <v>818868</v>
      </c>
      <c r="W87" s="44">
        <f>+S87-'Stmt net assets'!O87-U87</f>
        <v>0</v>
      </c>
    </row>
    <row r="88" spans="1:23" s="65" customFormat="1" ht="12.75" customHeight="1">
      <c r="A88" s="35" t="s">
        <v>112</v>
      </c>
      <c r="B88" s="51"/>
      <c r="C88" s="35" t="s">
        <v>76</v>
      </c>
      <c r="D88" s="35"/>
      <c r="E88" s="48">
        <v>3040000</v>
      </c>
      <c r="F88" s="48"/>
      <c r="G88" s="48">
        <v>0</v>
      </c>
      <c r="H88" s="48"/>
      <c r="I88" s="48">
        <v>0</v>
      </c>
      <c r="J88" s="48"/>
      <c r="K88" s="48">
        <v>0</v>
      </c>
      <c r="L88" s="48"/>
      <c r="M88" s="48">
        <v>0</v>
      </c>
      <c r="N88" s="48"/>
      <c r="O88" s="48">
        <v>844376</v>
      </c>
      <c r="P88" s="48"/>
      <c r="Q88" s="48">
        <f>758534+88155-129400</f>
        <v>717289</v>
      </c>
      <c r="R88" s="48"/>
      <c r="S88" s="48">
        <f t="shared" si="3"/>
        <v>4601665</v>
      </c>
      <c r="T88" s="44"/>
      <c r="U88" s="48">
        <v>374419</v>
      </c>
      <c r="W88" s="44">
        <f>+S88-'Stmt net assets'!O88-U88</f>
        <v>0</v>
      </c>
    </row>
    <row r="89" spans="1:23" s="65" customFormat="1" ht="12.75" customHeight="1">
      <c r="A89" s="35" t="s">
        <v>113</v>
      </c>
      <c r="B89" s="51"/>
      <c r="C89" s="35" t="s">
        <v>43</v>
      </c>
      <c r="D89" s="35"/>
      <c r="E89" s="48">
        <v>20563110</v>
      </c>
      <c r="F89" s="48"/>
      <c r="G89" s="48">
        <v>0</v>
      </c>
      <c r="H89" s="48"/>
      <c r="I89" s="48">
        <v>0</v>
      </c>
      <c r="J89" s="48"/>
      <c r="K89" s="48">
        <v>717852</v>
      </c>
      <c r="L89" s="48"/>
      <c r="M89" s="48">
        <v>18330</v>
      </c>
      <c r="N89" s="48"/>
      <c r="O89" s="48">
        <v>2313432</v>
      </c>
      <c r="P89" s="48"/>
      <c r="Q89" s="48">
        <v>0</v>
      </c>
      <c r="R89" s="48"/>
      <c r="S89" s="48">
        <f t="shared" si="3"/>
        <v>23612724</v>
      </c>
      <c r="T89" s="44"/>
      <c r="U89" s="48">
        <v>1482013</v>
      </c>
      <c r="W89" s="44">
        <f>+S89-'Stmt net assets'!O89-U89</f>
        <v>0</v>
      </c>
    </row>
    <row r="90" spans="1:23" s="65" customFormat="1" ht="12.75" customHeight="1">
      <c r="A90" s="35" t="s">
        <v>489</v>
      </c>
      <c r="B90" s="51"/>
      <c r="C90" s="35" t="s">
        <v>57</v>
      </c>
      <c r="D90" s="35"/>
      <c r="E90" s="48">
        <v>1909500</v>
      </c>
      <c r="F90" s="48"/>
      <c r="G90" s="48">
        <v>0</v>
      </c>
      <c r="H90" s="48"/>
      <c r="I90" s="48">
        <v>0</v>
      </c>
      <c r="J90" s="48"/>
      <c r="K90" s="48">
        <v>130869</v>
      </c>
      <c r="L90" s="48"/>
      <c r="M90" s="48">
        <v>0</v>
      </c>
      <c r="N90" s="48"/>
      <c r="O90" s="48">
        <v>683648</v>
      </c>
      <c r="P90" s="48"/>
      <c r="Q90" s="48">
        <f>25988+98505</f>
        <v>124493</v>
      </c>
      <c r="R90" s="48"/>
      <c r="S90" s="48">
        <f>SUM(E90:Q90)</f>
        <v>2848510</v>
      </c>
      <c r="T90" s="44"/>
      <c r="U90" s="48">
        <v>830542</v>
      </c>
      <c r="W90" s="44">
        <f>+S90-'Stmt net assets'!O90-U90</f>
        <v>0</v>
      </c>
    </row>
    <row r="91" spans="1:23" s="65" customFormat="1" ht="12.75" customHeight="1">
      <c r="A91" s="35" t="s">
        <v>114</v>
      </c>
      <c r="B91" s="51"/>
      <c r="C91" s="35" t="s">
        <v>27</v>
      </c>
      <c r="D91" s="35"/>
      <c r="E91" s="48">
        <v>24968727</v>
      </c>
      <c r="F91" s="48"/>
      <c r="G91" s="48">
        <v>859299</v>
      </c>
      <c r="H91" s="48"/>
      <c r="I91" s="48">
        <v>5508000</v>
      </c>
      <c r="J91" s="48"/>
      <c r="K91" s="48">
        <v>0</v>
      </c>
      <c r="L91" s="48"/>
      <c r="M91" s="48">
        <v>0</v>
      </c>
      <c r="N91" s="48"/>
      <c r="O91" s="48">
        <v>4880480</v>
      </c>
      <c r="P91" s="48"/>
      <c r="Q91" s="48">
        <f>447290+619958</f>
        <v>1067248</v>
      </c>
      <c r="R91" s="48"/>
      <c r="S91" s="48">
        <f>SUM(E91:Q91)</f>
        <v>37283754</v>
      </c>
      <c r="T91" s="44"/>
      <c r="U91" s="48">
        <v>2162066</v>
      </c>
      <c r="W91" s="44">
        <f>+S91-'Stmt net assets'!O91-U91</f>
        <v>0</v>
      </c>
    </row>
    <row r="92" spans="1:23" s="65" customFormat="1" ht="12.75" customHeight="1">
      <c r="A92" s="35" t="s">
        <v>115</v>
      </c>
      <c r="C92" s="35" t="s">
        <v>19</v>
      </c>
      <c r="D92" s="35"/>
      <c r="E92" s="48">
        <v>2188952</v>
      </c>
      <c r="F92" s="48"/>
      <c r="G92" s="48">
        <v>535000</v>
      </c>
      <c r="H92" s="48"/>
      <c r="I92" s="48">
        <v>0</v>
      </c>
      <c r="J92" s="48"/>
      <c r="K92" s="48">
        <v>404160</v>
      </c>
      <c r="L92" s="48"/>
      <c r="M92" s="48">
        <v>84627</v>
      </c>
      <c r="N92" s="48"/>
      <c r="O92" s="48">
        <v>129067</v>
      </c>
      <c r="P92" s="48"/>
      <c r="Q92" s="48">
        <v>0</v>
      </c>
      <c r="R92" s="48"/>
      <c r="S92" s="48">
        <f t="shared" si="3"/>
        <v>3341806</v>
      </c>
      <c r="T92" s="44"/>
      <c r="U92" s="48">
        <v>435827</v>
      </c>
      <c r="W92" s="44">
        <f>+S92-'Stmt net assets'!O92-U92</f>
        <v>0</v>
      </c>
    </row>
    <row r="93" spans="1:23" s="65" customFormat="1" ht="12.75" customHeight="1">
      <c r="A93" s="35" t="s">
        <v>116</v>
      </c>
      <c r="B93" s="51"/>
      <c r="C93" s="35" t="s">
        <v>80</v>
      </c>
      <c r="D93" s="35"/>
      <c r="E93" s="48">
        <v>0</v>
      </c>
      <c r="F93" s="48"/>
      <c r="G93" s="48">
        <v>0</v>
      </c>
      <c r="H93" s="48"/>
      <c r="I93" s="48">
        <v>0</v>
      </c>
      <c r="J93" s="48"/>
      <c r="K93" s="48">
        <v>85949</v>
      </c>
      <c r="L93" s="48"/>
      <c r="M93" s="48">
        <v>0</v>
      </c>
      <c r="N93" s="48"/>
      <c r="O93" s="48">
        <v>570066</v>
      </c>
      <c r="P93" s="48"/>
      <c r="Q93" s="48">
        <v>265537</v>
      </c>
      <c r="R93" s="48"/>
      <c r="S93" s="48">
        <f t="shared" si="3"/>
        <v>921552</v>
      </c>
      <c r="T93" s="44"/>
      <c r="U93" s="48">
        <v>57346</v>
      </c>
      <c r="W93" s="44">
        <f>+S93-'Stmt net assets'!O93-U93</f>
        <v>0</v>
      </c>
    </row>
    <row r="94" spans="1:23" s="65" customFormat="1" ht="12.75" customHeight="1">
      <c r="A94" s="44" t="s">
        <v>117</v>
      </c>
      <c r="B94" s="51"/>
      <c r="C94" s="35" t="s">
        <v>43</v>
      </c>
      <c r="D94" s="35"/>
      <c r="E94" s="48">
        <v>0</v>
      </c>
      <c r="F94" s="48"/>
      <c r="G94" s="48">
        <v>0</v>
      </c>
      <c r="H94" s="48"/>
      <c r="I94" s="48">
        <v>0</v>
      </c>
      <c r="J94" s="48"/>
      <c r="K94" s="48">
        <v>1278958</v>
      </c>
      <c r="L94" s="48"/>
      <c r="M94" s="48">
        <v>86944</v>
      </c>
      <c r="N94" s="48"/>
      <c r="O94" s="48">
        <v>756043</v>
      </c>
      <c r="P94" s="48"/>
      <c r="Q94" s="48">
        <v>0</v>
      </c>
      <c r="R94" s="48"/>
      <c r="S94" s="48">
        <f t="shared" si="3"/>
        <v>2121945</v>
      </c>
      <c r="T94" s="44"/>
      <c r="U94" s="48">
        <v>549136</v>
      </c>
      <c r="W94" s="44">
        <f>+S94-'Stmt net assets'!O94-U94</f>
        <v>0</v>
      </c>
    </row>
    <row r="95" spans="1:23" s="65" customFormat="1" ht="12.75" customHeight="1">
      <c r="A95" s="35" t="s">
        <v>118</v>
      </c>
      <c r="B95" s="51"/>
      <c r="C95" s="35" t="s">
        <v>13</v>
      </c>
      <c r="D95" s="35"/>
      <c r="E95" s="48">
        <v>37601798</v>
      </c>
      <c r="F95" s="48"/>
      <c r="G95" s="48">
        <v>0</v>
      </c>
      <c r="H95" s="48"/>
      <c r="I95" s="48">
        <v>0</v>
      </c>
      <c r="J95" s="48"/>
      <c r="K95" s="48">
        <v>0</v>
      </c>
      <c r="L95" s="48"/>
      <c r="M95" s="48">
        <v>0</v>
      </c>
      <c r="N95" s="48"/>
      <c r="O95" s="48">
        <v>1200173</v>
      </c>
      <c r="P95" s="48"/>
      <c r="Q95" s="48">
        <v>0</v>
      </c>
      <c r="R95" s="48"/>
      <c r="S95" s="48">
        <f t="shared" si="3"/>
        <v>38801971</v>
      </c>
      <c r="T95" s="44"/>
      <c r="U95" s="48">
        <v>1289852</v>
      </c>
      <c r="W95" s="44">
        <f>+S95-'Stmt net assets'!O95-U95</f>
        <v>0</v>
      </c>
    </row>
    <row r="96" spans="1:23" s="65" customFormat="1" ht="12.75" customHeight="1">
      <c r="A96" s="35" t="s">
        <v>120</v>
      </c>
      <c r="B96" s="51"/>
      <c r="C96" s="35" t="s">
        <v>121</v>
      </c>
      <c r="D96" s="35"/>
      <c r="E96" s="48">
        <v>1900000</v>
      </c>
      <c r="F96" s="48"/>
      <c r="G96" s="48">
        <v>0</v>
      </c>
      <c r="H96" s="48"/>
      <c r="I96" s="48">
        <v>0</v>
      </c>
      <c r="J96" s="48"/>
      <c r="K96" s="48">
        <v>283347</v>
      </c>
      <c r="L96" s="48"/>
      <c r="M96" s="48">
        <f>32530+297800+78681</f>
        <v>409011</v>
      </c>
      <c r="N96" s="48"/>
      <c r="O96" s="48">
        <v>463592</v>
      </c>
      <c r="P96" s="48"/>
      <c r="Q96" s="48">
        <f>129500+910000+90000+2900-69843</f>
        <v>1062557</v>
      </c>
      <c r="R96" s="48"/>
      <c r="S96" s="48">
        <f t="shared" si="3"/>
        <v>4118507</v>
      </c>
      <c r="T96" s="44"/>
      <c r="U96" s="48">
        <v>538926</v>
      </c>
      <c r="W96" s="44">
        <f>+S96-'Stmt net assets'!O96-U96</f>
        <v>0</v>
      </c>
    </row>
    <row r="97" spans="1:25" s="65" customFormat="1" ht="12.75" customHeight="1">
      <c r="A97" s="35" t="s">
        <v>122</v>
      </c>
      <c r="B97" s="51"/>
      <c r="C97" s="35" t="s">
        <v>43</v>
      </c>
      <c r="D97" s="35"/>
      <c r="E97" s="48">
        <v>18134322</v>
      </c>
      <c r="F97" s="48"/>
      <c r="G97" s="48">
        <v>12318</v>
      </c>
      <c r="H97" s="48"/>
      <c r="I97" s="48">
        <v>0</v>
      </c>
      <c r="J97" s="48"/>
      <c r="K97" s="48">
        <v>4315687</v>
      </c>
      <c r="L97" s="48"/>
      <c r="M97" s="48">
        <v>176727</v>
      </c>
      <c r="N97" s="48"/>
      <c r="O97" s="48">
        <v>1255658</v>
      </c>
      <c r="P97" s="48"/>
      <c r="Q97" s="48">
        <v>15745000</v>
      </c>
      <c r="R97" s="48"/>
      <c r="S97" s="48">
        <f t="shared" si="3"/>
        <v>39639712</v>
      </c>
      <c r="T97" s="44"/>
      <c r="U97" s="48">
        <v>2134022</v>
      </c>
      <c r="W97" s="44">
        <f>+S97-'Stmt net assets'!O97-U97</f>
        <v>0</v>
      </c>
    </row>
    <row r="98" spans="1:25" s="65" customFormat="1" ht="12.75" customHeight="1">
      <c r="A98" s="44" t="s">
        <v>45</v>
      </c>
      <c r="B98" s="51"/>
      <c r="C98" s="35" t="s">
        <v>103</v>
      </c>
      <c r="D98" s="35"/>
      <c r="E98" s="48">
        <f>31960000+4738</f>
        <v>31964738</v>
      </c>
      <c r="F98" s="48"/>
      <c r="G98" s="48">
        <v>1935000</v>
      </c>
      <c r="H98" s="48"/>
      <c r="I98" s="48">
        <v>0</v>
      </c>
      <c r="J98" s="48"/>
      <c r="K98" s="48">
        <v>0</v>
      </c>
      <c r="L98" s="48"/>
      <c r="M98" s="48">
        <v>0</v>
      </c>
      <c r="N98" s="48"/>
      <c r="O98" s="48">
        <v>7018878</v>
      </c>
      <c r="P98" s="48"/>
      <c r="Q98" s="48">
        <v>0</v>
      </c>
      <c r="R98" s="48"/>
      <c r="S98" s="48">
        <f t="shared" si="3"/>
        <v>40918616</v>
      </c>
      <c r="T98" s="44"/>
      <c r="U98" s="48">
        <v>4770118</v>
      </c>
      <c r="W98" s="44">
        <f>+S98-'Stmt net assets'!O98-U98</f>
        <v>0</v>
      </c>
    </row>
    <row r="99" spans="1:25" s="65" customFormat="1" ht="12.75" customHeight="1">
      <c r="A99" s="44" t="s">
        <v>123</v>
      </c>
      <c r="B99" s="51"/>
      <c r="C99" s="35" t="s">
        <v>45</v>
      </c>
      <c r="D99" s="35"/>
      <c r="E99" s="48">
        <f>4085000+109911-37414</f>
        <v>4157497</v>
      </c>
      <c r="F99" s="48"/>
      <c r="G99" s="48">
        <v>0</v>
      </c>
      <c r="H99" s="48"/>
      <c r="I99" s="48">
        <v>0</v>
      </c>
      <c r="J99" s="48"/>
      <c r="K99" s="48">
        <f>894080+467943</f>
        <v>1362023</v>
      </c>
      <c r="L99" s="48"/>
      <c r="M99" s="48">
        <v>1169821</v>
      </c>
      <c r="N99" s="48"/>
      <c r="O99" s="48">
        <v>350583</v>
      </c>
      <c r="P99" s="48"/>
      <c r="Q99" s="48">
        <v>0</v>
      </c>
      <c r="R99" s="48"/>
      <c r="S99" s="48">
        <f t="shared" si="3"/>
        <v>7039924</v>
      </c>
      <c r="T99" s="44"/>
      <c r="U99" s="48">
        <v>500377</v>
      </c>
      <c r="W99" s="44">
        <f>+S99-'Stmt net assets'!O99-U99</f>
        <v>0</v>
      </c>
    </row>
    <row r="100" spans="1:25" s="65" customFormat="1" ht="12.75" customHeight="1">
      <c r="A100" s="64" t="s">
        <v>124</v>
      </c>
      <c r="B100" s="66"/>
      <c r="C100" s="64" t="s">
        <v>125</v>
      </c>
      <c r="D100" s="64"/>
      <c r="E100" s="48">
        <v>4015000</v>
      </c>
      <c r="F100" s="48"/>
      <c r="G100" s="48">
        <v>0</v>
      </c>
      <c r="H100" s="48"/>
      <c r="I100" s="48">
        <v>0</v>
      </c>
      <c r="J100" s="48"/>
      <c r="K100" s="48">
        <v>0</v>
      </c>
      <c r="L100" s="48"/>
      <c r="M100" s="48">
        <v>24482</v>
      </c>
      <c r="N100" s="48"/>
      <c r="O100" s="48">
        <v>745359</v>
      </c>
      <c r="P100" s="48"/>
      <c r="Q100" s="48">
        <v>0</v>
      </c>
      <c r="R100" s="48"/>
      <c r="S100" s="48">
        <f t="shared" si="3"/>
        <v>4784841</v>
      </c>
      <c r="T100" s="44"/>
      <c r="U100" s="48">
        <v>351251</v>
      </c>
      <c r="W100" s="44">
        <f>+S100-'Stmt net assets'!O100-U100</f>
        <v>0</v>
      </c>
    </row>
    <row r="101" spans="1:25" s="65" customFormat="1" ht="12.75" customHeight="1">
      <c r="A101" s="35" t="s">
        <v>126</v>
      </c>
      <c r="B101" s="51"/>
      <c r="C101" s="35" t="s">
        <v>27</v>
      </c>
      <c r="D101" s="35"/>
      <c r="E101" s="48">
        <v>8103061</v>
      </c>
      <c r="F101" s="48"/>
      <c r="G101" s="48">
        <v>3541938</v>
      </c>
      <c r="H101" s="48"/>
      <c r="I101" s="48">
        <v>0</v>
      </c>
      <c r="J101" s="48"/>
      <c r="K101" s="48">
        <v>2589920</v>
      </c>
      <c r="L101" s="48"/>
      <c r="M101" s="48">
        <v>0</v>
      </c>
      <c r="N101" s="48"/>
      <c r="O101" s="48">
        <v>1070226</v>
      </c>
      <c r="P101" s="48"/>
      <c r="Q101" s="48">
        <v>67994</v>
      </c>
      <c r="R101" s="48"/>
      <c r="S101" s="48">
        <f t="shared" si="3"/>
        <v>15373139</v>
      </c>
      <c r="T101" s="44"/>
      <c r="U101" s="48">
        <v>1565063</v>
      </c>
      <c r="W101" s="44">
        <f>+S101-'Stmt net assets'!O101-U101</f>
        <v>0</v>
      </c>
    </row>
    <row r="102" spans="1:25" s="65" customFormat="1" ht="12.75" customHeight="1">
      <c r="A102" s="35" t="s">
        <v>127</v>
      </c>
      <c r="B102" s="51"/>
      <c r="C102" s="35" t="s">
        <v>43</v>
      </c>
      <c r="D102" s="35"/>
      <c r="E102" s="48">
        <v>51115263</v>
      </c>
      <c r="F102" s="48"/>
      <c r="G102" s="48">
        <v>0</v>
      </c>
      <c r="H102" s="48"/>
      <c r="I102" s="48">
        <v>0</v>
      </c>
      <c r="J102" s="48"/>
      <c r="K102" s="48">
        <v>2216777</v>
      </c>
      <c r="L102" s="48"/>
      <c r="M102" s="48">
        <v>6313094</v>
      </c>
      <c r="N102" s="48"/>
      <c r="O102" s="48">
        <v>1833191</v>
      </c>
      <c r="P102" s="48"/>
      <c r="Q102" s="48">
        <v>1862658</v>
      </c>
      <c r="R102" s="48"/>
      <c r="S102" s="48">
        <f t="shared" si="3"/>
        <v>63340983</v>
      </c>
      <c r="T102" s="44"/>
      <c r="U102" s="48">
        <v>3474889</v>
      </c>
      <c r="W102" s="44">
        <f>+S102-'Stmt net assets'!O102-U102</f>
        <v>0</v>
      </c>
    </row>
    <row r="103" spans="1:25" s="65" customFormat="1" ht="12.75" customHeight="1">
      <c r="A103" s="35" t="s">
        <v>128</v>
      </c>
      <c r="B103" s="51"/>
      <c r="C103" s="35" t="s">
        <v>119</v>
      </c>
      <c r="D103" s="35"/>
      <c r="E103" s="48">
        <f>630000+2730000</f>
        <v>3360000</v>
      </c>
      <c r="F103" s="48"/>
      <c r="G103" s="48">
        <v>0</v>
      </c>
      <c r="H103" s="48"/>
      <c r="I103" s="48">
        <v>0</v>
      </c>
      <c r="J103" s="48"/>
      <c r="K103" s="48">
        <v>0</v>
      </c>
      <c r="L103" s="48"/>
      <c r="M103" s="48">
        <v>82639</v>
      </c>
      <c r="N103" s="48"/>
      <c r="O103" s="48">
        <v>356296</v>
      </c>
      <c r="P103" s="48"/>
      <c r="Q103" s="48">
        <v>0</v>
      </c>
      <c r="R103" s="48"/>
      <c r="S103" s="48">
        <f t="shared" si="3"/>
        <v>3798935</v>
      </c>
      <c r="T103" s="44"/>
      <c r="U103" s="48">
        <v>203532</v>
      </c>
      <c r="W103" s="44">
        <f>+S103-'Stmt net assets'!O103-U103</f>
        <v>0</v>
      </c>
    </row>
    <row r="104" spans="1:25" s="66" customFormat="1" ht="12.75" customHeight="1">
      <c r="A104" s="35" t="s">
        <v>129</v>
      </c>
      <c r="B104" s="51"/>
      <c r="C104" s="35" t="s">
        <v>80</v>
      </c>
      <c r="D104" s="35"/>
      <c r="E104" s="48">
        <v>3600000</v>
      </c>
      <c r="F104" s="48"/>
      <c r="G104" s="48">
        <v>0</v>
      </c>
      <c r="H104" s="48"/>
      <c r="I104" s="48">
        <v>0</v>
      </c>
      <c r="J104" s="48"/>
      <c r="K104" s="48">
        <v>0</v>
      </c>
      <c r="L104" s="48"/>
      <c r="M104" s="48">
        <v>72010</v>
      </c>
      <c r="N104" s="48"/>
      <c r="O104" s="48">
        <v>227729</v>
      </c>
      <c r="P104" s="48"/>
      <c r="Q104" s="48">
        <v>0</v>
      </c>
      <c r="R104" s="48"/>
      <c r="S104" s="48">
        <f t="shared" si="3"/>
        <v>3899739</v>
      </c>
      <c r="T104" s="44"/>
      <c r="U104" s="48">
        <v>522535</v>
      </c>
      <c r="V104" s="65"/>
      <c r="W104" s="44">
        <f>+S104-'Stmt net assets'!O104-U104</f>
        <v>0</v>
      </c>
    </row>
    <row r="105" spans="1:25" s="65" customFormat="1" ht="12.75" customHeight="1">
      <c r="A105" s="35" t="s">
        <v>130</v>
      </c>
      <c r="B105" s="51"/>
      <c r="C105" s="35" t="s">
        <v>66</v>
      </c>
      <c r="D105" s="35"/>
      <c r="E105" s="48">
        <v>6576488</v>
      </c>
      <c r="F105" s="48"/>
      <c r="G105" s="48">
        <v>14250000</v>
      </c>
      <c r="H105" s="48"/>
      <c r="I105" s="48">
        <v>0</v>
      </c>
      <c r="J105" s="48"/>
      <c r="K105" s="48">
        <f>17320+2093585</f>
        <v>2110905</v>
      </c>
      <c r="L105" s="48"/>
      <c r="M105" s="48">
        <v>760964</v>
      </c>
      <c r="N105" s="48"/>
      <c r="O105" s="48">
        <v>1412612</v>
      </c>
      <c r="P105" s="48"/>
      <c r="Q105" s="48">
        <v>0</v>
      </c>
      <c r="R105" s="48"/>
      <c r="S105" s="48">
        <f t="shared" si="3"/>
        <v>25110969</v>
      </c>
      <c r="T105" s="44"/>
      <c r="U105" s="48">
        <v>2740196</v>
      </c>
      <c r="W105" s="44">
        <f>+S105-'Stmt net assets'!O105-U105</f>
        <v>0</v>
      </c>
    </row>
    <row r="106" spans="1:25" s="65" customFormat="1" ht="12.75" customHeight="1">
      <c r="A106" s="35" t="s">
        <v>131</v>
      </c>
      <c r="B106" s="51"/>
      <c r="C106" s="35" t="s">
        <v>13</v>
      </c>
      <c r="D106" s="35"/>
      <c r="E106" s="48">
        <v>24642289</v>
      </c>
      <c r="F106" s="48"/>
      <c r="G106" s="48">
        <v>1597143</v>
      </c>
      <c r="H106" s="48"/>
      <c r="I106" s="48">
        <v>0</v>
      </c>
      <c r="J106" s="48"/>
      <c r="K106" s="48">
        <v>143714</v>
      </c>
      <c r="L106" s="48"/>
      <c r="M106" s="48">
        <v>147179</v>
      </c>
      <c r="N106" s="48"/>
      <c r="O106" s="48">
        <v>1846214</v>
      </c>
      <c r="P106" s="48"/>
      <c r="Q106" s="48">
        <v>0</v>
      </c>
      <c r="R106" s="48"/>
      <c r="S106" s="48">
        <f t="shared" si="3"/>
        <v>28376539</v>
      </c>
      <c r="T106" s="44"/>
      <c r="U106" s="48">
        <v>3488883</v>
      </c>
      <c r="W106" s="44">
        <f>+S106-'Stmt net assets'!O106-U106</f>
        <v>0</v>
      </c>
    </row>
    <row r="107" spans="1:25" s="65" customFormat="1" ht="12.75" customHeight="1">
      <c r="A107" s="35" t="s">
        <v>38</v>
      </c>
      <c r="B107" s="51"/>
      <c r="C107" s="35" t="s">
        <v>132</v>
      </c>
      <c r="D107" s="35"/>
      <c r="E107" s="48">
        <v>1712696</v>
      </c>
      <c r="F107" s="48"/>
      <c r="G107" s="48">
        <v>0</v>
      </c>
      <c r="H107" s="48"/>
      <c r="I107" s="48">
        <v>490000</v>
      </c>
      <c r="J107" s="48"/>
      <c r="K107" s="48">
        <v>0</v>
      </c>
      <c r="L107" s="48"/>
      <c r="M107" s="48">
        <v>62387</v>
      </c>
      <c r="N107" s="48"/>
      <c r="O107" s="48">
        <v>586765</v>
      </c>
      <c r="P107" s="48"/>
      <c r="Q107" s="48">
        <v>0</v>
      </c>
      <c r="R107" s="48"/>
      <c r="S107" s="48">
        <f t="shared" si="3"/>
        <v>2851848</v>
      </c>
      <c r="T107" s="44"/>
      <c r="U107" s="48">
        <v>366788</v>
      </c>
      <c r="W107" s="44">
        <f>+S107-'Stmt net assets'!O107-U107</f>
        <v>0</v>
      </c>
    </row>
    <row r="108" spans="1:25" s="65" customFormat="1" ht="12.75" customHeight="1">
      <c r="A108" s="35" t="s">
        <v>133</v>
      </c>
      <c r="B108" s="51"/>
      <c r="C108" s="35" t="s">
        <v>27</v>
      </c>
      <c r="D108" s="35"/>
      <c r="E108" s="48">
        <v>25439723</v>
      </c>
      <c r="F108" s="48"/>
      <c r="G108" s="48">
        <v>554074</v>
      </c>
      <c r="H108" s="48"/>
      <c r="I108" s="48">
        <f>5900000+1889</f>
        <v>5901889</v>
      </c>
      <c r="J108" s="48"/>
      <c r="K108" s="48">
        <v>30452</v>
      </c>
      <c r="L108" s="48"/>
      <c r="M108" s="48">
        <v>0</v>
      </c>
      <c r="N108" s="48"/>
      <c r="O108" s="48">
        <v>758564</v>
      </c>
      <c r="P108" s="48"/>
      <c r="Q108" s="48">
        <f>63660+35141+114704</f>
        <v>213505</v>
      </c>
      <c r="R108" s="48"/>
      <c r="S108" s="48">
        <f t="shared" si="3"/>
        <v>32898207</v>
      </c>
      <c r="T108" s="44"/>
      <c r="U108" s="48">
        <v>1759414</v>
      </c>
      <c r="W108" s="44">
        <f>+S108-'Stmt net assets'!O108-U108</f>
        <v>0</v>
      </c>
    </row>
    <row r="109" spans="1:25" s="65" customFormat="1" ht="12.75" hidden="1" customHeight="1">
      <c r="A109" s="35" t="s">
        <v>482</v>
      </c>
      <c r="B109" s="51"/>
      <c r="C109" s="35" t="s">
        <v>45</v>
      </c>
      <c r="D109" s="35"/>
      <c r="E109" s="48">
        <v>0</v>
      </c>
      <c r="F109" s="48"/>
      <c r="G109" s="48">
        <v>0</v>
      </c>
      <c r="H109" s="48"/>
      <c r="I109" s="48">
        <v>0</v>
      </c>
      <c r="J109" s="48"/>
      <c r="K109" s="48">
        <v>0</v>
      </c>
      <c r="L109" s="48"/>
      <c r="M109" s="48">
        <v>0</v>
      </c>
      <c r="N109" s="48"/>
      <c r="O109" s="48">
        <v>0</v>
      </c>
      <c r="P109" s="48"/>
      <c r="Q109" s="48">
        <v>0</v>
      </c>
      <c r="R109" s="48"/>
      <c r="S109" s="48">
        <f t="shared" si="3"/>
        <v>0</v>
      </c>
      <c r="T109" s="44"/>
      <c r="U109" s="48">
        <v>0</v>
      </c>
      <c r="W109" s="44">
        <f>+S109-'Stmt net assets'!O109-U109</f>
        <v>0</v>
      </c>
    </row>
    <row r="110" spans="1:25" s="65" customFormat="1" ht="12.75" customHeight="1">
      <c r="A110" s="35" t="s">
        <v>136</v>
      </c>
      <c r="B110" s="51"/>
      <c r="C110" s="35" t="s">
        <v>136</v>
      </c>
      <c r="D110" s="35"/>
      <c r="E110" s="48">
        <v>0</v>
      </c>
      <c r="F110" s="48"/>
      <c r="G110" s="48">
        <v>0</v>
      </c>
      <c r="H110" s="48"/>
      <c r="I110" s="48">
        <v>550678</v>
      </c>
      <c r="J110" s="48"/>
      <c r="K110" s="48">
        <v>0</v>
      </c>
      <c r="L110" s="48"/>
      <c r="M110" s="48">
        <v>0</v>
      </c>
      <c r="N110" s="48"/>
      <c r="O110" s="48">
        <v>570928</v>
      </c>
      <c r="P110" s="48"/>
      <c r="Q110" s="48">
        <v>35480</v>
      </c>
      <c r="R110" s="48"/>
      <c r="S110" s="48">
        <f t="shared" si="3"/>
        <v>1157086</v>
      </c>
      <c r="T110" s="44"/>
      <c r="U110" s="48">
        <v>218142</v>
      </c>
      <c r="W110" s="44">
        <f>+S110-'Stmt net assets'!O110-U110</f>
        <v>0</v>
      </c>
      <c r="Y110" s="108"/>
    </row>
    <row r="111" spans="1:25" s="65" customFormat="1" ht="12.75" customHeight="1">
      <c r="A111" s="35" t="s">
        <v>137</v>
      </c>
      <c r="B111" s="51"/>
      <c r="C111" s="35" t="s">
        <v>22</v>
      </c>
      <c r="D111" s="35"/>
      <c r="E111" s="48">
        <v>1685000</v>
      </c>
      <c r="F111" s="48"/>
      <c r="G111" s="48">
        <v>386000</v>
      </c>
      <c r="H111" s="48"/>
      <c r="I111" s="48">
        <v>0</v>
      </c>
      <c r="J111" s="48"/>
      <c r="K111" s="48">
        <v>275973</v>
      </c>
      <c r="L111" s="48"/>
      <c r="M111" s="48">
        <v>0</v>
      </c>
      <c r="N111" s="48"/>
      <c r="O111" s="48">
        <v>1066332</v>
      </c>
      <c r="P111" s="48"/>
      <c r="Q111" s="48">
        <v>0</v>
      </c>
      <c r="R111" s="48"/>
      <c r="S111" s="48">
        <f t="shared" si="3"/>
        <v>3413305</v>
      </c>
      <c r="T111" s="44"/>
      <c r="U111" s="48">
        <v>1009728</v>
      </c>
      <c r="W111" s="44">
        <f>+S111-'Stmt net assets'!O111-U111</f>
        <v>0</v>
      </c>
    </row>
    <row r="112" spans="1:25" s="65" customFormat="1" ht="12.75" hidden="1" customHeight="1">
      <c r="A112" s="35" t="s">
        <v>138</v>
      </c>
      <c r="B112" s="51"/>
      <c r="C112" s="35" t="s">
        <v>139</v>
      </c>
      <c r="D112" s="35"/>
      <c r="E112" s="48">
        <v>0</v>
      </c>
      <c r="F112" s="48"/>
      <c r="G112" s="48">
        <v>0</v>
      </c>
      <c r="H112" s="48"/>
      <c r="I112" s="48">
        <v>0</v>
      </c>
      <c r="J112" s="48"/>
      <c r="K112" s="48">
        <v>0</v>
      </c>
      <c r="L112" s="48"/>
      <c r="M112" s="48">
        <v>0</v>
      </c>
      <c r="N112" s="48"/>
      <c r="O112" s="48">
        <v>0</v>
      </c>
      <c r="P112" s="48"/>
      <c r="Q112" s="48">
        <v>0</v>
      </c>
      <c r="R112" s="48"/>
      <c r="S112" s="48">
        <f t="shared" si="3"/>
        <v>0</v>
      </c>
      <c r="T112" s="44"/>
      <c r="U112" s="48">
        <v>0</v>
      </c>
      <c r="W112" s="44">
        <f>+S112-'Stmt net assets'!O112-U112</f>
        <v>0</v>
      </c>
    </row>
    <row r="113" spans="1:25" s="66" customFormat="1" ht="12.75" customHeight="1">
      <c r="A113" s="35" t="s">
        <v>140</v>
      </c>
      <c r="B113" s="51"/>
      <c r="C113" s="35" t="s">
        <v>66</v>
      </c>
      <c r="D113" s="35"/>
      <c r="E113" s="48">
        <v>15689899</v>
      </c>
      <c r="F113" s="48"/>
      <c r="G113" s="48">
        <v>395101</v>
      </c>
      <c r="H113" s="48"/>
      <c r="I113" s="48">
        <v>0</v>
      </c>
      <c r="J113" s="48"/>
      <c r="K113" s="48">
        <v>2272048</v>
      </c>
      <c r="L113" s="48"/>
      <c r="M113" s="48">
        <v>0</v>
      </c>
      <c r="N113" s="48"/>
      <c r="O113" s="48">
        <v>4250508</v>
      </c>
      <c r="P113" s="48"/>
      <c r="Q113" s="48">
        <v>0</v>
      </c>
      <c r="R113" s="48"/>
      <c r="S113" s="48">
        <f t="shared" si="3"/>
        <v>22607556</v>
      </c>
      <c r="T113" s="44"/>
      <c r="U113" s="48">
        <v>3401418</v>
      </c>
      <c r="V113" s="65"/>
      <c r="W113" s="44">
        <f>+S113-'Stmt net assets'!O113-U113</f>
        <v>0</v>
      </c>
    </row>
    <row r="114" spans="1:25" s="66" customFormat="1" ht="12.75" customHeight="1">
      <c r="A114" s="35" t="s">
        <v>478</v>
      </c>
      <c r="B114" s="51"/>
      <c r="C114" s="35" t="s">
        <v>92</v>
      </c>
      <c r="D114" s="35"/>
      <c r="E114" s="48">
        <v>3158072</v>
      </c>
      <c r="F114" s="48"/>
      <c r="G114" s="48">
        <v>0</v>
      </c>
      <c r="H114" s="48"/>
      <c r="I114" s="48">
        <v>0</v>
      </c>
      <c r="J114" s="48"/>
      <c r="K114" s="48">
        <v>41250</v>
      </c>
      <c r="L114" s="48"/>
      <c r="M114" s="48">
        <v>416</v>
      </c>
      <c r="N114" s="48"/>
      <c r="O114" s="48">
        <v>189678</v>
      </c>
      <c r="P114" s="48"/>
      <c r="Q114" s="48">
        <v>0</v>
      </c>
      <c r="R114" s="48"/>
      <c r="S114" s="48">
        <f t="shared" si="3"/>
        <v>3389416</v>
      </c>
      <c r="T114" s="44"/>
      <c r="U114" s="48">
        <v>240255</v>
      </c>
      <c r="V114" s="65"/>
      <c r="W114" s="44">
        <f>+S114-'Stmt net assets'!O114-U114</f>
        <v>0</v>
      </c>
    </row>
    <row r="115" spans="1:25" s="65" customFormat="1" ht="12.75" customHeight="1">
      <c r="A115" s="35"/>
      <c r="C115" s="35"/>
      <c r="D115" s="35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4"/>
      <c r="U115" s="48" t="s">
        <v>484</v>
      </c>
      <c r="W115" s="44"/>
    </row>
    <row r="116" spans="1:25" s="65" customFormat="1" ht="12.75" customHeight="1">
      <c r="A116" s="64" t="s">
        <v>141</v>
      </c>
      <c r="B116" s="66"/>
      <c r="C116" s="64" t="s">
        <v>27</v>
      </c>
      <c r="D116" s="64"/>
      <c r="E116" s="68">
        <v>30278657</v>
      </c>
      <c r="F116" s="68"/>
      <c r="G116" s="68">
        <v>0</v>
      </c>
      <c r="H116" s="68"/>
      <c r="I116" s="68">
        <v>7771000</v>
      </c>
      <c r="J116" s="68"/>
      <c r="K116" s="68">
        <v>277200</v>
      </c>
      <c r="L116" s="68"/>
      <c r="M116" s="68">
        <v>6445401</v>
      </c>
      <c r="N116" s="68"/>
      <c r="O116" s="68">
        <v>5892421</v>
      </c>
      <c r="P116" s="68"/>
      <c r="Q116" s="68">
        <v>1095360</v>
      </c>
      <c r="R116" s="68"/>
      <c r="S116" s="68">
        <f t="shared" si="3"/>
        <v>51760039</v>
      </c>
      <c r="T116" s="46"/>
      <c r="U116" s="68">
        <v>6893276</v>
      </c>
      <c r="W116" s="44">
        <f>+S116-'Stmt net assets'!O116-U116</f>
        <v>0</v>
      </c>
    </row>
    <row r="117" spans="1:25" s="65" customFormat="1" ht="12.75" customHeight="1">
      <c r="A117" s="35" t="s">
        <v>142</v>
      </c>
      <c r="B117" s="51"/>
      <c r="C117" s="35" t="s">
        <v>102</v>
      </c>
      <c r="D117" s="35"/>
      <c r="E117" s="48">
        <v>3335000</v>
      </c>
      <c r="F117" s="48"/>
      <c r="G117" s="48">
        <v>261500</v>
      </c>
      <c r="H117" s="48"/>
      <c r="I117" s="48">
        <v>0</v>
      </c>
      <c r="J117" s="48"/>
      <c r="K117" s="48">
        <f>670000+69990+910707</f>
        <v>1650697</v>
      </c>
      <c r="L117" s="48"/>
      <c r="M117" s="48">
        <v>750733</v>
      </c>
      <c r="N117" s="48"/>
      <c r="O117" s="48">
        <v>5209264</v>
      </c>
      <c r="P117" s="48"/>
      <c r="Q117" s="48">
        <v>0</v>
      </c>
      <c r="R117" s="48"/>
      <c r="S117" s="48">
        <f t="shared" si="3"/>
        <v>11207194</v>
      </c>
      <c r="T117" s="44"/>
      <c r="U117" s="48">
        <v>2028688</v>
      </c>
      <c r="W117" s="44">
        <f>+S117-'Stmt net assets'!O117-U117</f>
        <v>0</v>
      </c>
      <c r="Y117" s="65">
        <f>2028688+9178506</f>
        <v>11207194</v>
      </c>
    </row>
    <row r="118" spans="1:25" s="65" customFormat="1" ht="12.75" customHeight="1">
      <c r="A118" s="64" t="s">
        <v>143</v>
      </c>
      <c r="B118" s="66"/>
      <c r="C118" s="64" t="s">
        <v>111</v>
      </c>
      <c r="D118" s="64"/>
      <c r="E118" s="48">
        <v>6499576</v>
      </c>
      <c r="F118" s="48"/>
      <c r="G118" s="48">
        <v>218507</v>
      </c>
      <c r="H118" s="48"/>
      <c r="I118" s="48">
        <v>0</v>
      </c>
      <c r="J118" s="48"/>
      <c r="K118" s="48">
        <v>0</v>
      </c>
      <c r="L118" s="48"/>
      <c r="M118" s="48">
        <v>46315</v>
      </c>
      <c r="N118" s="48"/>
      <c r="O118" s="48">
        <v>1085246</v>
      </c>
      <c r="P118" s="48"/>
      <c r="Q118" s="48">
        <v>19568</v>
      </c>
      <c r="R118" s="48"/>
      <c r="S118" s="48">
        <f t="shared" si="3"/>
        <v>7869212</v>
      </c>
      <c r="T118" s="44"/>
      <c r="U118" s="48">
        <v>821716</v>
      </c>
      <c r="W118" s="44">
        <f>+S118-'Stmt net assets'!O118-U118</f>
        <v>0</v>
      </c>
    </row>
    <row r="119" spans="1:25" s="65" customFormat="1" ht="12.75" customHeight="1">
      <c r="A119" s="35" t="s">
        <v>144</v>
      </c>
      <c r="B119" s="51"/>
      <c r="C119" s="35" t="s">
        <v>88</v>
      </c>
      <c r="D119" s="35"/>
      <c r="E119" s="48">
        <v>945751</v>
      </c>
      <c r="F119" s="48"/>
      <c r="G119" s="48">
        <v>0</v>
      </c>
      <c r="H119" s="48"/>
      <c r="I119" s="48">
        <v>660587</v>
      </c>
      <c r="J119" s="48"/>
      <c r="K119" s="48">
        <v>0</v>
      </c>
      <c r="L119" s="48"/>
      <c r="M119" s="48">
        <v>204690</v>
      </c>
      <c r="N119" s="48"/>
      <c r="O119" s="48">
        <v>2519246</v>
      </c>
      <c r="P119" s="48"/>
      <c r="Q119" s="48">
        <v>110000</v>
      </c>
      <c r="R119" s="48"/>
      <c r="S119" s="48">
        <f t="shared" si="3"/>
        <v>4440274</v>
      </c>
      <c r="T119" s="44"/>
      <c r="U119" s="48">
        <v>1052208</v>
      </c>
      <c r="W119" s="44">
        <f>+S119-'Stmt net assets'!O119-U119</f>
        <v>0</v>
      </c>
    </row>
    <row r="120" spans="1:25" s="65" customFormat="1" ht="12.75" customHeight="1">
      <c r="A120" s="35" t="s">
        <v>36</v>
      </c>
      <c r="B120" s="51"/>
      <c r="C120" s="35" t="s">
        <v>145</v>
      </c>
      <c r="D120" s="35"/>
      <c r="E120" s="48">
        <v>0</v>
      </c>
      <c r="F120" s="48"/>
      <c r="G120" s="48">
        <v>0</v>
      </c>
      <c r="H120" s="48"/>
      <c r="I120" s="48">
        <v>0</v>
      </c>
      <c r="J120" s="48"/>
      <c r="K120" s="48">
        <v>0</v>
      </c>
      <c r="L120" s="48"/>
      <c r="M120" s="48">
        <v>377390</v>
      </c>
      <c r="N120" s="48"/>
      <c r="O120" s="48">
        <v>293204</v>
      </c>
      <c r="P120" s="48"/>
      <c r="Q120" s="48">
        <v>0</v>
      </c>
      <c r="R120" s="48"/>
      <c r="S120" s="48">
        <f t="shared" si="3"/>
        <v>670594</v>
      </c>
      <c r="T120" s="44"/>
      <c r="U120" s="48">
        <v>170514</v>
      </c>
      <c r="W120" s="44">
        <f>+S120-'Stmt net assets'!O120-U120</f>
        <v>0</v>
      </c>
    </row>
    <row r="121" spans="1:25" s="65" customFormat="1" ht="12.75" customHeight="1">
      <c r="A121" s="35" t="s">
        <v>146</v>
      </c>
      <c r="B121" s="51"/>
      <c r="C121" s="35" t="s">
        <v>147</v>
      </c>
      <c r="D121" s="35"/>
      <c r="E121" s="48">
        <f>227500+160000</f>
        <v>387500</v>
      </c>
      <c r="F121" s="48"/>
      <c r="G121" s="48">
        <v>28000</v>
      </c>
      <c r="H121" s="48"/>
      <c r="I121" s="48">
        <v>0</v>
      </c>
      <c r="J121" s="48"/>
      <c r="K121" s="48">
        <f>66915+219004+489106</f>
        <v>775025</v>
      </c>
      <c r="L121" s="48"/>
      <c r="M121" s="48">
        <v>0</v>
      </c>
      <c r="N121" s="48"/>
      <c r="O121" s="48">
        <v>345862</v>
      </c>
      <c r="P121" s="48"/>
      <c r="Q121" s="48">
        <v>61526</v>
      </c>
      <c r="R121" s="48"/>
      <c r="S121" s="48">
        <f t="shared" si="3"/>
        <v>1597913</v>
      </c>
      <c r="T121" s="44"/>
      <c r="U121" s="48">
        <v>212314</v>
      </c>
      <c r="W121" s="44">
        <f>+S121-'Stmt net assets'!O121-U121</f>
        <v>0</v>
      </c>
    </row>
    <row r="122" spans="1:25" s="65" customFormat="1" ht="12.75" customHeight="1">
      <c r="A122" s="35" t="s">
        <v>17</v>
      </c>
      <c r="B122" s="51"/>
      <c r="C122" s="35" t="s">
        <v>17</v>
      </c>
      <c r="D122" s="35"/>
      <c r="E122" s="48">
        <v>30303361</v>
      </c>
      <c r="F122" s="48"/>
      <c r="G122" s="48">
        <v>847338</v>
      </c>
      <c r="H122" s="48"/>
      <c r="I122" s="48">
        <v>0</v>
      </c>
      <c r="J122" s="48"/>
      <c r="K122" s="48">
        <f>4550000+2296943+2751664+2170151+640498</f>
        <v>12409256</v>
      </c>
      <c r="L122" s="48"/>
      <c r="M122" s="48">
        <v>2149225</v>
      </c>
      <c r="N122" s="48"/>
      <c r="O122" s="48">
        <v>7485814</v>
      </c>
      <c r="P122" s="48"/>
      <c r="Q122" s="48">
        <v>821774</v>
      </c>
      <c r="R122" s="48"/>
      <c r="S122" s="48">
        <f t="shared" si="3"/>
        <v>54016768</v>
      </c>
      <c r="T122" s="44"/>
      <c r="U122" s="48">
        <v>4605375</v>
      </c>
      <c r="W122" s="44">
        <f>+S122-'Stmt net assets'!O122-U122</f>
        <v>0</v>
      </c>
    </row>
    <row r="123" spans="1:25" s="65" customFormat="1" ht="12.75" customHeight="1">
      <c r="A123" s="35" t="s">
        <v>148</v>
      </c>
      <c r="B123" s="51"/>
      <c r="C123" s="35" t="s">
        <v>15</v>
      </c>
      <c r="D123" s="35"/>
      <c r="E123" s="48">
        <v>279000</v>
      </c>
      <c r="F123" s="48"/>
      <c r="G123" s="48">
        <v>0</v>
      </c>
      <c r="H123" s="48"/>
      <c r="I123" s="48">
        <v>0</v>
      </c>
      <c r="J123" s="48"/>
      <c r="K123" s="48">
        <v>0</v>
      </c>
      <c r="L123" s="48"/>
      <c r="M123" s="48">
        <v>79290</v>
      </c>
      <c r="N123" s="48"/>
      <c r="O123" s="48">
        <v>184132</v>
      </c>
      <c r="P123" s="48"/>
      <c r="Q123" s="48">
        <v>44082</v>
      </c>
      <c r="R123" s="48"/>
      <c r="S123" s="48">
        <f t="shared" si="3"/>
        <v>586504</v>
      </c>
      <c r="T123" s="44"/>
      <c r="U123" s="48">
        <v>212840</v>
      </c>
      <c r="W123" s="44">
        <f>+S123-'Stmt net assets'!O123-U123</f>
        <v>0</v>
      </c>
    </row>
    <row r="124" spans="1:25" s="65" customFormat="1" ht="12.75" customHeight="1">
      <c r="A124" s="35" t="s">
        <v>149</v>
      </c>
      <c r="B124" s="51"/>
      <c r="C124" s="35" t="s">
        <v>45</v>
      </c>
      <c r="D124" s="35"/>
      <c r="E124" s="48">
        <v>4016646</v>
      </c>
      <c r="F124" s="48"/>
      <c r="G124" s="48">
        <v>0</v>
      </c>
      <c r="H124" s="48"/>
      <c r="I124" s="48">
        <v>0</v>
      </c>
      <c r="J124" s="48"/>
      <c r="K124" s="48">
        <v>2489098</v>
      </c>
      <c r="L124" s="48"/>
      <c r="M124" s="48">
        <v>0</v>
      </c>
      <c r="N124" s="48"/>
      <c r="O124" s="48">
        <v>845719</v>
      </c>
      <c r="P124" s="48"/>
      <c r="Q124" s="48">
        <v>33334</v>
      </c>
      <c r="R124" s="48"/>
      <c r="S124" s="48">
        <f t="shared" si="3"/>
        <v>7384797</v>
      </c>
      <c r="T124" s="44"/>
      <c r="U124" s="48">
        <v>803293</v>
      </c>
      <c r="W124" s="44">
        <f>+S124-'Stmt net assets'!O124-U124</f>
        <v>0</v>
      </c>
    </row>
    <row r="125" spans="1:25" s="65" customFormat="1" ht="12.75" customHeight="1">
      <c r="A125" s="35" t="s">
        <v>150</v>
      </c>
      <c r="B125" s="51"/>
      <c r="C125" s="35" t="s">
        <v>27</v>
      </c>
      <c r="D125" s="35"/>
      <c r="E125" s="48">
        <v>1855000</v>
      </c>
      <c r="F125" s="48"/>
      <c r="G125" s="48">
        <v>1500000</v>
      </c>
      <c r="H125" s="48"/>
      <c r="I125" s="48">
        <v>0</v>
      </c>
      <c r="J125" s="48"/>
      <c r="K125" s="48">
        <v>0</v>
      </c>
      <c r="L125" s="48"/>
      <c r="M125" s="48">
        <v>1212</v>
      </c>
      <c r="N125" s="48"/>
      <c r="O125" s="48">
        <v>1103560</v>
      </c>
      <c r="P125" s="48"/>
      <c r="Q125" s="48">
        <v>0</v>
      </c>
      <c r="R125" s="48"/>
      <c r="S125" s="48">
        <f t="shared" si="3"/>
        <v>4459772</v>
      </c>
      <c r="T125" s="44"/>
      <c r="U125" s="48">
        <v>1845823</v>
      </c>
      <c r="W125" s="44">
        <f>+S125-'Stmt net assets'!O125-U125</f>
        <v>0</v>
      </c>
    </row>
    <row r="126" spans="1:25" s="65" customFormat="1" ht="12.75" customHeight="1">
      <c r="A126" s="35" t="s">
        <v>151</v>
      </c>
      <c r="C126" s="35" t="s">
        <v>13</v>
      </c>
      <c r="D126" s="35"/>
      <c r="E126" s="48">
        <v>6813847</v>
      </c>
      <c r="F126" s="48"/>
      <c r="G126" s="48">
        <v>1599800</v>
      </c>
      <c r="H126" s="48"/>
      <c r="I126" s="48">
        <v>150000</v>
      </c>
      <c r="J126" s="48"/>
      <c r="K126" s="48">
        <f>5102129+594087</f>
        <v>5696216</v>
      </c>
      <c r="L126" s="48"/>
      <c r="M126" s="48">
        <v>151363</v>
      </c>
      <c r="N126" s="48"/>
      <c r="O126" s="48">
        <v>619250</v>
      </c>
      <c r="P126" s="48"/>
      <c r="Q126" s="48">
        <v>0</v>
      </c>
      <c r="R126" s="48"/>
      <c r="S126" s="48">
        <f t="shared" si="3"/>
        <v>15030476</v>
      </c>
      <c r="T126" s="44"/>
      <c r="U126" s="48">
        <v>1733740</v>
      </c>
      <c r="W126" s="44">
        <f>+S126-'Stmt net assets'!O126-U126</f>
        <v>0</v>
      </c>
    </row>
    <row r="127" spans="1:25" s="65" customFormat="1" ht="12.75" customHeight="1">
      <c r="A127" s="35" t="s">
        <v>481</v>
      </c>
      <c r="C127" s="35" t="s">
        <v>45</v>
      </c>
      <c r="D127" s="35"/>
      <c r="E127" s="48">
        <v>555000</v>
      </c>
      <c r="F127" s="48"/>
      <c r="G127" s="48">
        <v>0</v>
      </c>
      <c r="H127" s="48"/>
      <c r="I127" s="48">
        <v>0</v>
      </c>
      <c r="J127" s="48"/>
      <c r="K127" s="48">
        <v>0</v>
      </c>
      <c r="L127" s="48"/>
      <c r="M127" s="48">
        <v>0</v>
      </c>
      <c r="N127" s="48"/>
      <c r="O127" s="48">
        <v>151234</v>
      </c>
      <c r="P127" s="48"/>
      <c r="Q127" s="48">
        <v>0</v>
      </c>
      <c r="R127" s="48"/>
      <c r="S127" s="48">
        <f t="shared" si="3"/>
        <v>706234</v>
      </c>
      <c r="T127" s="44"/>
      <c r="U127" s="48">
        <v>380185</v>
      </c>
      <c r="W127" s="44">
        <f>+S127-'Stmt net assets'!O127-U127</f>
        <v>0</v>
      </c>
    </row>
    <row r="128" spans="1:25" s="65" customFormat="1" ht="12.75" customHeight="1">
      <c r="A128" s="35" t="s">
        <v>152</v>
      </c>
      <c r="B128" s="51"/>
      <c r="C128" s="35" t="s">
        <v>153</v>
      </c>
      <c r="D128" s="35"/>
      <c r="E128" s="48">
        <v>5710000</v>
      </c>
      <c r="F128" s="48"/>
      <c r="G128" s="48">
        <v>0</v>
      </c>
      <c r="H128" s="48"/>
      <c r="I128" s="48">
        <v>370000</v>
      </c>
      <c r="J128" s="48"/>
      <c r="K128" s="48">
        <v>0</v>
      </c>
      <c r="L128" s="48"/>
      <c r="M128" s="48">
        <v>100000</v>
      </c>
      <c r="N128" s="48"/>
      <c r="O128" s="48">
        <v>5284801</v>
      </c>
      <c r="P128" s="48"/>
      <c r="Q128" s="48">
        <v>1213531</v>
      </c>
      <c r="R128" s="48"/>
      <c r="S128" s="48">
        <f t="shared" si="3"/>
        <v>12678332</v>
      </c>
      <c r="T128" s="44"/>
      <c r="U128" s="48">
        <v>460852</v>
      </c>
      <c r="W128" s="44">
        <f>+S128-'Stmt net assets'!O128-U128</f>
        <v>0</v>
      </c>
    </row>
    <row r="129" spans="1:30" s="65" customFormat="1" ht="12.75" customHeight="1">
      <c r="A129" s="35" t="s">
        <v>154</v>
      </c>
      <c r="B129" s="51"/>
      <c r="C129" s="35" t="s">
        <v>27</v>
      </c>
      <c r="D129" s="35"/>
      <c r="E129" s="48">
        <v>6454517</v>
      </c>
      <c r="F129" s="48"/>
      <c r="G129" s="48">
        <v>0</v>
      </c>
      <c r="H129" s="48"/>
      <c r="I129" s="48">
        <v>5000000</v>
      </c>
      <c r="J129" s="48"/>
      <c r="K129" s="48">
        <f>1609697+1093254</f>
        <v>2702951</v>
      </c>
      <c r="L129" s="48"/>
      <c r="M129" s="48">
        <v>25949</v>
      </c>
      <c r="N129" s="48"/>
      <c r="O129" s="48">
        <v>2213309</v>
      </c>
      <c r="P129" s="48"/>
      <c r="Q129" s="48">
        <v>363222</v>
      </c>
      <c r="R129" s="48"/>
      <c r="S129" s="48">
        <f t="shared" si="3"/>
        <v>16759948</v>
      </c>
      <c r="T129" s="44"/>
      <c r="U129" s="48">
        <v>2227249</v>
      </c>
      <c r="W129" s="44">
        <f>+S129-'Stmt net assets'!O129-U129</f>
        <v>0</v>
      </c>
    </row>
    <row r="130" spans="1:30" s="66" customFormat="1" ht="12.75" customHeight="1">
      <c r="A130" s="64" t="s">
        <v>155</v>
      </c>
      <c r="C130" s="64" t="s">
        <v>40</v>
      </c>
      <c r="D130" s="64"/>
      <c r="E130" s="48">
        <v>129500</v>
      </c>
      <c r="F130" s="48"/>
      <c r="G130" s="48">
        <v>0</v>
      </c>
      <c r="H130" s="48"/>
      <c r="I130" s="48">
        <v>732000</v>
      </c>
      <c r="J130" s="48"/>
      <c r="K130" s="48">
        <f>84561+462800</f>
        <v>547361</v>
      </c>
      <c r="L130" s="48"/>
      <c r="M130" s="48">
        <v>0</v>
      </c>
      <c r="N130" s="48"/>
      <c r="O130" s="48">
        <v>775970</v>
      </c>
      <c r="P130" s="48"/>
      <c r="Q130" s="48">
        <v>0</v>
      </c>
      <c r="R130" s="48"/>
      <c r="S130" s="48">
        <f t="shared" si="3"/>
        <v>2184831</v>
      </c>
      <c r="T130" s="44"/>
      <c r="U130" s="48">
        <v>128958</v>
      </c>
      <c r="W130" s="46">
        <f>+S130-'Stmt net assets'!O130-U130</f>
        <v>0</v>
      </c>
    </row>
    <row r="131" spans="1:30" s="65" customFormat="1" ht="12.75" customHeight="1">
      <c r="A131" s="35" t="s">
        <v>156</v>
      </c>
      <c r="C131" s="35" t="s">
        <v>156</v>
      </c>
      <c r="D131" s="35"/>
      <c r="E131" s="48">
        <v>765000</v>
      </c>
      <c r="F131" s="48"/>
      <c r="G131" s="48">
        <v>0</v>
      </c>
      <c r="H131" s="48"/>
      <c r="I131" s="48">
        <v>3962000</v>
      </c>
      <c r="J131" s="48"/>
      <c r="K131" s="48">
        <f>80127+378213</f>
        <v>458340</v>
      </c>
      <c r="L131" s="48"/>
      <c r="M131" s="48">
        <v>39581</v>
      </c>
      <c r="N131" s="48"/>
      <c r="O131" s="48">
        <v>4479399</v>
      </c>
      <c r="P131" s="48"/>
      <c r="Q131" s="48">
        <v>755312</v>
      </c>
      <c r="R131" s="48"/>
      <c r="S131" s="48">
        <f t="shared" si="3"/>
        <v>10459632</v>
      </c>
      <c r="T131" s="44"/>
      <c r="U131" s="48">
        <v>4840554</v>
      </c>
      <c r="W131" s="44">
        <f>+S131-'Stmt net assets'!O131-U131</f>
        <v>0</v>
      </c>
    </row>
    <row r="132" spans="1:30" s="65" customFormat="1" ht="12.75" customHeight="1">
      <c r="A132" s="35" t="s">
        <v>157</v>
      </c>
      <c r="B132" s="51"/>
      <c r="C132" s="35" t="s">
        <v>33</v>
      </c>
      <c r="D132" s="35"/>
      <c r="E132" s="48">
        <v>0</v>
      </c>
      <c r="F132" s="48"/>
      <c r="G132" s="48">
        <v>0</v>
      </c>
      <c r="H132" s="48"/>
      <c r="I132" s="48">
        <f>138998+184000</f>
        <v>322998</v>
      </c>
      <c r="J132" s="48"/>
      <c r="K132" s="48">
        <v>6769</v>
      </c>
      <c r="L132" s="48"/>
      <c r="M132" s="48">
        <v>0</v>
      </c>
      <c r="N132" s="48"/>
      <c r="O132" s="48">
        <v>83931</v>
      </c>
      <c r="P132" s="48"/>
      <c r="Q132" s="48">
        <v>181480</v>
      </c>
      <c r="R132" s="48"/>
      <c r="S132" s="48">
        <f t="shared" si="3"/>
        <v>595178</v>
      </c>
      <c r="T132" s="44"/>
      <c r="U132" s="48">
        <v>200788</v>
      </c>
      <c r="W132" s="44">
        <f>+S132-'Stmt net assets'!O132-U132</f>
        <v>0</v>
      </c>
      <c r="Y132" s="65">
        <f>200788+394390</f>
        <v>595178</v>
      </c>
    </row>
    <row r="133" spans="1:30" s="65" customFormat="1" ht="12.75" customHeight="1">
      <c r="A133" s="35" t="s">
        <v>158</v>
      </c>
      <c r="B133" s="51"/>
      <c r="C133" s="35" t="s">
        <v>159</v>
      </c>
      <c r="D133" s="35"/>
      <c r="E133" s="48">
        <v>7054197</v>
      </c>
      <c r="F133" s="48"/>
      <c r="G133" s="48">
        <v>0</v>
      </c>
      <c r="H133" s="48"/>
      <c r="I133" s="48">
        <v>12980000</v>
      </c>
      <c r="J133" s="48"/>
      <c r="K133" s="48">
        <v>0</v>
      </c>
      <c r="L133" s="48"/>
      <c r="M133" s="48">
        <v>287113</v>
      </c>
      <c r="N133" s="48"/>
      <c r="O133" s="48">
        <v>990078</v>
      </c>
      <c r="P133" s="48"/>
      <c r="Q133" s="48">
        <v>0</v>
      </c>
      <c r="R133" s="48"/>
      <c r="S133" s="48">
        <f t="shared" si="3"/>
        <v>21311388</v>
      </c>
      <c r="T133" s="44"/>
      <c r="U133" s="48">
        <v>1207565</v>
      </c>
      <c r="W133" s="44">
        <f>+S133-'Stmt net assets'!O133-U133</f>
        <v>0</v>
      </c>
    </row>
    <row r="134" spans="1:30" s="66" customFormat="1" ht="12.75" customHeight="1">
      <c r="A134" s="64" t="s">
        <v>160</v>
      </c>
      <c r="C134" s="64" t="s">
        <v>111</v>
      </c>
      <c r="D134" s="64"/>
      <c r="E134" s="48">
        <v>22030000</v>
      </c>
      <c r="F134" s="48"/>
      <c r="G134" s="48">
        <v>165000</v>
      </c>
      <c r="H134" s="48"/>
      <c r="I134" s="48">
        <v>0</v>
      </c>
      <c r="J134" s="48"/>
      <c r="K134" s="48">
        <v>0</v>
      </c>
      <c r="L134" s="48"/>
      <c r="M134" s="48">
        <v>18915000</v>
      </c>
      <c r="N134" s="48"/>
      <c r="O134" s="48">
        <v>1158751</v>
      </c>
      <c r="P134" s="48"/>
      <c r="Q134" s="48">
        <v>0</v>
      </c>
      <c r="R134" s="48"/>
      <c r="S134" s="48">
        <f t="shared" si="3"/>
        <v>42268751</v>
      </c>
      <c r="T134" s="44"/>
      <c r="U134" s="48">
        <v>2526944</v>
      </c>
      <c r="V134" s="65"/>
      <c r="W134" s="44">
        <f>+S134-'Stmt net assets'!O134-U134</f>
        <v>0</v>
      </c>
      <c r="X134" s="65"/>
      <c r="Y134" s="65"/>
      <c r="Z134" s="65"/>
      <c r="AA134" s="65"/>
      <c r="AB134" s="65"/>
      <c r="AC134" s="65"/>
      <c r="AD134" s="65"/>
    </row>
    <row r="135" spans="1:30" s="65" customFormat="1" ht="12.75" customHeight="1">
      <c r="A135" s="35" t="s">
        <v>161</v>
      </c>
      <c r="C135" s="35" t="s">
        <v>15</v>
      </c>
      <c r="D135" s="35"/>
      <c r="E135" s="48">
        <v>17852082</v>
      </c>
      <c r="F135" s="48"/>
      <c r="G135" s="48">
        <v>0</v>
      </c>
      <c r="H135" s="48"/>
      <c r="I135" s="48">
        <v>0</v>
      </c>
      <c r="J135" s="48"/>
      <c r="K135" s="48">
        <v>2202499</v>
      </c>
      <c r="L135" s="48"/>
      <c r="M135" s="48">
        <v>237708</v>
      </c>
      <c r="N135" s="48"/>
      <c r="O135" s="48">
        <v>3147414</v>
      </c>
      <c r="P135" s="48"/>
      <c r="Q135" s="48">
        <f>1437909+700000</f>
        <v>2137909</v>
      </c>
      <c r="R135" s="48"/>
      <c r="S135" s="48">
        <f t="shared" si="3"/>
        <v>25577612</v>
      </c>
      <c r="T135" s="44"/>
      <c r="U135" s="48">
        <v>1155479</v>
      </c>
      <c r="W135" s="44">
        <f>+S135-'Stmt net assets'!O135-U135</f>
        <v>0</v>
      </c>
    </row>
    <row r="136" spans="1:30" s="65" customFormat="1" ht="12.75" customHeight="1">
      <c r="A136" s="35" t="s">
        <v>162</v>
      </c>
      <c r="B136" s="51"/>
      <c r="C136" s="35" t="s">
        <v>163</v>
      </c>
      <c r="D136" s="35"/>
      <c r="E136" s="48">
        <v>22190000</v>
      </c>
      <c r="F136" s="48"/>
      <c r="G136" s="48">
        <v>503620</v>
      </c>
      <c r="H136" s="48"/>
      <c r="I136" s="48">
        <v>0</v>
      </c>
      <c r="J136" s="48"/>
      <c r="K136" s="48">
        <v>234130</v>
      </c>
      <c r="L136" s="48"/>
      <c r="M136" s="48">
        <v>0</v>
      </c>
      <c r="N136" s="48"/>
      <c r="O136" s="48">
        <v>2190014</v>
      </c>
      <c r="P136" s="48"/>
      <c r="Q136" s="48">
        <f>59616+54433</f>
        <v>114049</v>
      </c>
      <c r="R136" s="48"/>
      <c r="S136" s="48">
        <f t="shared" si="3"/>
        <v>25231813</v>
      </c>
      <c r="T136" s="44"/>
      <c r="U136" s="48">
        <v>1877752</v>
      </c>
      <c r="W136" s="44">
        <f>+S136-'Stmt net assets'!O136-U136</f>
        <v>0</v>
      </c>
    </row>
    <row r="137" spans="1:30" s="65" customFormat="1" ht="12.75" customHeight="1">
      <c r="A137" s="35" t="s">
        <v>164</v>
      </c>
      <c r="C137" s="35" t="s">
        <v>27</v>
      </c>
      <c r="D137" s="35"/>
      <c r="E137" s="48">
        <v>0</v>
      </c>
      <c r="F137" s="48"/>
      <c r="G137" s="48">
        <v>0</v>
      </c>
      <c r="H137" s="48"/>
      <c r="I137" s="48">
        <f>3300000+1200000</f>
        <v>4500000</v>
      </c>
      <c r="J137" s="48"/>
      <c r="K137" s="48">
        <v>1621047</v>
      </c>
      <c r="L137" s="48"/>
      <c r="M137" s="48">
        <v>0</v>
      </c>
      <c r="N137" s="48"/>
      <c r="O137" s="48">
        <v>2748425</v>
      </c>
      <c r="P137" s="48"/>
      <c r="Q137" s="48">
        <v>0</v>
      </c>
      <c r="R137" s="48"/>
      <c r="S137" s="48">
        <f t="shared" si="3"/>
        <v>8869472</v>
      </c>
      <c r="T137" s="44"/>
      <c r="U137" s="48">
        <v>898945</v>
      </c>
      <c r="W137" s="44">
        <f>+S137-'Stmt net assets'!O137-U137</f>
        <v>0</v>
      </c>
    </row>
    <row r="138" spans="1:30" s="65" customFormat="1" ht="12.75" customHeight="1">
      <c r="A138" s="35" t="s">
        <v>53</v>
      </c>
      <c r="B138" s="51"/>
      <c r="C138" s="35" t="s">
        <v>53</v>
      </c>
      <c r="D138" s="35"/>
      <c r="E138" s="48">
        <v>725000</v>
      </c>
      <c r="F138" s="48"/>
      <c r="G138" s="48">
        <v>1035698</v>
      </c>
      <c r="H138" s="48"/>
      <c r="I138" s="48">
        <v>0</v>
      </c>
      <c r="J138" s="48"/>
      <c r="K138" s="48">
        <v>139948</v>
      </c>
      <c r="L138" s="48"/>
      <c r="M138" s="48">
        <v>0</v>
      </c>
      <c r="N138" s="48"/>
      <c r="O138" s="48">
        <v>552799</v>
      </c>
      <c r="P138" s="48"/>
      <c r="Q138" s="48">
        <v>400000</v>
      </c>
      <c r="R138" s="48"/>
      <c r="S138" s="48">
        <f t="shared" si="3"/>
        <v>2853445</v>
      </c>
      <c r="T138" s="44"/>
      <c r="U138" s="48">
        <v>1258571</v>
      </c>
      <c r="W138" s="44">
        <f>+S138-'Stmt net assets'!O138-U138</f>
        <v>0</v>
      </c>
      <c r="Y138" s="65">
        <f>12858571+1594874</f>
        <v>14453445</v>
      </c>
    </row>
    <row r="139" spans="1:30" s="65" customFormat="1" ht="12.75" customHeight="1">
      <c r="A139" s="35" t="s">
        <v>165</v>
      </c>
      <c r="B139" s="51"/>
      <c r="C139" s="35" t="s">
        <v>92</v>
      </c>
      <c r="D139" s="35"/>
      <c r="E139" s="48">
        <v>19991107</v>
      </c>
      <c r="F139" s="48"/>
      <c r="G139" s="48">
        <v>12413893</v>
      </c>
      <c r="H139" s="48"/>
      <c r="I139" s="48">
        <v>0</v>
      </c>
      <c r="J139" s="48"/>
      <c r="K139" s="48">
        <v>642126</v>
      </c>
      <c r="L139" s="48"/>
      <c r="M139" s="48">
        <v>0</v>
      </c>
      <c r="N139" s="48"/>
      <c r="O139" s="48">
        <v>3460864</v>
      </c>
      <c r="P139" s="48"/>
      <c r="Q139" s="48">
        <v>50000</v>
      </c>
      <c r="R139" s="48"/>
      <c r="S139" s="48">
        <f t="shared" si="3"/>
        <v>36557990</v>
      </c>
      <c r="T139" s="44"/>
      <c r="U139" s="48">
        <v>4054416</v>
      </c>
      <c r="W139" s="44">
        <f>+S139-'Stmt net assets'!O139-U139</f>
        <v>0</v>
      </c>
      <c r="Y139" s="65">
        <f>1258571+1597874</f>
        <v>2856445</v>
      </c>
    </row>
    <row r="140" spans="1:30" s="65" customFormat="1" ht="12.75" customHeight="1">
      <c r="A140" s="35" t="s">
        <v>166</v>
      </c>
      <c r="B140" s="51"/>
      <c r="C140" s="35" t="s">
        <v>92</v>
      </c>
      <c r="D140" s="35"/>
      <c r="E140" s="48">
        <v>0</v>
      </c>
      <c r="F140" s="48"/>
      <c r="G140" s="48">
        <v>0</v>
      </c>
      <c r="H140" s="48"/>
      <c r="I140" s="48">
        <v>0</v>
      </c>
      <c r="J140" s="48"/>
      <c r="K140" s="48">
        <f>419309+1842140+574123</f>
        <v>2835572</v>
      </c>
      <c r="L140" s="48"/>
      <c r="M140" s="48">
        <v>0</v>
      </c>
      <c r="N140" s="48"/>
      <c r="O140" s="48">
        <v>368507</v>
      </c>
      <c r="P140" s="48"/>
      <c r="Q140" s="48">
        <v>0</v>
      </c>
      <c r="R140" s="48"/>
      <c r="S140" s="48">
        <f t="shared" si="3"/>
        <v>3204079</v>
      </c>
      <c r="T140" s="44"/>
      <c r="U140" s="48">
        <v>190570</v>
      </c>
      <c r="W140" s="44">
        <f>+S140-'Stmt net assets'!O140-U140</f>
        <v>0</v>
      </c>
    </row>
    <row r="141" spans="1:30" s="65" customFormat="1" ht="12.75" customHeight="1">
      <c r="A141" s="35" t="s">
        <v>167</v>
      </c>
      <c r="B141" s="51"/>
      <c r="C141" s="35" t="s">
        <v>66</v>
      </c>
      <c r="D141" s="35"/>
      <c r="E141" s="48">
        <v>2265000</v>
      </c>
      <c r="F141" s="48"/>
      <c r="G141" s="48">
        <v>430403</v>
      </c>
      <c r="H141" s="48"/>
      <c r="I141" s="48">
        <v>0</v>
      </c>
      <c r="J141" s="48"/>
      <c r="K141" s="48">
        <v>0</v>
      </c>
      <c r="L141" s="48"/>
      <c r="M141" s="48">
        <v>0</v>
      </c>
      <c r="N141" s="48"/>
      <c r="O141" s="48">
        <v>1755929</v>
      </c>
      <c r="P141" s="48"/>
      <c r="Q141" s="48">
        <v>235999</v>
      </c>
      <c r="R141" s="48"/>
      <c r="S141" s="48">
        <f t="shared" si="3"/>
        <v>4687331</v>
      </c>
      <c r="T141" s="44"/>
      <c r="U141" s="48">
        <v>1339502</v>
      </c>
      <c r="W141" s="44">
        <f>+S141-'Stmt net assets'!O141-U141</f>
        <v>0</v>
      </c>
    </row>
    <row r="142" spans="1:30" s="65" customFormat="1" ht="12.75" customHeight="1">
      <c r="A142" s="44" t="s">
        <v>168</v>
      </c>
      <c r="B142" s="66"/>
      <c r="C142" s="64" t="s">
        <v>27</v>
      </c>
      <c r="D142" s="64"/>
      <c r="E142" s="48">
        <v>11152581</v>
      </c>
      <c r="F142" s="48"/>
      <c r="G142" s="48">
        <v>1227784</v>
      </c>
      <c r="H142" s="48"/>
      <c r="I142" s="48">
        <v>0</v>
      </c>
      <c r="J142" s="48"/>
      <c r="K142" s="48">
        <v>0</v>
      </c>
      <c r="L142" s="48"/>
      <c r="M142" s="48">
        <f>24161+82333+153753</f>
        <v>260247</v>
      </c>
      <c r="N142" s="48"/>
      <c r="O142" s="48">
        <v>2887221</v>
      </c>
      <c r="P142" s="48"/>
      <c r="Q142" s="48">
        <v>0</v>
      </c>
      <c r="R142" s="48"/>
      <c r="S142" s="48">
        <f t="shared" si="3"/>
        <v>15527833</v>
      </c>
      <c r="T142" s="44"/>
      <c r="U142" s="48">
        <v>3544768</v>
      </c>
      <c r="W142" s="44">
        <f>+S142-'Stmt net assets'!O142-U142</f>
        <v>0</v>
      </c>
    </row>
    <row r="143" spans="1:30" s="65" customFormat="1" ht="12.75" customHeight="1">
      <c r="A143" s="35" t="s">
        <v>169</v>
      </c>
      <c r="B143" s="51"/>
      <c r="C143" s="35" t="s">
        <v>103</v>
      </c>
      <c r="D143" s="35"/>
      <c r="E143" s="48">
        <v>26340949</v>
      </c>
      <c r="F143" s="48"/>
      <c r="G143" s="48">
        <v>2593143</v>
      </c>
      <c r="H143" s="48"/>
      <c r="I143" s="48">
        <v>0</v>
      </c>
      <c r="J143" s="48"/>
      <c r="K143" s="48">
        <v>0</v>
      </c>
      <c r="L143" s="48"/>
      <c r="M143" s="48">
        <v>0</v>
      </c>
      <c r="N143" s="48"/>
      <c r="O143" s="48">
        <v>4930503</v>
      </c>
      <c r="P143" s="48"/>
      <c r="Q143" s="48">
        <f>2359083+641932</f>
        <v>3001015</v>
      </c>
      <c r="R143" s="48"/>
      <c r="S143" s="48">
        <f t="shared" si="3"/>
        <v>36865610</v>
      </c>
      <c r="T143" s="44"/>
      <c r="U143" s="48">
        <v>3945108</v>
      </c>
      <c r="W143" s="44">
        <f>+S143-'Stmt net assets'!O143-U143</f>
        <v>0</v>
      </c>
    </row>
    <row r="144" spans="1:30" s="65" customFormat="1" ht="12.75" customHeight="1">
      <c r="A144" s="35" t="s">
        <v>170</v>
      </c>
      <c r="B144" s="51"/>
      <c r="C144" s="35" t="s">
        <v>171</v>
      </c>
      <c r="D144" s="35"/>
      <c r="E144" s="48">
        <v>3239068</v>
      </c>
      <c r="F144" s="48"/>
      <c r="G144" s="48">
        <v>0</v>
      </c>
      <c r="H144" s="48"/>
      <c r="I144" s="48">
        <v>0</v>
      </c>
      <c r="J144" s="48"/>
      <c r="K144" s="48">
        <v>0</v>
      </c>
      <c r="L144" s="48"/>
      <c r="M144" s="48">
        <v>0</v>
      </c>
      <c r="N144" s="48"/>
      <c r="O144" s="48">
        <v>189273</v>
      </c>
      <c r="P144" s="48"/>
      <c r="Q144" s="48">
        <v>0</v>
      </c>
      <c r="R144" s="48"/>
      <c r="S144" s="48">
        <f t="shared" si="3"/>
        <v>3428341</v>
      </c>
      <c r="T144" s="44"/>
      <c r="U144" s="48">
        <v>362733</v>
      </c>
      <c r="W144" s="44">
        <f>+S144-'Stmt net assets'!O144-U144</f>
        <v>0</v>
      </c>
    </row>
    <row r="145" spans="1:23" s="65" customFormat="1" ht="12.75" customHeight="1">
      <c r="A145" s="35" t="s">
        <v>172</v>
      </c>
      <c r="B145" s="51"/>
      <c r="C145" s="35" t="s">
        <v>103</v>
      </c>
      <c r="D145" s="35"/>
      <c r="E145" s="48">
        <v>5543771</v>
      </c>
      <c r="F145" s="48"/>
      <c r="G145" s="48">
        <v>724200</v>
      </c>
      <c r="H145" s="48"/>
      <c r="I145" s="48">
        <v>0</v>
      </c>
      <c r="J145" s="48"/>
      <c r="K145" s="48">
        <v>0</v>
      </c>
      <c r="L145" s="48"/>
      <c r="M145" s="48">
        <v>365387</v>
      </c>
      <c r="N145" s="48"/>
      <c r="O145" s="48">
        <v>186329</v>
      </c>
      <c r="P145" s="48"/>
      <c r="Q145" s="48">
        <v>1850000</v>
      </c>
      <c r="R145" s="48"/>
      <c r="S145" s="48">
        <f t="shared" si="3"/>
        <v>8669687</v>
      </c>
      <c r="T145" s="44"/>
      <c r="U145" s="48">
        <v>857402</v>
      </c>
      <c r="W145" s="44">
        <f>+S145-'Stmt net assets'!O145-U145</f>
        <v>0</v>
      </c>
    </row>
    <row r="146" spans="1:23" s="65" customFormat="1" ht="12.75" customHeight="1">
      <c r="A146" s="35" t="s">
        <v>66</v>
      </c>
      <c r="B146" s="51"/>
      <c r="C146" s="35" t="s">
        <v>45</v>
      </c>
      <c r="D146" s="35"/>
      <c r="E146" s="48">
        <v>4319732</v>
      </c>
      <c r="F146" s="48"/>
      <c r="G146" s="48">
        <v>125814</v>
      </c>
      <c r="H146" s="48"/>
      <c r="I146" s="48">
        <v>0</v>
      </c>
      <c r="J146" s="48"/>
      <c r="K146" s="48">
        <v>0</v>
      </c>
      <c r="L146" s="48"/>
      <c r="M146" s="48">
        <v>0</v>
      </c>
      <c r="N146" s="48"/>
      <c r="O146" s="48">
        <v>779658</v>
      </c>
      <c r="P146" s="48"/>
      <c r="Q146" s="48">
        <v>0</v>
      </c>
      <c r="R146" s="48"/>
      <c r="S146" s="48">
        <f t="shared" si="3"/>
        <v>5225204</v>
      </c>
      <c r="T146" s="44"/>
      <c r="U146" s="48">
        <v>952408</v>
      </c>
      <c r="W146" s="44">
        <f>+S146-'Stmt net assets'!O146-U146</f>
        <v>0</v>
      </c>
    </row>
    <row r="147" spans="1:23" s="65" customFormat="1" ht="12.75" customHeight="1">
      <c r="A147" s="35" t="s">
        <v>173</v>
      </c>
      <c r="B147" s="51"/>
      <c r="C147" s="35" t="s">
        <v>66</v>
      </c>
      <c r="D147" s="35"/>
      <c r="E147" s="48">
        <v>0</v>
      </c>
      <c r="F147" s="48"/>
      <c r="G147" s="48">
        <v>0</v>
      </c>
      <c r="H147" s="48"/>
      <c r="I147" s="48">
        <v>0</v>
      </c>
      <c r="J147" s="48"/>
      <c r="K147" s="48">
        <f>180120+450000</f>
        <v>630120</v>
      </c>
      <c r="L147" s="48"/>
      <c r="M147" s="48">
        <v>560008</v>
      </c>
      <c r="N147" s="48"/>
      <c r="O147" s="48">
        <v>2938796</v>
      </c>
      <c r="P147" s="48"/>
      <c r="Q147" s="48">
        <v>0</v>
      </c>
      <c r="R147" s="48"/>
      <c r="S147" s="48">
        <f t="shared" ref="S147:S213" si="4">SUM(E147:Q147)</f>
        <v>4128924</v>
      </c>
      <c r="T147" s="44"/>
      <c r="U147" s="48">
        <v>534781</v>
      </c>
      <c r="W147" s="44">
        <f>+S147-'Stmt net assets'!O147-U147</f>
        <v>0</v>
      </c>
    </row>
    <row r="148" spans="1:23" s="65" customFormat="1" ht="12.75" customHeight="1">
      <c r="A148" s="35" t="s">
        <v>174</v>
      </c>
      <c r="B148" s="51"/>
      <c r="C148" s="35" t="s">
        <v>45</v>
      </c>
      <c r="D148" s="35"/>
      <c r="E148" s="48">
        <v>1072000</v>
      </c>
      <c r="F148" s="48"/>
      <c r="G148" s="48">
        <v>0</v>
      </c>
      <c r="H148" s="48"/>
      <c r="I148" s="48">
        <v>411467</v>
      </c>
      <c r="J148" s="48"/>
      <c r="K148" s="48">
        <v>0</v>
      </c>
      <c r="L148" s="48"/>
      <c r="M148" s="48">
        <v>12497</v>
      </c>
      <c r="N148" s="48"/>
      <c r="O148" s="48">
        <v>133388</v>
      </c>
      <c r="P148" s="48"/>
      <c r="Q148" s="48">
        <v>47107</v>
      </c>
      <c r="R148" s="48"/>
      <c r="S148" s="48">
        <f t="shared" si="4"/>
        <v>1676459</v>
      </c>
      <c r="T148" s="44"/>
      <c r="U148" s="48">
        <v>158205</v>
      </c>
      <c r="W148" s="44">
        <f>+S148-'Stmt net assets'!O148-U148</f>
        <v>0</v>
      </c>
    </row>
    <row r="149" spans="1:23" s="65" customFormat="1" ht="12.75" customHeight="1">
      <c r="A149" s="35" t="s">
        <v>175</v>
      </c>
      <c r="B149" s="51"/>
      <c r="C149" s="35" t="s">
        <v>176</v>
      </c>
      <c r="D149" s="35"/>
      <c r="E149" s="48">
        <v>7280711</v>
      </c>
      <c r="F149" s="48"/>
      <c r="G149" s="48">
        <v>0</v>
      </c>
      <c r="H149" s="48"/>
      <c r="I149" s="48">
        <v>0</v>
      </c>
      <c r="J149" s="48"/>
      <c r="K149" s="48">
        <v>433125</v>
      </c>
      <c r="L149" s="48"/>
      <c r="M149" s="48">
        <v>0</v>
      </c>
      <c r="N149" s="48"/>
      <c r="O149" s="48">
        <v>948963</v>
      </c>
      <c r="P149" s="48"/>
      <c r="Q149" s="48">
        <v>431014</v>
      </c>
      <c r="R149" s="48"/>
      <c r="S149" s="48">
        <f>SUM(E149:Q149)</f>
        <v>9093813</v>
      </c>
      <c r="T149" s="44"/>
      <c r="U149" s="48">
        <v>700058</v>
      </c>
      <c r="W149" s="44">
        <f>+S149-'Stmt net assets'!O149-U149</f>
        <v>0</v>
      </c>
    </row>
    <row r="150" spans="1:23" s="65" customFormat="1" ht="12.75" customHeight="1">
      <c r="A150" s="35" t="s">
        <v>177</v>
      </c>
      <c r="B150" s="51"/>
      <c r="C150" s="35" t="s">
        <v>13</v>
      </c>
      <c r="D150" s="35"/>
      <c r="E150" s="48">
        <f>1542711-156728-162437</f>
        <v>1223546</v>
      </c>
      <c r="F150" s="48"/>
      <c r="G150" s="48">
        <v>0</v>
      </c>
      <c r="H150" s="48"/>
      <c r="I150" s="48">
        <v>0</v>
      </c>
      <c r="J150" s="48"/>
      <c r="K150" s="48">
        <v>0</v>
      </c>
      <c r="L150" s="48"/>
      <c r="M150" s="48">
        <v>162437</v>
      </c>
      <c r="N150" s="48"/>
      <c r="O150" s="48">
        <v>156728</v>
      </c>
      <c r="P150" s="48"/>
      <c r="Q150" s="48">
        <v>0</v>
      </c>
      <c r="R150" s="48"/>
      <c r="S150" s="48">
        <f t="shared" si="4"/>
        <v>1542711</v>
      </c>
      <c r="T150" s="44"/>
      <c r="U150" s="48">
        <v>359387</v>
      </c>
      <c r="W150" s="44">
        <f>+S150-'Stmt net assets'!O150-U150</f>
        <v>0</v>
      </c>
    </row>
    <row r="151" spans="1:23" s="66" customFormat="1" ht="12.75" customHeight="1">
      <c r="A151" s="35" t="s">
        <v>178</v>
      </c>
      <c r="B151" s="51"/>
      <c r="C151" s="35" t="s">
        <v>179</v>
      </c>
      <c r="D151" s="35"/>
      <c r="E151" s="48">
        <v>580000</v>
      </c>
      <c r="F151" s="48"/>
      <c r="G151" s="48">
        <v>384153</v>
      </c>
      <c r="H151" s="48"/>
      <c r="I151" s="48">
        <v>0</v>
      </c>
      <c r="J151" s="48"/>
      <c r="K151" s="48">
        <v>98812</v>
      </c>
      <c r="L151" s="48"/>
      <c r="M151" s="48">
        <v>0</v>
      </c>
      <c r="N151" s="48"/>
      <c r="O151" s="48">
        <v>670800</v>
      </c>
      <c r="P151" s="48"/>
      <c r="Q151" s="48">
        <v>0</v>
      </c>
      <c r="R151" s="48"/>
      <c r="S151" s="48">
        <f t="shared" si="4"/>
        <v>1733765</v>
      </c>
      <c r="T151" s="44"/>
      <c r="U151" s="48">
        <v>395765</v>
      </c>
      <c r="V151" s="65"/>
      <c r="W151" s="44">
        <f>+S151-'Stmt net assets'!O151-U151</f>
        <v>0</v>
      </c>
    </row>
    <row r="152" spans="1:23" s="65" customFormat="1" ht="12.75" customHeight="1">
      <c r="A152" s="35" t="s">
        <v>180</v>
      </c>
      <c r="B152" s="51"/>
      <c r="C152" s="35" t="s">
        <v>20</v>
      </c>
      <c r="D152" s="35"/>
      <c r="E152" s="48">
        <v>0</v>
      </c>
      <c r="F152" s="48"/>
      <c r="G152" s="48">
        <v>0</v>
      </c>
      <c r="H152" s="48"/>
      <c r="I152" s="48">
        <v>375000</v>
      </c>
      <c r="J152" s="48"/>
      <c r="K152" s="48">
        <f>24536+155647</f>
        <v>180183</v>
      </c>
      <c r="L152" s="48"/>
      <c r="M152" s="48">
        <v>320069</v>
      </c>
      <c r="N152" s="48"/>
      <c r="O152" s="48">
        <v>52654</v>
      </c>
      <c r="P152" s="48"/>
      <c r="Q152" s="48">
        <v>73538</v>
      </c>
      <c r="R152" s="48"/>
      <c r="S152" s="48">
        <f t="shared" si="4"/>
        <v>1001444</v>
      </c>
      <c r="T152" s="44"/>
      <c r="U152" s="48">
        <v>121364</v>
      </c>
      <c r="W152" s="44">
        <f>+S152-'Stmt net assets'!O152-U152</f>
        <v>0</v>
      </c>
    </row>
    <row r="153" spans="1:23" s="65" customFormat="1" ht="12.75" customHeight="1">
      <c r="A153" s="35" t="s">
        <v>182</v>
      </c>
      <c r="C153" s="35" t="s">
        <v>183</v>
      </c>
      <c r="D153" s="35"/>
      <c r="E153" s="48">
        <f>525000+12070</f>
        <v>537070</v>
      </c>
      <c r="F153" s="48"/>
      <c r="G153" s="48">
        <f>910000+45940</f>
        <v>955940</v>
      </c>
      <c r="H153" s="48"/>
      <c r="I153" s="48">
        <f>64783+328801+23374</f>
        <v>416958</v>
      </c>
      <c r="J153" s="48"/>
      <c r="K153" s="48">
        <v>0</v>
      </c>
      <c r="L153" s="48"/>
      <c r="M153" s="48">
        <v>0</v>
      </c>
      <c r="N153" s="48"/>
      <c r="O153" s="48">
        <v>43851</v>
      </c>
      <c r="P153" s="48"/>
      <c r="Q153" s="48">
        <v>0</v>
      </c>
      <c r="R153" s="48"/>
      <c r="S153" s="48">
        <f t="shared" si="4"/>
        <v>1953819</v>
      </c>
      <c r="T153" s="44"/>
      <c r="U153" s="48">
        <v>119757</v>
      </c>
      <c r="W153" s="44">
        <f>+S153-'Stmt net assets'!O153-U153</f>
        <v>0</v>
      </c>
    </row>
    <row r="154" spans="1:23" s="65" customFormat="1" ht="12.75" customHeight="1">
      <c r="A154" s="35" t="s">
        <v>487</v>
      </c>
      <c r="B154" s="51"/>
      <c r="C154" s="35" t="s">
        <v>13</v>
      </c>
      <c r="D154" s="35"/>
      <c r="E154" s="48">
        <v>0</v>
      </c>
      <c r="F154" s="48"/>
      <c r="G154" s="48">
        <v>0</v>
      </c>
      <c r="H154" s="48"/>
      <c r="I154" s="48">
        <v>0</v>
      </c>
      <c r="J154" s="48"/>
      <c r="K154" s="48">
        <v>0</v>
      </c>
      <c r="L154" s="48"/>
      <c r="M154" s="48">
        <v>111490</v>
      </c>
      <c r="N154" s="48"/>
      <c r="O154" s="48">
        <v>675980</v>
      </c>
      <c r="P154" s="48"/>
      <c r="Q154" s="48">
        <v>0</v>
      </c>
      <c r="R154" s="48"/>
      <c r="S154" s="48">
        <f>SUM(E154:Q154)</f>
        <v>787470</v>
      </c>
      <c r="T154" s="44"/>
      <c r="U154" s="48">
        <v>94839</v>
      </c>
      <c r="W154" s="44">
        <f>+S154-'Stmt net assets'!O154-U154</f>
        <v>0</v>
      </c>
    </row>
    <row r="155" spans="1:23" s="65" customFormat="1" ht="12.75" customHeight="1">
      <c r="A155" s="35" t="s">
        <v>184</v>
      </c>
      <c r="B155" s="51"/>
      <c r="C155" s="35" t="s">
        <v>89</v>
      </c>
      <c r="D155" s="35"/>
      <c r="E155" s="48">
        <v>1875000</v>
      </c>
      <c r="F155" s="48"/>
      <c r="G155" s="48">
        <v>0</v>
      </c>
      <c r="H155" s="48"/>
      <c r="I155" s="48">
        <v>0</v>
      </c>
      <c r="J155" s="48"/>
      <c r="K155" s="48">
        <v>0</v>
      </c>
      <c r="L155" s="48"/>
      <c r="M155" s="48">
        <v>112325</v>
      </c>
      <c r="N155" s="48"/>
      <c r="O155" s="48">
        <v>1088222</v>
      </c>
      <c r="P155" s="48"/>
      <c r="Q155" s="48">
        <v>0</v>
      </c>
      <c r="R155" s="48"/>
      <c r="S155" s="48">
        <f t="shared" si="4"/>
        <v>3075547</v>
      </c>
      <c r="T155" s="44"/>
      <c r="U155" s="48">
        <v>425194</v>
      </c>
      <c r="W155" s="44">
        <f>+S155-'Stmt net assets'!O155-U155</f>
        <v>0</v>
      </c>
    </row>
    <row r="156" spans="1:23" s="65" customFormat="1" ht="12.75" customHeight="1">
      <c r="A156" s="35" t="s">
        <v>181</v>
      </c>
      <c r="B156" s="51"/>
      <c r="C156" s="35" t="s">
        <v>125</v>
      </c>
      <c r="D156" s="35"/>
      <c r="E156" s="48">
        <v>14337666</v>
      </c>
      <c r="F156" s="48"/>
      <c r="G156" s="48">
        <v>0</v>
      </c>
      <c r="H156" s="48"/>
      <c r="I156" s="48">
        <v>0</v>
      </c>
      <c r="J156" s="48"/>
      <c r="K156" s="48">
        <v>1021359</v>
      </c>
      <c r="L156" s="48"/>
      <c r="M156" s="48">
        <v>2253763</v>
      </c>
      <c r="N156" s="48"/>
      <c r="O156" s="48">
        <v>3274879</v>
      </c>
      <c r="P156" s="48"/>
      <c r="Q156" s="48">
        <v>1932816</v>
      </c>
      <c r="R156" s="48"/>
      <c r="S156" s="48">
        <f>SUM(E156:Q156)</f>
        <v>22820483</v>
      </c>
      <c r="T156" s="44"/>
      <c r="U156" s="48">
        <v>3258374</v>
      </c>
      <c r="W156" s="44">
        <f>+S156-'Stmt net assets'!O156-U156</f>
        <v>0</v>
      </c>
    </row>
    <row r="157" spans="1:23" s="65" customFormat="1" ht="12.75" customHeight="1">
      <c r="A157" s="35" t="s">
        <v>185</v>
      </c>
      <c r="B157" s="51"/>
      <c r="C157" s="35" t="s">
        <v>80</v>
      </c>
      <c r="D157" s="35"/>
      <c r="E157" s="48">
        <v>0</v>
      </c>
      <c r="F157" s="48"/>
      <c r="G157" s="48">
        <v>0</v>
      </c>
      <c r="H157" s="48"/>
      <c r="I157" s="48">
        <v>0</v>
      </c>
      <c r="J157" s="48"/>
      <c r="K157" s="48">
        <v>0</v>
      </c>
      <c r="L157" s="48"/>
      <c r="M157" s="48">
        <v>7043</v>
      </c>
      <c r="N157" s="48"/>
      <c r="O157" s="48">
        <v>1133505</v>
      </c>
      <c r="P157" s="48"/>
      <c r="Q157" s="48">
        <v>402552</v>
      </c>
      <c r="R157" s="48"/>
      <c r="S157" s="48">
        <f t="shared" si="4"/>
        <v>1543100</v>
      </c>
      <c r="T157" s="44"/>
      <c r="U157" s="48">
        <v>122790</v>
      </c>
      <c r="W157" s="44">
        <f>+S157-'Stmt net assets'!O157-U157</f>
        <v>0</v>
      </c>
    </row>
    <row r="158" spans="1:23" s="65" customFormat="1" ht="12.75" customHeight="1">
      <c r="A158" s="35" t="s">
        <v>186</v>
      </c>
      <c r="B158" s="51"/>
      <c r="C158" s="35" t="s">
        <v>15</v>
      </c>
      <c r="D158" s="35"/>
      <c r="E158" s="48">
        <v>0</v>
      </c>
      <c r="F158" s="48"/>
      <c r="G158" s="48">
        <v>0</v>
      </c>
      <c r="H158" s="48"/>
      <c r="I158" s="48">
        <v>0</v>
      </c>
      <c r="J158" s="48"/>
      <c r="K158" s="48">
        <v>0</v>
      </c>
      <c r="L158" s="48"/>
      <c r="M158" s="48">
        <v>398126</v>
      </c>
      <c r="N158" s="48"/>
      <c r="O158" s="48">
        <v>1825778</v>
      </c>
      <c r="P158" s="48"/>
      <c r="Q158" s="48">
        <v>63714</v>
      </c>
      <c r="R158" s="48"/>
      <c r="S158" s="48">
        <f t="shared" si="4"/>
        <v>2287618</v>
      </c>
      <c r="T158" s="44"/>
      <c r="U158" s="48">
        <v>361396</v>
      </c>
      <c r="W158" s="44">
        <f>+S158-'Stmt net assets'!O158-U158</f>
        <v>0</v>
      </c>
    </row>
    <row r="159" spans="1:23" s="65" customFormat="1" ht="12.75" customHeight="1">
      <c r="A159" s="35" t="s">
        <v>187</v>
      </c>
      <c r="C159" s="35" t="s">
        <v>27</v>
      </c>
      <c r="D159" s="35"/>
      <c r="E159" s="48">
        <v>31165433</v>
      </c>
      <c r="F159" s="48"/>
      <c r="G159" s="48">
        <v>90000</v>
      </c>
      <c r="H159" s="48"/>
      <c r="I159" s="48">
        <v>3215000</v>
      </c>
      <c r="J159" s="48"/>
      <c r="K159" s="48">
        <v>54450</v>
      </c>
      <c r="L159" s="48"/>
      <c r="M159" s="48">
        <v>0</v>
      </c>
      <c r="N159" s="48"/>
      <c r="O159" s="48">
        <v>4696106</v>
      </c>
      <c r="P159" s="48"/>
      <c r="Q159" s="48">
        <f>96629+205985+355594</f>
        <v>658208</v>
      </c>
      <c r="R159" s="48"/>
      <c r="S159" s="48">
        <f t="shared" si="4"/>
        <v>39879197</v>
      </c>
      <c r="T159" s="44"/>
      <c r="U159" s="48">
        <v>6245953</v>
      </c>
      <c r="W159" s="44">
        <f>+S159-'Stmt net assets'!O159-U159</f>
        <v>0</v>
      </c>
    </row>
    <row r="160" spans="1:23" s="65" customFormat="1" ht="12.75" customHeight="1">
      <c r="A160" s="35" t="s">
        <v>189</v>
      </c>
      <c r="B160" s="51"/>
      <c r="C160" s="35" t="s">
        <v>17</v>
      </c>
      <c r="D160" s="35"/>
      <c r="E160" s="48">
        <v>5700000</v>
      </c>
      <c r="F160" s="48"/>
      <c r="G160" s="48">
        <v>165000</v>
      </c>
      <c r="H160" s="48"/>
      <c r="I160" s="48">
        <v>2526000</v>
      </c>
      <c r="J160" s="48"/>
      <c r="K160" s="48">
        <f>739742+229680</f>
        <v>969422</v>
      </c>
      <c r="L160" s="48"/>
      <c r="M160" s="48">
        <v>0</v>
      </c>
      <c r="N160" s="48"/>
      <c r="O160" s="48">
        <v>3795200</v>
      </c>
      <c r="P160" s="48"/>
      <c r="Q160" s="48">
        <v>0</v>
      </c>
      <c r="R160" s="48"/>
      <c r="S160" s="48">
        <f t="shared" si="4"/>
        <v>13155622</v>
      </c>
      <c r="T160" s="44"/>
      <c r="U160" s="48">
        <v>4018477</v>
      </c>
      <c r="W160" s="44">
        <f>+S160-'Stmt net assets'!O160-U160</f>
        <v>0</v>
      </c>
    </row>
    <row r="161" spans="1:23" s="65" customFormat="1" ht="12.75" customHeight="1">
      <c r="A161" s="35" t="s">
        <v>188</v>
      </c>
      <c r="B161" s="51"/>
      <c r="C161" s="35" t="s">
        <v>27</v>
      </c>
      <c r="D161" s="35"/>
      <c r="E161" s="48">
        <v>10223545</v>
      </c>
      <c r="F161" s="48"/>
      <c r="G161" s="48">
        <v>1553461</v>
      </c>
      <c r="H161" s="48"/>
      <c r="I161" s="48">
        <v>5350000</v>
      </c>
      <c r="J161" s="48"/>
      <c r="K161" s="48">
        <v>417694</v>
      </c>
      <c r="L161" s="48"/>
      <c r="M161" s="48">
        <v>362043</v>
      </c>
      <c r="N161" s="48"/>
      <c r="O161" s="48">
        <v>3144111</v>
      </c>
      <c r="P161" s="48"/>
      <c r="Q161" s="48">
        <v>122891</v>
      </c>
      <c r="R161" s="48"/>
      <c r="S161" s="48">
        <f t="shared" si="4"/>
        <v>21173745</v>
      </c>
      <c r="T161" s="44"/>
      <c r="U161" s="48">
        <v>2516637</v>
      </c>
      <c r="W161" s="44">
        <f>+S161-'Stmt net assets'!O161-U161</f>
        <v>0</v>
      </c>
    </row>
    <row r="162" spans="1:23" s="66" customFormat="1" ht="12.75" customHeight="1">
      <c r="A162" s="35" t="s">
        <v>190</v>
      </c>
      <c r="B162" s="51"/>
      <c r="C162" s="35" t="s">
        <v>47</v>
      </c>
      <c r="D162" s="35"/>
      <c r="E162" s="48">
        <v>2640000</v>
      </c>
      <c r="F162" s="48"/>
      <c r="G162" s="48">
        <v>0</v>
      </c>
      <c r="H162" s="48"/>
      <c r="I162" s="48">
        <v>0</v>
      </c>
      <c r="J162" s="48"/>
      <c r="K162" s="48">
        <v>89195</v>
      </c>
      <c r="L162" s="48"/>
      <c r="M162" s="48">
        <v>0</v>
      </c>
      <c r="N162" s="48"/>
      <c r="O162" s="48">
        <v>474515</v>
      </c>
      <c r="P162" s="48"/>
      <c r="Q162" s="48">
        <v>0</v>
      </c>
      <c r="R162" s="48"/>
      <c r="S162" s="48">
        <f t="shared" si="4"/>
        <v>3203710</v>
      </c>
      <c r="T162" s="44"/>
      <c r="U162" s="48">
        <v>249714</v>
      </c>
      <c r="V162" s="65"/>
      <c r="W162" s="44">
        <f>+S162-'Stmt net assets'!O162-U162</f>
        <v>0</v>
      </c>
    </row>
    <row r="163" spans="1:23" s="65" customFormat="1" ht="12.75" customHeight="1">
      <c r="A163" s="35" t="s">
        <v>191</v>
      </c>
      <c r="B163" s="51"/>
      <c r="C163" s="35" t="s">
        <v>13</v>
      </c>
      <c r="D163" s="35"/>
      <c r="E163" s="48">
        <v>2464119</v>
      </c>
      <c r="F163" s="48"/>
      <c r="G163" s="48">
        <v>715881</v>
      </c>
      <c r="H163" s="48"/>
      <c r="I163" s="48">
        <v>0</v>
      </c>
      <c r="J163" s="48"/>
      <c r="K163" s="48">
        <v>0</v>
      </c>
      <c r="L163" s="48"/>
      <c r="M163" s="48">
        <v>0</v>
      </c>
      <c r="N163" s="48"/>
      <c r="O163" s="48">
        <v>734771</v>
      </c>
      <c r="P163" s="48"/>
      <c r="Q163" s="48">
        <v>0</v>
      </c>
      <c r="R163" s="48"/>
      <c r="S163" s="48">
        <f t="shared" si="4"/>
        <v>3914771</v>
      </c>
      <c r="T163" s="44"/>
      <c r="U163" s="48">
        <v>472173</v>
      </c>
      <c r="W163" s="44">
        <f>+S163-'Stmt net assets'!O163-U163</f>
        <v>0</v>
      </c>
    </row>
    <row r="164" spans="1:23" s="65" customFormat="1" ht="12.75" customHeight="1">
      <c r="A164" s="35" t="s">
        <v>192</v>
      </c>
      <c r="C164" s="35" t="s">
        <v>38</v>
      </c>
      <c r="D164" s="35"/>
      <c r="E164" s="48">
        <v>512863</v>
      </c>
      <c r="F164" s="48"/>
      <c r="G164" s="48">
        <v>0</v>
      </c>
      <c r="H164" s="48"/>
      <c r="I164" s="48">
        <v>0</v>
      </c>
      <c r="J164" s="48"/>
      <c r="K164" s="48">
        <f>338331+825804</f>
        <v>1164135</v>
      </c>
      <c r="L164" s="48"/>
      <c r="M164" s="48">
        <v>0</v>
      </c>
      <c r="N164" s="48"/>
      <c r="O164" s="48">
        <v>1017743</v>
      </c>
      <c r="P164" s="48"/>
      <c r="Q164" s="48">
        <v>431306</v>
      </c>
      <c r="R164" s="48"/>
      <c r="S164" s="48">
        <f>SUM(E164:Q164)</f>
        <v>3126047</v>
      </c>
      <c r="T164" s="44"/>
      <c r="U164" s="48">
        <v>539371</v>
      </c>
      <c r="W164" s="44">
        <f>+S164-'Stmt net assets'!O164-U164</f>
        <v>0</v>
      </c>
    </row>
    <row r="165" spans="1:23" s="65" customFormat="1" ht="12.75" customHeight="1">
      <c r="A165" s="35" t="s">
        <v>193</v>
      </c>
      <c r="B165" s="51"/>
      <c r="C165" s="35" t="s">
        <v>45</v>
      </c>
      <c r="D165" s="35"/>
      <c r="E165" s="48">
        <v>5082958</v>
      </c>
      <c r="F165" s="48"/>
      <c r="G165" s="48">
        <v>1684137</v>
      </c>
      <c r="H165" s="48"/>
      <c r="I165" s="48">
        <v>0</v>
      </c>
      <c r="J165" s="48"/>
      <c r="K165" s="48">
        <f>172964+451862</f>
        <v>624826</v>
      </c>
      <c r="L165" s="48"/>
      <c r="M165" s="48">
        <v>694237</v>
      </c>
      <c r="N165" s="48"/>
      <c r="O165" s="48">
        <v>3452013</v>
      </c>
      <c r="P165" s="48"/>
      <c r="Q165" s="48">
        <f>12090000-161800+3550000</f>
        <v>15478200</v>
      </c>
      <c r="R165" s="48"/>
      <c r="S165" s="48">
        <f t="shared" si="4"/>
        <v>27016371</v>
      </c>
      <c r="T165" s="44"/>
      <c r="U165" s="48">
        <v>1972140</v>
      </c>
      <c r="W165" s="44">
        <f>+S165-'Stmt net assets'!O165-U165</f>
        <v>0</v>
      </c>
    </row>
    <row r="166" spans="1:23" s="65" customFormat="1" ht="12.75" customHeight="1">
      <c r="A166" s="35" t="s">
        <v>194</v>
      </c>
      <c r="B166" s="51"/>
      <c r="C166" s="35" t="s">
        <v>66</v>
      </c>
      <c r="D166" s="35"/>
      <c r="E166" s="48">
        <v>0</v>
      </c>
      <c r="F166" s="48"/>
      <c r="G166" s="48">
        <v>0</v>
      </c>
      <c r="H166" s="48"/>
      <c r="I166" s="48">
        <v>0</v>
      </c>
      <c r="J166" s="48"/>
      <c r="K166" s="48">
        <v>0</v>
      </c>
      <c r="L166" s="48"/>
      <c r="M166" s="48">
        <v>0</v>
      </c>
      <c r="N166" s="48"/>
      <c r="O166" s="48">
        <v>1153566</v>
      </c>
      <c r="P166" s="48"/>
      <c r="Q166" s="48">
        <v>555742</v>
      </c>
      <c r="R166" s="48"/>
      <c r="S166" s="48">
        <f t="shared" si="4"/>
        <v>1709308</v>
      </c>
      <c r="T166" s="44"/>
      <c r="U166" s="48">
        <v>187833</v>
      </c>
      <c r="W166" s="44">
        <f>+S166-'Stmt net assets'!O166-U166</f>
        <v>0</v>
      </c>
    </row>
    <row r="167" spans="1:23" s="65" customFormat="1" ht="12.75" customHeight="1">
      <c r="A167" s="35"/>
      <c r="B167" s="51"/>
      <c r="C167" s="35"/>
      <c r="D167" s="35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4"/>
      <c r="U167" s="48" t="s">
        <v>484</v>
      </c>
      <c r="W167" s="44"/>
    </row>
    <row r="168" spans="1:23" s="65" customFormat="1" ht="12.75" customHeight="1">
      <c r="A168" s="64" t="s">
        <v>195</v>
      </c>
      <c r="B168" s="66"/>
      <c r="C168" s="64" t="s">
        <v>17</v>
      </c>
      <c r="D168" s="64"/>
      <c r="E168" s="68">
        <v>4119607</v>
      </c>
      <c r="F168" s="68"/>
      <c r="G168" s="68">
        <v>0</v>
      </c>
      <c r="H168" s="68"/>
      <c r="I168" s="68">
        <v>0</v>
      </c>
      <c r="J168" s="68"/>
      <c r="K168" s="68">
        <v>350121</v>
      </c>
      <c r="L168" s="68"/>
      <c r="M168" s="68">
        <v>0</v>
      </c>
      <c r="N168" s="68"/>
      <c r="O168" s="68">
        <v>775905</v>
      </c>
      <c r="P168" s="68"/>
      <c r="Q168" s="68">
        <v>0</v>
      </c>
      <c r="R168" s="68"/>
      <c r="S168" s="68">
        <f t="shared" si="4"/>
        <v>5245633</v>
      </c>
      <c r="T168" s="46"/>
      <c r="U168" s="68">
        <v>497260</v>
      </c>
      <c r="W168" s="44">
        <f>+S168-'Stmt net assets'!O168-U168</f>
        <v>0</v>
      </c>
    </row>
    <row r="169" spans="1:23" s="65" customFormat="1" ht="12.75" hidden="1" customHeight="1">
      <c r="A169" s="35" t="s">
        <v>196</v>
      </c>
      <c r="B169" s="51"/>
      <c r="C169" s="35" t="s">
        <v>27</v>
      </c>
      <c r="D169" s="35"/>
      <c r="E169" s="48">
        <v>0</v>
      </c>
      <c r="F169" s="48"/>
      <c r="G169" s="48">
        <v>0</v>
      </c>
      <c r="H169" s="48"/>
      <c r="I169" s="48">
        <v>0</v>
      </c>
      <c r="J169" s="48"/>
      <c r="K169" s="48">
        <v>0</v>
      </c>
      <c r="L169" s="48"/>
      <c r="M169" s="48">
        <v>0</v>
      </c>
      <c r="N169" s="48"/>
      <c r="O169" s="48">
        <v>0</v>
      </c>
      <c r="P169" s="48"/>
      <c r="Q169" s="48">
        <v>0</v>
      </c>
      <c r="R169" s="48"/>
      <c r="S169" s="48">
        <f t="shared" si="4"/>
        <v>0</v>
      </c>
      <c r="T169" s="44"/>
      <c r="U169" s="48">
        <v>0</v>
      </c>
      <c r="W169" s="44">
        <f>+S169-'Stmt net assets'!O169-U169</f>
        <v>0</v>
      </c>
    </row>
    <row r="170" spans="1:23" s="65" customFormat="1" ht="12.75" customHeight="1">
      <c r="A170" s="35" t="s">
        <v>386</v>
      </c>
      <c r="B170" s="51"/>
      <c r="C170" s="35" t="s">
        <v>153</v>
      </c>
      <c r="D170" s="35"/>
      <c r="E170" s="48">
        <f>1950000-15722</f>
        <v>1934278</v>
      </c>
      <c r="F170" s="48"/>
      <c r="G170" s="48">
        <v>0</v>
      </c>
      <c r="H170" s="48"/>
      <c r="I170" s="48">
        <v>0</v>
      </c>
      <c r="J170" s="48"/>
      <c r="K170" s="48">
        <v>0</v>
      </c>
      <c r="L170" s="48"/>
      <c r="M170" s="48">
        <v>53429</v>
      </c>
      <c r="N170" s="48"/>
      <c r="O170" s="48">
        <v>240089</v>
      </c>
      <c r="P170" s="48"/>
      <c r="Q170" s="48">
        <v>15570</v>
      </c>
      <c r="R170" s="48"/>
      <c r="S170" s="48">
        <f t="shared" si="4"/>
        <v>2243366</v>
      </c>
      <c r="T170" s="44"/>
      <c r="U170" s="48">
        <v>151248</v>
      </c>
      <c r="W170" s="44">
        <f>+S170-'Stmt net assets'!O170-U170</f>
        <v>0</v>
      </c>
    </row>
    <row r="171" spans="1:23" s="65" customFormat="1" ht="12.75" customHeight="1">
      <c r="A171" s="35" t="s">
        <v>197</v>
      </c>
      <c r="B171" s="51"/>
      <c r="C171" s="35" t="s">
        <v>163</v>
      </c>
      <c r="D171" s="35"/>
      <c r="E171" s="48">
        <v>1241932</v>
      </c>
      <c r="F171" s="48"/>
      <c r="G171" s="48">
        <v>1074159</v>
      </c>
      <c r="H171" s="48"/>
      <c r="I171" s="48">
        <v>126602</v>
      </c>
      <c r="J171" s="48"/>
      <c r="K171" s="48">
        <f>1774487+10633464</f>
        <v>12407951</v>
      </c>
      <c r="L171" s="48"/>
      <c r="M171" s="48">
        <v>0</v>
      </c>
      <c r="N171" s="48"/>
      <c r="O171" s="48">
        <v>2272711</v>
      </c>
      <c r="P171" s="48"/>
      <c r="Q171" s="48">
        <f>60529+51373</f>
        <v>111902</v>
      </c>
      <c r="R171" s="48"/>
      <c r="S171" s="48">
        <f>SUM(E171:Q171)</f>
        <v>17235257</v>
      </c>
      <c r="T171" s="44"/>
      <c r="U171" s="48">
        <v>1716705</v>
      </c>
      <c r="W171" s="44">
        <f>+S171-'Stmt net assets'!O171-U171</f>
        <v>0</v>
      </c>
    </row>
    <row r="172" spans="1:23" s="65" customFormat="1" ht="12.75" customHeight="1">
      <c r="A172" s="35" t="s">
        <v>198</v>
      </c>
      <c r="B172" s="51"/>
      <c r="C172" s="35" t="s">
        <v>199</v>
      </c>
      <c r="D172" s="35"/>
      <c r="E172" s="48">
        <v>0</v>
      </c>
      <c r="F172" s="48"/>
      <c r="G172" s="48">
        <v>68410</v>
      </c>
      <c r="H172" s="48"/>
      <c r="I172" s="48">
        <v>0</v>
      </c>
      <c r="J172" s="48"/>
      <c r="K172" s="48">
        <v>0</v>
      </c>
      <c r="L172" s="48"/>
      <c r="M172" s="48">
        <v>0</v>
      </c>
      <c r="N172" s="48"/>
      <c r="O172" s="48">
        <v>98499</v>
      </c>
      <c r="P172" s="48"/>
      <c r="Q172" s="48">
        <v>0</v>
      </c>
      <c r="R172" s="48"/>
      <c r="S172" s="48">
        <f t="shared" si="4"/>
        <v>166909</v>
      </c>
      <c r="T172" s="44"/>
      <c r="U172" s="48">
        <v>59575</v>
      </c>
      <c r="W172" s="44">
        <f>+S172-'Stmt net assets'!O172-U172</f>
        <v>0</v>
      </c>
    </row>
    <row r="173" spans="1:23" s="65" customFormat="1" ht="12.75" customHeight="1">
      <c r="A173" s="35" t="s">
        <v>200</v>
      </c>
      <c r="B173" s="51"/>
      <c r="C173" s="35" t="s">
        <v>103</v>
      </c>
      <c r="D173" s="35"/>
      <c r="E173" s="48">
        <f>2595000+21383-46645</f>
        <v>2569738</v>
      </c>
      <c r="F173" s="48"/>
      <c r="G173" s="48">
        <v>0</v>
      </c>
      <c r="H173" s="48"/>
      <c r="I173" s="48">
        <v>1500000</v>
      </c>
      <c r="J173" s="48"/>
      <c r="K173" s="48">
        <v>0</v>
      </c>
      <c r="L173" s="48"/>
      <c r="M173" s="48">
        <v>0</v>
      </c>
      <c r="N173" s="48"/>
      <c r="O173" s="48">
        <v>548447</v>
      </c>
      <c r="P173" s="48"/>
      <c r="Q173" s="48">
        <v>0</v>
      </c>
      <c r="R173" s="48"/>
      <c r="S173" s="48">
        <f t="shared" si="4"/>
        <v>4618185</v>
      </c>
      <c r="T173" s="44"/>
      <c r="U173" s="48">
        <v>978108</v>
      </c>
      <c r="W173" s="44">
        <f>+S173-'Stmt net assets'!O173-U173</f>
        <v>0</v>
      </c>
    </row>
    <row r="174" spans="1:23" s="65" customFormat="1" ht="12.75" customHeight="1">
      <c r="A174" s="35" t="s">
        <v>201</v>
      </c>
      <c r="B174" s="51"/>
      <c r="C174" s="35" t="s">
        <v>92</v>
      </c>
      <c r="D174" s="35"/>
      <c r="E174" s="48">
        <v>1840000</v>
      </c>
      <c r="F174" s="48"/>
      <c r="G174" s="48">
        <v>355000</v>
      </c>
      <c r="H174" s="48"/>
      <c r="I174" s="48">
        <v>0</v>
      </c>
      <c r="J174" s="48"/>
      <c r="K174" s="48">
        <f>93021+436750</f>
        <v>529771</v>
      </c>
      <c r="L174" s="48"/>
      <c r="M174" s="48">
        <v>594226</v>
      </c>
      <c r="N174" s="48"/>
      <c r="O174" s="48">
        <v>1227128</v>
      </c>
      <c r="P174" s="48"/>
      <c r="Q174" s="48">
        <f>153526+756462</f>
        <v>909988</v>
      </c>
      <c r="R174" s="48"/>
      <c r="S174" s="48">
        <f>SUM(E174:Q174)</f>
        <v>5456113</v>
      </c>
      <c r="T174" s="44"/>
      <c r="U174" s="48">
        <v>863130</v>
      </c>
      <c r="W174" s="44">
        <f>+S174-'Stmt net assets'!O174-U174</f>
        <v>0</v>
      </c>
    </row>
    <row r="175" spans="1:23" s="65" customFormat="1" ht="12.75" customHeight="1">
      <c r="A175" s="35" t="s">
        <v>202</v>
      </c>
      <c r="B175" s="51"/>
      <c r="C175" s="35" t="s">
        <v>27</v>
      </c>
      <c r="D175" s="35"/>
      <c r="E175" s="48">
        <v>22245000</v>
      </c>
      <c r="F175" s="48"/>
      <c r="G175" s="48">
        <v>1307267</v>
      </c>
      <c r="H175" s="48"/>
      <c r="I175" s="48">
        <v>0</v>
      </c>
      <c r="J175" s="48"/>
      <c r="K175" s="48">
        <f>1444543+2392346</f>
        <v>3836889</v>
      </c>
      <c r="L175" s="48"/>
      <c r="M175" s="48">
        <v>3579346</v>
      </c>
      <c r="N175" s="48"/>
      <c r="O175" s="48">
        <v>2816183</v>
      </c>
      <c r="P175" s="48"/>
      <c r="Q175" s="48">
        <v>0</v>
      </c>
      <c r="R175" s="48"/>
      <c r="S175" s="48">
        <f>SUM(E175:Q175)</f>
        <v>33784685</v>
      </c>
      <c r="T175" s="44"/>
      <c r="U175" s="48">
        <v>3500490</v>
      </c>
      <c r="W175" s="44">
        <f>+S175-'Stmt net assets'!O175-U175</f>
        <v>0</v>
      </c>
    </row>
    <row r="176" spans="1:23" s="65" customFormat="1" ht="12.75" customHeight="1">
      <c r="A176" s="35" t="s">
        <v>203</v>
      </c>
      <c r="B176" s="51"/>
      <c r="C176" s="35" t="s">
        <v>27</v>
      </c>
      <c r="D176" s="35"/>
      <c r="E176" s="48">
        <v>5010000</v>
      </c>
      <c r="F176" s="48"/>
      <c r="G176" s="48">
        <v>262086</v>
      </c>
      <c r="H176" s="48"/>
      <c r="I176" s="48">
        <v>1650000</v>
      </c>
      <c r="J176" s="48"/>
      <c r="K176" s="48">
        <f>691268+72669</f>
        <v>763937</v>
      </c>
      <c r="L176" s="48"/>
      <c r="M176" s="48">
        <v>699546</v>
      </c>
      <c r="N176" s="48"/>
      <c r="O176" s="48">
        <v>1141584</v>
      </c>
      <c r="P176" s="48"/>
      <c r="Q176" s="48">
        <v>0</v>
      </c>
      <c r="R176" s="48"/>
      <c r="S176" s="48">
        <f>SUM(E176:Q176)</f>
        <v>9527153</v>
      </c>
      <c r="T176" s="44"/>
      <c r="U176" s="48">
        <v>2398678</v>
      </c>
      <c r="W176" s="44">
        <f>+S176-'Stmt net assets'!O176-U176</f>
        <v>0</v>
      </c>
    </row>
    <row r="177" spans="1:25" s="65" customFormat="1" ht="12.75" customHeight="1">
      <c r="A177" s="35" t="s">
        <v>204</v>
      </c>
      <c r="B177" s="51"/>
      <c r="C177" s="35" t="s">
        <v>125</v>
      </c>
      <c r="D177" s="35"/>
      <c r="E177" s="48">
        <v>0</v>
      </c>
      <c r="F177" s="48"/>
      <c r="G177" s="48">
        <v>0</v>
      </c>
      <c r="H177" s="48"/>
      <c r="I177" s="48">
        <v>860000</v>
      </c>
      <c r="J177" s="48"/>
      <c r="K177" s="48">
        <v>87082</v>
      </c>
      <c r="L177" s="48"/>
      <c r="M177" s="48">
        <v>180703</v>
      </c>
      <c r="N177" s="48"/>
      <c r="O177" s="48">
        <v>83349</v>
      </c>
      <c r="P177" s="48"/>
      <c r="Q177" s="48">
        <v>0</v>
      </c>
      <c r="R177" s="48"/>
      <c r="S177" s="48">
        <f t="shared" si="4"/>
        <v>1211134</v>
      </c>
      <c r="T177" s="44"/>
      <c r="U177" s="48">
        <v>291716</v>
      </c>
      <c r="W177" s="44">
        <f>+S177-'Stmt net assets'!O177-U177</f>
        <v>0</v>
      </c>
    </row>
    <row r="178" spans="1:25" s="65" customFormat="1" ht="12.75" customHeight="1">
      <c r="A178" s="35" t="s">
        <v>205</v>
      </c>
      <c r="B178" s="51"/>
      <c r="C178" s="35" t="s">
        <v>27</v>
      </c>
      <c r="D178" s="35"/>
      <c r="E178" s="48">
        <v>8981282</v>
      </c>
      <c r="F178" s="48"/>
      <c r="G178" s="48">
        <v>0</v>
      </c>
      <c r="H178" s="48"/>
      <c r="I178" s="48">
        <v>0</v>
      </c>
      <c r="J178" s="48"/>
      <c r="K178" s="48">
        <v>920933</v>
      </c>
      <c r="L178" s="48"/>
      <c r="M178" s="48">
        <v>0</v>
      </c>
      <c r="N178" s="48"/>
      <c r="O178" s="48">
        <v>326098</v>
      </c>
      <c r="P178" s="48"/>
      <c r="Q178" s="48">
        <v>0</v>
      </c>
      <c r="R178" s="48"/>
      <c r="S178" s="48">
        <f t="shared" si="4"/>
        <v>10228313</v>
      </c>
      <c r="T178" s="44"/>
      <c r="U178" s="48">
        <v>703407</v>
      </c>
      <c r="W178" s="44">
        <f>+S178-'Stmt net assets'!O178-U178</f>
        <v>0</v>
      </c>
    </row>
    <row r="179" spans="1:25" s="65" customFormat="1" ht="12.75" customHeight="1">
      <c r="A179" s="35" t="s">
        <v>206</v>
      </c>
      <c r="B179" s="51"/>
      <c r="C179" s="35" t="s">
        <v>47</v>
      </c>
      <c r="D179" s="35"/>
      <c r="E179" s="48">
        <v>0</v>
      </c>
      <c r="F179" s="48"/>
      <c r="G179" s="48">
        <v>0</v>
      </c>
      <c r="H179" s="48"/>
      <c r="I179" s="48">
        <v>0</v>
      </c>
      <c r="J179" s="48"/>
      <c r="K179" s="48">
        <v>0</v>
      </c>
      <c r="L179" s="48"/>
      <c r="M179" s="48">
        <v>0</v>
      </c>
      <c r="N179" s="48"/>
      <c r="O179" s="48">
        <v>900435</v>
      </c>
      <c r="P179" s="48"/>
      <c r="Q179" s="48">
        <v>0</v>
      </c>
      <c r="R179" s="48"/>
      <c r="S179" s="48">
        <f t="shared" si="4"/>
        <v>900435</v>
      </c>
      <c r="T179" s="44"/>
      <c r="U179" s="48">
        <v>352508</v>
      </c>
      <c r="W179" s="44">
        <f>+S179-'Stmt net assets'!O179-U179</f>
        <v>0</v>
      </c>
    </row>
    <row r="180" spans="1:25" s="65" customFormat="1" ht="12.75" customHeight="1">
      <c r="A180" s="35" t="s">
        <v>207</v>
      </c>
      <c r="B180" s="51"/>
      <c r="C180" s="35" t="s">
        <v>102</v>
      </c>
      <c r="D180" s="35"/>
      <c r="E180" s="48">
        <v>1313871</v>
      </c>
      <c r="F180" s="48"/>
      <c r="G180" s="48">
        <v>0</v>
      </c>
      <c r="H180" s="48"/>
      <c r="I180" s="48">
        <v>2780000</v>
      </c>
      <c r="J180" s="48"/>
      <c r="K180" s="48">
        <v>6518300</v>
      </c>
      <c r="L180" s="48"/>
      <c r="M180" s="48">
        <v>3454802</v>
      </c>
      <c r="N180" s="48"/>
      <c r="O180" s="48">
        <v>643360</v>
      </c>
      <c r="P180" s="48"/>
      <c r="Q180" s="48">
        <v>0</v>
      </c>
      <c r="R180" s="48"/>
      <c r="S180" s="48">
        <f t="shared" si="4"/>
        <v>14710333</v>
      </c>
      <c r="T180" s="44"/>
      <c r="U180" s="48">
        <v>1146608</v>
      </c>
      <c r="W180" s="44">
        <f>+S180-'Stmt net assets'!O180-U180</f>
        <v>0</v>
      </c>
    </row>
    <row r="181" spans="1:25" s="65" customFormat="1" ht="12.75" customHeight="1">
      <c r="A181" s="35" t="s">
        <v>208</v>
      </c>
      <c r="B181" s="51"/>
      <c r="C181" s="35" t="s">
        <v>209</v>
      </c>
      <c r="D181" s="35"/>
      <c r="E181" s="48">
        <v>875000</v>
      </c>
      <c r="F181" s="48"/>
      <c r="G181" s="48">
        <v>62602</v>
      </c>
      <c r="H181" s="48"/>
      <c r="I181" s="48">
        <v>1209859</v>
      </c>
      <c r="J181" s="48"/>
      <c r="K181" s="48">
        <v>0</v>
      </c>
      <c r="L181" s="48"/>
      <c r="M181" s="48">
        <v>0</v>
      </c>
      <c r="N181" s="48"/>
      <c r="O181" s="48">
        <v>1717158</v>
      </c>
      <c r="P181" s="48"/>
      <c r="Q181" s="48">
        <f>2010000+16543+315000</f>
        <v>2341543</v>
      </c>
      <c r="R181" s="48"/>
      <c r="S181" s="48">
        <f t="shared" si="4"/>
        <v>6206162</v>
      </c>
      <c r="T181" s="44"/>
      <c r="U181" s="48">
        <v>1391323</v>
      </c>
      <c r="W181" s="44">
        <f>+S181-'Stmt net assets'!O181-U181</f>
        <v>0</v>
      </c>
    </row>
    <row r="182" spans="1:25" s="65" customFormat="1" ht="12.75" customHeight="1">
      <c r="A182" s="44" t="s">
        <v>210</v>
      </c>
      <c r="B182" s="51"/>
      <c r="C182" s="44" t="s">
        <v>211</v>
      </c>
      <c r="D182" s="44"/>
      <c r="E182" s="48">
        <v>197115</v>
      </c>
      <c r="F182" s="48"/>
      <c r="G182" s="48">
        <v>62885</v>
      </c>
      <c r="H182" s="48"/>
      <c r="I182" s="48">
        <v>0</v>
      </c>
      <c r="J182" s="48"/>
      <c r="K182" s="48">
        <v>0</v>
      </c>
      <c r="L182" s="48"/>
      <c r="M182" s="48">
        <v>316623</v>
      </c>
      <c r="N182" s="48"/>
      <c r="O182" s="48">
        <v>135388</v>
      </c>
      <c r="P182" s="48"/>
      <c r="Q182" s="48">
        <v>0</v>
      </c>
      <c r="R182" s="48"/>
      <c r="S182" s="48">
        <f t="shared" si="4"/>
        <v>712011</v>
      </c>
      <c r="T182" s="44"/>
      <c r="U182" s="48">
        <v>142509</v>
      </c>
      <c r="W182" s="44">
        <f>+S182-'Stmt net assets'!O182-U182</f>
        <v>0</v>
      </c>
      <c r="X182" s="66"/>
      <c r="Y182" s="66"/>
    </row>
    <row r="183" spans="1:25" s="65" customFormat="1" ht="12.75" customHeight="1">
      <c r="A183" s="44" t="s">
        <v>212</v>
      </c>
      <c r="B183" s="51"/>
      <c r="C183" s="44" t="s">
        <v>213</v>
      </c>
      <c r="D183" s="44"/>
      <c r="E183" s="48">
        <v>1705000</v>
      </c>
      <c r="F183" s="48"/>
      <c r="G183" s="48">
        <v>0</v>
      </c>
      <c r="H183" s="48"/>
      <c r="I183" s="48">
        <v>0</v>
      </c>
      <c r="J183" s="48"/>
      <c r="K183" s="48">
        <v>0</v>
      </c>
      <c r="L183" s="48"/>
      <c r="M183" s="48">
        <v>828223</v>
      </c>
      <c r="N183" s="48"/>
      <c r="O183" s="48">
        <v>656894</v>
      </c>
      <c r="P183" s="48"/>
      <c r="Q183" s="48">
        <v>0</v>
      </c>
      <c r="R183" s="48"/>
      <c r="S183" s="48">
        <f t="shared" si="4"/>
        <v>3190117</v>
      </c>
      <c r="T183" s="44"/>
      <c r="U183" s="48">
        <v>270259</v>
      </c>
      <c r="W183" s="44">
        <f>+S183-'Stmt net assets'!O183-U183</f>
        <v>0</v>
      </c>
    </row>
    <row r="184" spans="1:25" s="65" customFormat="1" ht="12.75" customHeight="1">
      <c r="A184" s="44" t="s">
        <v>214</v>
      </c>
      <c r="B184" s="51"/>
      <c r="C184" s="44" t="s">
        <v>86</v>
      </c>
      <c r="D184" s="44"/>
      <c r="E184" s="48">
        <f>24540000+106779</f>
        <v>24646779</v>
      </c>
      <c r="F184" s="48"/>
      <c r="G184" s="48">
        <v>0</v>
      </c>
      <c r="H184" s="48"/>
      <c r="I184" s="48">
        <v>0</v>
      </c>
      <c r="J184" s="48"/>
      <c r="K184" s="48">
        <v>0</v>
      </c>
      <c r="L184" s="48"/>
      <c r="M184" s="48">
        <v>0</v>
      </c>
      <c r="N184" s="48"/>
      <c r="O184" s="48">
        <v>259768</v>
      </c>
      <c r="P184" s="48"/>
      <c r="Q184" s="48">
        <v>0</v>
      </c>
      <c r="R184" s="48"/>
      <c r="S184" s="48">
        <f t="shared" si="4"/>
        <v>24906547</v>
      </c>
      <c r="T184" s="44"/>
      <c r="U184" s="48">
        <v>1645343</v>
      </c>
      <c r="W184" s="44">
        <f>+S184-'Stmt net assets'!O184-U184</f>
        <v>0</v>
      </c>
    </row>
    <row r="185" spans="1:25" s="65" customFormat="1" ht="12.75" customHeight="1">
      <c r="A185" s="35" t="s">
        <v>215</v>
      </c>
      <c r="C185" s="35" t="s">
        <v>22</v>
      </c>
      <c r="D185" s="35"/>
      <c r="E185" s="48">
        <f>847488+4740387</f>
        <v>5587875</v>
      </c>
      <c r="F185" s="48"/>
      <c r="G185" s="48">
        <v>232509</v>
      </c>
      <c r="H185" s="48"/>
      <c r="I185" s="48">
        <v>0</v>
      </c>
      <c r="J185" s="48"/>
      <c r="K185" s="48">
        <v>0</v>
      </c>
      <c r="L185" s="48"/>
      <c r="M185" s="48">
        <v>730716</v>
      </c>
      <c r="N185" s="48"/>
      <c r="O185" s="48">
        <v>938209</v>
      </c>
      <c r="P185" s="48"/>
      <c r="Q185" s="48">
        <v>96471</v>
      </c>
      <c r="R185" s="48"/>
      <c r="S185" s="48">
        <f t="shared" si="4"/>
        <v>7585780</v>
      </c>
      <c r="T185" s="44"/>
      <c r="U185" s="48">
        <v>568246</v>
      </c>
      <c r="W185" s="44">
        <f>+S185-'Stmt net assets'!O185-U185</f>
        <v>0</v>
      </c>
    </row>
    <row r="186" spans="1:25" s="65" customFormat="1" ht="12.75" customHeight="1">
      <c r="A186" s="35" t="s">
        <v>216</v>
      </c>
      <c r="B186" s="51"/>
      <c r="C186" s="35" t="s">
        <v>45</v>
      </c>
      <c r="D186" s="35"/>
      <c r="E186" s="48">
        <v>1425000</v>
      </c>
      <c r="F186" s="48"/>
      <c r="G186" s="48">
        <v>0</v>
      </c>
      <c r="H186" s="48"/>
      <c r="I186" s="48">
        <v>0</v>
      </c>
      <c r="J186" s="48"/>
      <c r="K186" s="48">
        <v>0</v>
      </c>
      <c r="L186" s="48"/>
      <c r="M186" s="48">
        <v>39757</v>
      </c>
      <c r="N186" s="48"/>
      <c r="O186" s="48">
        <v>996254</v>
      </c>
      <c r="P186" s="48"/>
      <c r="Q186" s="48">
        <v>0</v>
      </c>
      <c r="R186" s="48"/>
      <c r="S186" s="48">
        <f t="shared" si="4"/>
        <v>2461011</v>
      </c>
      <c r="T186" s="44"/>
      <c r="U186" s="48">
        <v>480121</v>
      </c>
      <c r="W186" s="44">
        <f>+S186-'Stmt net assets'!O186-U186</f>
        <v>0</v>
      </c>
    </row>
    <row r="187" spans="1:25" s="65" customFormat="1" ht="12.75" customHeight="1">
      <c r="A187" s="35" t="s">
        <v>217</v>
      </c>
      <c r="B187" s="51"/>
      <c r="C187" s="35" t="s">
        <v>43</v>
      </c>
      <c r="D187" s="35"/>
      <c r="E187" s="48">
        <v>23384112</v>
      </c>
      <c r="F187" s="48"/>
      <c r="G187" s="48">
        <v>0</v>
      </c>
      <c r="H187" s="48"/>
      <c r="I187" s="48">
        <v>0</v>
      </c>
      <c r="J187" s="48"/>
      <c r="K187" s="48">
        <f>3292005+185884</f>
        <v>3477889</v>
      </c>
      <c r="L187" s="48"/>
      <c r="M187" s="48">
        <v>0</v>
      </c>
      <c r="N187" s="48"/>
      <c r="O187" s="48">
        <v>971661</v>
      </c>
      <c r="P187" s="48"/>
      <c r="Q187" s="48">
        <v>0</v>
      </c>
      <c r="R187" s="48"/>
      <c r="S187" s="48">
        <f t="shared" si="4"/>
        <v>27833662</v>
      </c>
      <c r="T187" s="44"/>
      <c r="U187" s="48">
        <v>2274928</v>
      </c>
      <c r="W187" s="44">
        <f>+S187-'Stmt net assets'!O187-U187</f>
        <v>0</v>
      </c>
    </row>
    <row r="188" spans="1:25" s="65" customFormat="1" ht="12.75" hidden="1" customHeight="1">
      <c r="A188" s="35" t="s">
        <v>218</v>
      </c>
      <c r="B188" s="51"/>
      <c r="C188" s="35" t="s">
        <v>27</v>
      </c>
      <c r="D188" s="35"/>
      <c r="E188" s="48">
        <v>0</v>
      </c>
      <c r="F188" s="48"/>
      <c r="G188" s="48">
        <v>0</v>
      </c>
      <c r="H188" s="48"/>
      <c r="I188" s="48">
        <v>0</v>
      </c>
      <c r="J188" s="48"/>
      <c r="K188" s="48">
        <v>0</v>
      </c>
      <c r="L188" s="48"/>
      <c r="M188" s="48">
        <v>0</v>
      </c>
      <c r="N188" s="48"/>
      <c r="O188" s="48">
        <v>0</v>
      </c>
      <c r="P188" s="48"/>
      <c r="Q188" s="48">
        <v>0</v>
      </c>
      <c r="R188" s="48"/>
      <c r="S188" s="48">
        <f t="shared" si="4"/>
        <v>0</v>
      </c>
      <c r="T188" s="44"/>
      <c r="U188" s="48">
        <v>0</v>
      </c>
      <c r="W188" s="44">
        <f>+S188-'Stmt net assets'!O188-U188</f>
        <v>0</v>
      </c>
    </row>
    <row r="189" spans="1:25" s="65" customFormat="1" ht="12.75" customHeight="1">
      <c r="A189" s="35" t="s">
        <v>219</v>
      </c>
      <c r="B189" s="51"/>
      <c r="C189" s="35" t="s">
        <v>199</v>
      </c>
      <c r="D189" s="35"/>
      <c r="E189" s="48">
        <v>1122000</v>
      </c>
      <c r="F189" s="48"/>
      <c r="G189" s="48">
        <v>29758</v>
      </c>
      <c r="H189" s="48"/>
      <c r="I189" s="48">
        <v>0</v>
      </c>
      <c r="J189" s="48"/>
      <c r="K189" s="48">
        <v>0</v>
      </c>
      <c r="L189" s="48"/>
      <c r="M189" s="48">
        <v>41370</v>
      </c>
      <c r="N189" s="48"/>
      <c r="O189" s="48">
        <v>127097</v>
      </c>
      <c r="P189" s="48"/>
      <c r="Q189" s="48">
        <v>0</v>
      </c>
      <c r="R189" s="48"/>
      <c r="S189" s="48">
        <f t="shared" si="4"/>
        <v>1320225</v>
      </c>
      <c r="T189" s="44"/>
      <c r="U189" s="48">
        <v>163022</v>
      </c>
      <c r="W189" s="44">
        <f>+S189-'Stmt net assets'!O189-U189</f>
        <v>0</v>
      </c>
    </row>
    <row r="190" spans="1:25" s="65" customFormat="1" ht="12.75" customHeight="1">
      <c r="A190" s="35" t="s">
        <v>220</v>
      </c>
      <c r="B190" s="51"/>
      <c r="C190" s="35" t="s">
        <v>66</v>
      </c>
      <c r="D190" s="35"/>
      <c r="E190" s="48">
        <v>1292510</v>
      </c>
      <c r="F190" s="48"/>
      <c r="G190" s="48">
        <v>0</v>
      </c>
      <c r="H190" s="48"/>
      <c r="I190" s="48">
        <v>0</v>
      </c>
      <c r="J190" s="48"/>
      <c r="K190" s="48">
        <v>0</v>
      </c>
      <c r="L190" s="48"/>
      <c r="M190" s="48">
        <v>4021</v>
      </c>
      <c r="N190" s="48"/>
      <c r="O190" s="48">
        <v>178383</v>
      </c>
      <c r="P190" s="48"/>
      <c r="Q190" s="48">
        <v>0</v>
      </c>
      <c r="R190" s="48"/>
      <c r="S190" s="48">
        <f t="shared" si="4"/>
        <v>1474914</v>
      </c>
      <c r="T190" s="44"/>
      <c r="U190" s="48">
        <v>376961</v>
      </c>
      <c r="W190" s="44">
        <f>+S190-'Stmt net assets'!O190-U190</f>
        <v>0</v>
      </c>
    </row>
    <row r="191" spans="1:25" s="66" customFormat="1" ht="12.75" customHeight="1">
      <c r="A191" s="64" t="s">
        <v>221</v>
      </c>
      <c r="C191" s="64" t="s">
        <v>27</v>
      </c>
      <c r="D191" s="64"/>
      <c r="E191" s="48">
        <v>17877319</v>
      </c>
      <c r="F191" s="48"/>
      <c r="G191" s="48">
        <v>590000</v>
      </c>
      <c r="H191" s="48"/>
      <c r="I191" s="48">
        <v>0</v>
      </c>
      <c r="J191" s="48"/>
      <c r="K191" s="48">
        <v>228754</v>
      </c>
      <c r="L191" s="48"/>
      <c r="M191" s="48">
        <v>0</v>
      </c>
      <c r="N191" s="48"/>
      <c r="O191" s="48">
        <v>4186930</v>
      </c>
      <c r="P191" s="48"/>
      <c r="Q191" s="48">
        <v>549685</v>
      </c>
      <c r="R191" s="48"/>
      <c r="S191" s="48">
        <f t="shared" si="4"/>
        <v>23432688</v>
      </c>
      <c r="T191" s="44"/>
      <c r="U191" s="48">
        <v>1635799</v>
      </c>
      <c r="W191" s="46">
        <f>+S191-'Stmt net assets'!O191-U191</f>
        <v>0</v>
      </c>
    </row>
    <row r="192" spans="1:25" s="65" customFormat="1" ht="12.75" customHeight="1">
      <c r="A192" s="35" t="s">
        <v>222</v>
      </c>
      <c r="B192" s="51"/>
      <c r="C192" s="35" t="s">
        <v>47</v>
      </c>
      <c r="D192" s="35"/>
      <c r="E192" s="48">
        <v>3170000</v>
      </c>
      <c r="F192" s="48"/>
      <c r="G192" s="48">
        <v>60000</v>
      </c>
      <c r="H192" s="48"/>
      <c r="I192" s="48">
        <v>0</v>
      </c>
      <c r="J192" s="48"/>
      <c r="K192" s="48">
        <v>0</v>
      </c>
      <c r="L192" s="48"/>
      <c r="M192" s="48">
        <v>0</v>
      </c>
      <c r="N192" s="48"/>
      <c r="O192" s="48">
        <v>431349</v>
      </c>
      <c r="P192" s="48"/>
      <c r="Q192" s="48">
        <v>173092</v>
      </c>
      <c r="R192" s="48"/>
      <c r="S192" s="48">
        <f t="shared" si="4"/>
        <v>3834441</v>
      </c>
      <c r="T192" s="44"/>
      <c r="U192" s="48">
        <v>270246</v>
      </c>
      <c r="W192" s="44">
        <f>+S192-'Stmt net assets'!O192-U192</f>
        <v>0</v>
      </c>
    </row>
    <row r="193" spans="1:32" s="65" customFormat="1" ht="12.75" customHeight="1">
      <c r="A193" s="35" t="s">
        <v>223</v>
      </c>
      <c r="B193" s="51"/>
      <c r="C193" s="35" t="s">
        <v>94</v>
      </c>
      <c r="D193" s="35"/>
      <c r="E193" s="48">
        <v>2035000</v>
      </c>
      <c r="F193" s="48"/>
      <c r="G193" s="48">
        <v>0</v>
      </c>
      <c r="H193" s="48"/>
      <c r="I193" s="48">
        <v>0</v>
      </c>
      <c r="J193" s="48"/>
      <c r="K193" s="48">
        <v>30798</v>
      </c>
      <c r="L193" s="48"/>
      <c r="M193" s="48">
        <v>0</v>
      </c>
      <c r="N193" s="48"/>
      <c r="O193" s="48">
        <v>1711674</v>
      </c>
      <c r="P193" s="48"/>
      <c r="Q193" s="48">
        <f>783019+21</f>
        <v>783040</v>
      </c>
      <c r="R193" s="48"/>
      <c r="S193" s="48">
        <f t="shared" si="4"/>
        <v>4560512</v>
      </c>
      <c r="T193" s="44"/>
      <c r="U193" s="48">
        <v>166891</v>
      </c>
      <c r="W193" s="44">
        <f>+S193-'Stmt net assets'!O193-U193</f>
        <v>0</v>
      </c>
      <c r="Y193" s="65">
        <f>166891+4393621</f>
        <v>4560512</v>
      </c>
    </row>
    <row r="194" spans="1:32" s="65" customFormat="1" ht="12.75" customHeight="1">
      <c r="A194" s="35" t="s">
        <v>76</v>
      </c>
      <c r="B194" s="51"/>
      <c r="C194" s="35" t="s">
        <v>132</v>
      </c>
      <c r="D194" s="35"/>
      <c r="E194" s="48">
        <v>16624377</v>
      </c>
      <c r="F194" s="48"/>
      <c r="G194" s="48">
        <v>4170986</v>
      </c>
      <c r="H194" s="48"/>
      <c r="I194" s="48">
        <v>0</v>
      </c>
      <c r="J194" s="48"/>
      <c r="K194" s="48">
        <v>767275</v>
      </c>
      <c r="L194" s="48"/>
      <c r="M194" s="48">
        <v>38073</v>
      </c>
      <c r="N194" s="48"/>
      <c r="O194" s="48">
        <v>2191316</v>
      </c>
      <c r="P194" s="48"/>
      <c r="Q194" s="48">
        <v>0</v>
      </c>
      <c r="R194" s="48"/>
      <c r="S194" s="48">
        <f t="shared" si="4"/>
        <v>23792027</v>
      </c>
      <c r="T194" s="44"/>
      <c r="U194" s="48">
        <v>1535274</v>
      </c>
      <c r="W194" s="44">
        <f>+S194-'Stmt net assets'!O194-U194</f>
        <v>0</v>
      </c>
    </row>
    <row r="195" spans="1:32" s="65" customFormat="1" ht="12.75" customHeight="1">
      <c r="A195" s="35" t="s">
        <v>224</v>
      </c>
      <c r="B195" s="51"/>
      <c r="C195" s="35" t="s">
        <v>27</v>
      </c>
      <c r="D195" s="35"/>
      <c r="E195" s="48">
        <v>12985036</v>
      </c>
      <c r="F195" s="48"/>
      <c r="G195" s="48">
        <v>2064000</v>
      </c>
      <c r="H195" s="48"/>
      <c r="I195" s="48">
        <v>0</v>
      </c>
      <c r="J195" s="48"/>
      <c r="K195" s="48">
        <v>22509</v>
      </c>
      <c r="L195" s="48"/>
      <c r="M195" s="48">
        <v>0</v>
      </c>
      <c r="N195" s="48"/>
      <c r="O195" s="48">
        <v>634900</v>
      </c>
      <c r="P195" s="48"/>
      <c r="Q195" s="48">
        <v>0</v>
      </c>
      <c r="R195" s="48"/>
      <c r="S195" s="48">
        <f t="shared" si="4"/>
        <v>15706445</v>
      </c>
      <c r="T195" s="44"/>
      <c r="U195" s="48">
        <v>1212270</v>
      </c>
      <c r="W195" s="44">
        <f>+S195-'Stmt net assets'!O195-U195</f>
        <v>0</v>
      </c>
    </row>
    <row r="196" spans="1:32" s="65" customFormat="1" ht="12.75" customHeight="1">
      <c r="A196" s="35" t="s">
        <v>225</v>
      </c>
      <c r="C196" s="35" t="s">
        <v>27</v>
      </c>
      <c r="D196" s="35"/>
      <c r="E196" s="48">
        <v>19071497</v>
      </c>
      <c r="F196" s="48"/>
      <c r="G196" s="48">
        <v>0</v>
      </c>
      <c r="H196" s="48"/>
      <c r="I196" s="48">
        <v>1615000</v>
      </c>
      <c r="J196" s="48"/>
      <c r="K196" s="48">
        <v>5675050</v>
      </c>
      <c r="L196" s="48"/>
      <c r="M196" s="48">
        <v>0</v>
      </c>
      <c r="N196" s="48"/>
      <c r="O196" s="48">
        <v>6207330</v>
      </c>
      <c r="P196" s="48"/>
      <c r="Q196" s="48">
        <v>674654</v>
      </c>
      <c r="R196" s="48"/>
      <c r="S196" s="48">
        <f t="shared" si="4"/>
        <v>33243531</v>
      </c>
      <c r="T196" s="44"/>
      <c r="U196" s="48">
        <v>3596055</v>
      </c>
      <c r="W196" s="44">
        <f>+S196-'Stmt net assets'!O196-U196</f>
        <v>0</v>
      </c>
    </row>
    <row r="197" spans="1:32" s="65" customFormat="1" ht="12.75" customHeight="1">
      <c r="A197" s="35" t="s">
        <v>226</v>
      </c>
      <c r="B197" s="51"/>
      <c r="C197" s="35" t="s">
        <v>45</v>
      </c>
      <c r="D197" s="35"/>
      <c r="E197" s="48">
        <v>11755186</v>
      </c>
      <c r="F197" s="48"/>
      <c r="G197" s="48">
        <v>60000</v>
      </c>
      <c r="H197" s="48"/>
      <c r="I197" s="48">
        <v>0</v>
      </c>
      <c r="J197" s="48"/>
      <c r="K197" s="48">
        <v>0</v>
      </c>
      <c r="L197" s="48"/>
      <c r="M197" s="48">
        <v>423436</v>
      </c>
      <c r="N197" s="48"/>
      <c r="O197" s="48">
        <v>3302152</v>
      </c>
      <c r="P197" s="48"/>
      <c r="Q197" s="48">
        <v>0</v>
      </c>
      <c r="R197" s="48"/>
      <c r="S197" s="48">
        <f t="shared" si="4"/>
        <v>15540774</v>
      </c>
      <c r="T197" s="44"/>
      <c r="U197" s="48">
        <v>1552796</v>
      </c>
      <c r="W197" s="44">
        <f>+S197-'Stmt net assets'!O197-U197</f>
        <v>0</v>
      </c>
    </row>
    <row r="198" spans="1:32" s="66" customFormat="1" ht="12.75" customHeight="1">
      <c r="A198" s="64" t="s">
        <v>227</v>
      </c>
      <c r="C198" s="64" t="s">
        <v>17</v>
      </c>
      <c r="D198" s="64"/>
      <c r="E198" s="48">
        <v>1185000</v>
      </c>
      <c r="F198" s="48"/>
      <c r="G198" s="48">
        <v>0</v>
      </c>
      <c r="H198" s="48"/>
      <c r="I198" s="48">
        <f>681905+751000+112240</f>
        <v>1545145</v>
      </c>
      <c r="J198" s="48"/>
      <c r="K198" s="48">
        <v>139227</v>
      </c>
      <c r="L198" s="48"/>
      <c r="M198" s="48">
        <v>48837</v>
      </c>
      <c r="N198" s="48"/>
      <c r="O198" s="48">
        <v>533475</v>
      </c>
      <c r="P198" s="48"/>
      <c r="Q198" s="48">
        <v>0</v>
      </c>
      <c r="R198" s="48"/>
      <c r="S198" s="48">
        <f>SUM(E198:Q198)</f>
        <v>3451684</v>
      </c>
      <c r="T198" s="44"/>
      <c r="U198" s="48">
        <v>980329</v>
      </c>
      <c r="V198" s="65"/>
      <c r="W198" s="44">
        <f>+S198-'Stmt net assets'!O198-U198</f>
        <v>0</v>
      </c>
      <c r="X198" s="65"/>
      <c r="Y198" s="65"/>
      <c r="Z198" s="65"/>
      <c r="AA198" s="65"/>
      <c r="AB198" s="65"/>
      <c r="AC198" s="65"/>
      <c r="AD198" s="65"/>
      <c r="AE198" s="65"/>
      <c r="AF198" s="65"/>
    </row>
    <row r="199" spans="1:32" s="65" customFormat="1" ht="12.75" customHeight="1">
      <c r="A199" s="35" t="s">
        <v>228</v>
      </c>
      <c r="B199" s="51"/>
      <c r="C199" s="35" t="s">
        <v>153</v>
      </c>
      <c r="D199" s="35"/>
      <c r="E199" s="48">
        <v>596106</v>
      </c>
      <c r="F199" s="48"/>
      <c r="G199" s="48">
        <v>199322</v>
      </c>
      <c r="H199" s="48"/>
      <c r="I199" s="48">
        <v>0</v>
      </c>
      <c r="J199" s="48"/>
      <c r="K199" s="48">
        <v>121838</v>
      </c>
      <c r="L199" s="48"/>
      <c r="M199" s="48">
        <v>0</v>
      </c>
      <c r="N199" s="48"/>
      <c r="O199" s="48">
        <v>361357</v>
      </c>
      <c r="P199" s="48"/>
      <c r="Q199" s="48">
        <v>1925</v>
      </c>
      <c r="R199" s="48"/>
      <c r="S199" s="48">
        <f t="shared" si="4"/>
        <v>1280548</v>
      </c>
      <c r="T199" s="44"/>
      <c r="U199" s="48">
        <v>264235</v>
      </c>
      <c r="W199" s="44">
        <f>+S199-'Stmt net assets'!O199-U199</f>
        <v>0</v>
      </c>
    </row>
    <row r="200" spans="1:32" s="65" customFormat="1" ht="12.75" customHeight="1">
      <c r="A200" s="35" t="s">
        <v>229</v>
      </c>
      <c r="B200" s="51"/>
      <c r="C200" s="35" t="s">
        <v>228</v>
      </c>
      <c r="D200" s="35"/>
      <c r="E200" s="48">
        <f>1525000+6100000</f>
        <v>7625000</v>
      </c>
      <c r="F200" s="48"/>
      <c r="G200" s="48">
        <v>0</v>
      </c>
      <c r="H200" s="48"/>
      <c r="I200" s="48">
        <v>0</v>
      </c>
      <c r="J200" s="48"/>
      <c r="K200" s="48">
        <v>0</v>
      </c>
      <c r="L200" s="48"/>
      <c r="M200" s="48">
        <v>0</v>
      </c>
      <c r="N200" s="48"/>
      <c r="O200" s="48">
        <v>1603063</v>
      </c>
      <c r="P200" s="48"/>
      <c r="Q200" s="48">
        <v>335097</v>
      </c>
      <c r="R200" s="48"/>
      <c r="S200" s="48">
        <f t="shared" si="4"/>
        <v>9563160</v>
      </c>
      <c r="T200" s="44"/>
      <c r="U200" s="48">
        <v>537900</v>
      </c>
      <c r="W200" s="44">
        <f>+S200-'Stmt net assets'!O200-U200</f>
        <v>0</v>
      </c>
    </row>
    <row r="201" spans="1:32" s="65" customFormat="1" ht="12.75" customHeight="1">
      <c r="A201" s="35" t="s">
        <v>230</v>
      </c>
      <c r="B201" s="51"/>
      <c r="C201" s="35" t="s">
        <v>45</v>
      </c>
      <c r="D201" s="35"/>
      <c r="E201" s="48">
        <v>155200</v>
      </c>
      <c r="F201" s="48"/>
      <c r="G201" s="48">
        <v>0</v>
      </c>
      <c r="H201" s="48"/>
      <c r="I201" s="48">
        <v>0</v>
      </c>
      <c r="J201" s="48"/>
      <c r="K201" s="48">
        <f>163138+393525+101967+231269+469504+162106</f>
        <v>1521509</v>
      </c>
      <c r="L201" s="48"/>
      <c r="M201" s="48">
        <v>26334</v>
      </c>
      <c r="N201" s="48"/>
      <c r="O201" s="48">
        <v>457592</v>
      </c>
      <c r="P201" s="48"/>
      <c r="Q201" s="48">
        <v>0</v>
      </c>
      <c r="R201" s="48"/>
      <c r="S201" s="48">
        <f t="shared" si="4"/>
        <v>2160635</v>
      </c>
      <c r="T201" s="44"/>
      <c r="U201" s="48">
        <v>295339</v>
      </c>
      <c r="W201" s="44">
        <f>+S201-'Stmt net assets'!O201-U201</f>
        <v>0</v>
      </c>
    </row>
    <row r="202" spans="1:32" s="65" customFormat="1" ht="12.75" customHeight="1">
      <c r="A202" s="35" t="s">
        <v>231</v>
      </c>
      <c r="B202" s="51"/>
      <c r="C202" s="35" t="s">
        <v>27</v>
      </c>
      <c r="D202" s="35"/>
      <c r="E202" s="48">
        <v>6720000</v>
      </c>
      <c r="F202" s="48"/>
      <c r="G202" s="48">
        <v>247805</v>
      </c>
      <c r="H202" s="48"/>
      <c r="I202" s="48">
        <v>0</v>
      </c>
      <c r="J202" s="48"/>
      <c r="K202" s="48">
        <f>11274426+320531</f>
        <v>11594957</v>
      </c>
      <c r="L202" s="48"/>
      <c r="M202" s="48">
        <v>0</v>
      </c>
      <c r="N202" s="48"/>
      <c r="O202" s="48">
        <v>3597723</v>
      </c>
      <c r="P202" s="48"/>
      <c r="Q202" s="48">
        <f>60000+10270</f>
        <v>70270</v>
      </c>
      <c r="R202" s="48"/>
      <c r="S202" s="48">
        <f t="shared" si="4"/>
        <v>22230755</v>
      </c>
      <c r="T202" s="44"/>
      <c r="U202" s="48">
        <v>3162608</v>
      </c>
      <c r="W202" s="44">
        <f>+S202-'Stmt net assets'!O202-U202</f>
        <v>0</v>
      </c>
    </row>
    <row r="203" spans="1:32" s="65" customFormat="1" ht="12.75" customHeight="1">
      <c r="A203" s="35" t="s">
        <v>232</v>
      </c>
      <c r="B203" s="51"/>
      <c r="C203" s="35" t="s">
        <v>27</v>
      </c>
      <c r="D203" s="35"/>
      <c r="E203" s="48">
        <v>7078990</v>
      </c>
      <c r="F203" s="48"/>
      <c r="G203" s="48">
        <v>230000</v>
      </c>
      <c r="H203" s="48"/>
      <c r="I203" s="48">
        <v>18558639</v>
      </c>
      <c r="J203" s="48"/>
      <c r="K203" s="48">
        <f>1869186+1810714</f>
        <v>3679900</v>
      </c>
      <c r="L203" s="48"/>
      <c r="M203" s="48">
        <v>254052</v>
      </c>
      <c r="N203" s="48"/>
      <c r="O203" s="48">
        <v>835678</v>
      </c>
      <c r="P203" s="48"/>
      <c r="Q203" s="48">
        <v>302301</v>
      </c>
      <c r="R203" s="48"/>
      <c r="S203" s="48">
        <f t="shared" si="4"/>
        <v>30939560</v>
      </c>
      <c r="T203" s="44"/>
      <c r="U203" s="48">
        <v>1488114</v>
      </c>
      <c r="W203" s="44">
        <f>+S203-'Stmt net assets'!O203-U203</f>
        <v>0</v>
      </c>
    </row>
    <row r="204" spans="1:32" s="65" customFormat="1" ht="12.75" customHeight="1">
      <c r="A204" s="35" t="s">
        <v>233</v>
      </c>
      <c r="B204" s="51"/>
      <c r="C204" s="35" t="s">
        <v>111</v>
      </c>
      <c r="D204" s="35"/>
      <c r="E204" s="48">
        <v>9729208</v>
      </c>
      <c r="F204" s="48"/>
      <c r="G204" s="48">
        <v>2595000</v>
      </c>
      <c r="H204" s="48"/>
      <c r="I204" s="48">
        <v>0</v>
      </c>
      <c r="J204" s="48"/>
      <c r="K204" s="48">
        <v>0</v>
      </c>
      <c r="L204" s="48"/>
      <c r="M204" s="48">
        <v>0</v>
      </c>
      <c r="N204" s="48"/>
      <c r="O204" s="48">
        <v>235493</v>
      </c>
      <c r="P204" s="48"/>
      <c r="Q204" s="48">
        <v>0</v>
      </c>
      <c r="R204" s="48"/>
      <c r="S204" s="48">
        <f t="shared" si="4"/>
        <v>12559701</v>
      </c>
      <c r="T204" s="44"/>
      <c r="U204" s="48">
        <v>1221747</v>
      </c>
      <c r="W204" s="44">
        <f>+S204-'Stmt net assets'!O204-U204</f>
        <v>0</v>
      </c>
    </row>
    <row r="205" spans="1:32" s="65" customFormat="1" ht="12.75" customHeight="1">
      <c r="A205" s="35" t="s">
        <v>234</v>
      </c>
      <c r="B205" s="51"/>
      <c r="C205" s="35" t="s">
        <v>45</v>
      </c>
      <c r="D205" s="35"/>
      <c r="E205" s="48">
        <v>3108264</v>
      </c>
      <c r="F205" s="48"/>
      <c r="G205" s="48">
        <v>0</v>
      </c>
      <c r="H205" s="48"/>
      <c r="I205" s="48">
        <v>0</v>
      </c>
      <c r="J205" s="48"/>
      <c r="K205" s="48">
        <v>0</v>
      </c>
      <c r="L205" s="48"/>
      <c r="M205" s="48">
        <v>26766</v>
      </c>
      <c r="N205" s="48"/>
      <c r="O205" s="48">
        <v>690063</v>
      </c>
      <c r="P205" s="48"/>
      <c r="Q205" s="48">
        <v>2599959</v>
      </c>
      <c r="R205" s="48"/>
      <c r="S205" s="48">
        <f t="shared" si="4"/>
        <v>6425052</v>
      </c>
      <c r="T205" s="44"/>
      <c r="U205" s="48">
        <v>577051</v>
      </c>
      <c r="W205" s="44">
        <f>+S205-'Stmt net assets'!O205-U205</f>
        <v>0</v>
      </c>
    </row>
    <row r="206" spans="1:32" s="65" customFormat="1" ht="12.75" customHeight="1">
      <c r="A206" s="35" t="s">
        <v>235</v>
      </c>
      <c r="B206" s="51"/>
      <c r="C206" s="35" t="s">
        <v>183</v>
      </c>
      <c r="D206" s="35"/>
      <c r="E206" s="48">
        <f>11907760-120760</f>
        <v>11787000</v>
      </c>
      <c r="F206" s="48"/>
      <c r="G206" s="48">
        <f>160657+45000</f>
        <v>205657</v>
      </c>
      <c r="H206" s="48"/>
      <c r="I206" s="48">
        <v>0</v>
      </c>
      <c r="J206" s="48"/>
      <c r="K206" s="48">
        <v>5000000</v>
      </c>
      <c r="L206" s="48"/>
      <c r="M206" s="48">
        <v>0</v>
      </c>
      <c r="N206" s="48"/>
      <c r="O206" s="48">
        <f>7682000-26</f>
        <v>7681974</v>
      </c>
      <c r="P206" s="48"/>
      <c r="Q206" s="48">
        <v>1712000</v>
      </c>
      <c r="R206" s="48"/>
      <c r="S206" s="48">
        <f t="shared" si="4"/>
        <v>26386631</v>
      </c>
      <c r="T206" s="44"/>
      <c r="U206" s="48">
        <v>3423136</v>
      </c>
      <c r="W206" s="44">
        <f>+S206-'Stmt net assets'!O206-U206</f>
        <v>0</v>
      </c>
    </row>
    <row r="207" spans="1:32" s="65" customFormat="1" ht="12.75" customHeight="1">
      <c r="A207" s="35" t="s">
        <v>236</v>
      </c>
      <c r="B207" s="51"/>
      <c r="C207" s="35" t="s">
        <v>45</v>
      </c>
      <c r="D207" s="35"/>
      <c r="E207" s="48">
        <v>2035000</v>
      </c>
      <c r="F207" s="48"/>
      <c r="G207" s="48">
        <v>0</v>
      </c>
      <c r="H207" s="48"/>
      <c r="I207" s="48">
        <v>0</v>
      </c>
      <c r="J207" s="48"/>
      <c r="K207" s="48">
        <v>30798</v>
      </c>
      <c r="L207" s="48"/>
      <c r="M207" s="48">
        <v>0</v>
      </c>
      <c r="N207" s="48"/>
      <c r="O207" s="48">
        <v>1711674</v>
      </c>
      <c r="P207" s="48"/>
      <c r="Q207" s="48">
        <f>783019+21</f>
        <v>783040</v>
      </c>
      <c r="R207" s="48"/>
      <c r="S207" s="48">
        <f t="shared" si="4"/>
        <v>4560512</v>
      </c>
      <c r="T207" s="44"/>
      <c r="U207" s="48">
        <v>166891</v>
      </c>
      <c r="W207" s="44">
        <f>+S207-'Stmt net assets'!O207-U207</f>
        <v>0</v>
      </c>
    </row>
    <row r="208" spans="1:32" s="65" customFormat="1" ht="12.75" customHeight="1">
      <c r="A208" s="35" t="s">
        <v>237</v>
      </c>
      <c r="B208" s="51"/>
      <c r="C208" s="35" t="s">
        <v>33</v>
      </c>
      <c r="D208" s="35"/>
      <c r="E208" s="48">
        <v>245000</v>
      </c>
      <c r="F208" s="48"/>
      <c r="G208" s="48">
        <v>0</v>
      </c>
      <c r="H208" s="48"/>
      <c r="I208" s="48">
        <v>0</v>
      </c>
      <c r="J208" s="48"/>
      <c r="K208" s="48">
        <f>208301+862491</f>
        <v>1070792</v>
      </c>
      <c r="L208" s="48"/>
      <c r="M208" s="48">
        <v>38797</v>
      </c>
      <c r="N208" s="48"/>
      <c r="O208" s="48">
        <v>80259</v>
      </c>
      <c r="P208" s="48"/>
      <c r="Q208" s="48">
        <v>0</v>
      </c>
      <c r="R208" s="48"/>
      <c r="S208" s="48">
        <f t="shared" si="4"/>
        <v>1434848</v>
      </c>
      <c r="T208" s="44"/>
      <c r="U208" s="48">
        <v>152773</v>
      </c>
      <c r="W208" s="44">
        <f>+S208-'Stmt net assets'!O208-U208</f>
        <v>0</v>
      </c>
    </row>
    <row r="209" spans="1:23" s="65" customFormat="1" ht="12.75" customHeight="1">
      <c r="A209" s="35" t="s">
        <v>238</v>
      </c>
      <c r="B209" s="51"/>
      <c r="C209" s="35" t="s">
        <v>239</v>
      </c>
      <c r="D209" s="35"/>
      <c r="E209" s="48">
        <v>0</v>
      </c>
      <c r="F209" s="48"/>
      <c r="G209" s="48">
        <v>0</v>
      </c>
      <c r="H209" s="48"/>
      <c r="I209" s="48">
        <v>0</v>
      </c>
      <c r="J209" s="48"/>
      <c r="K209" s="48">
        <v>0</v>
      </c>
      <c r="L209" s="48"/>
      <c r="M209" s="48">
        <v>0</v>
      </c>
      <c r="N209" s="48"/>
      <c r="O209" s="48">
        <v>391948</v>
      </c>
      <c r="P209" s="48"/>
      <c r="Q209" s="48">
        <v>0</v>
      </c>
      <c r="R209" s="48"/>
      <c r="S209" s="48">
        <f t="shared" si="4"/>
        <v>391948</v>
      </c>
      <c r="T209" s="44"/>
      <c r="U209" s="48">
        <v>88843</v>
      </c>
      <c r="W209" s="44">
        <f>+S209-'Stmt net assets'!O209-U209</f>
        <v>0</v>
      </c>
    </row>
    <row r="210" spans="1:23" s="65" customFormat="1" ht="12.75" customHeight="1">
      <c r="A210" s="35" t="s">
        <v>486</v>
      </c>
      <c r="B210" s="51"/>
      <c r="C210" s="35" t="s">
        <v>249</v>
      </c>
      <c r="D210" s="35"/>
      <c r="E210" s="48">
        <v>0</v>
      </c>
      <c r="F210" s="48"/>
      <c r="G210" s="48">
        <v>0</v>
      </c>
      <c r="H210" s="48"/>
      <c r="I210" s="48">
        <f>1990488+3500000</f>
        <v>5490488</v>
      </c>
      <c r="J210" s="48"/>
      <c r="K210" s="48">
        <v>1216006</v>
      </c>
      <c r="L210" s="48"/>
      <c r="M210" s="48">
        <v>13311</v>
      </c>
      <c r="N210" s="48"/>
      <c r="O210" s="48">
        <v>1565413</v>
      </c>
      <c r="P210" s="48"/>
      <c r="Q210" s="48">
        <v>0</v>
      </c>
      <c r="R210" s="48"/>
      <c r="S210" s="48">
        <f>SUM(E210:Q210)</f>
        <v>8285218</v>
      </c>
      <c r="T210" s="44"/>
      <c r="U210" s="48">
        <v>274064</v>
      </c>
      <c r="W210" s="44">
        <f>+S210-'Stmt net assets'!O210-U210</f>
        <v>0</v>
      </c>
    </row>
    <row r="211" spans="1:23" s="65" customFormat="1" ht="12.75" customHeight="1">
      <c r="A211" s="35" t="s">
        <v>240</v>
      </c>
      <c r="B211" s="51"/>
      <c r="C211" s="35" t="s">
        <v>13</v>
      </c>
      <c r="D211" s="35"/>
      <c r="E211" s="48">
        <v>16103143</v>
      </c>
      <c r="F211" s="48"/>
      <c r="G211" s="48">
        <v>0</v>
      </c>
      <c r="H211" s="48"/>
      <c r="I211" s="48">
        <v>7925000</v>
      </c>
      <c r="J211" s="48"/>
      <c r="K211" s="48">
        <v>0</v>
      </c>
      <c r="L211" s="48"/>
      <c r="M211" s="48">
        <v>1338319</v>
      </c>
      <c r="N211" s="48"/>
      <c r="O211" s="48">
        <v>4692528</v>
      </c>
      <c r="P211" s="48"/>
      <c r="Q211" s="48">
        <v>0</v>
      </c>
      <c r="R211" s="48"/>
      <c r="S211" s="48">
        <f t="shared" si="4"/>
        <v>30058990</v>
      </c>
      <c r="T211" s="44"/>
      <c r="U211" s="48">
        <v>2052606</v>
      </c>
      <c r="W211" s="44">
        <f>+S211-'Stmt net assets'!O211-U211</f>
        <v>0</v>
      </c>
    </row>
    <row r="212" spans="1:23" s="66" customFormat="1" ht="12.75" customHeight="1">
      <c r="A212" s="35" t="s">
        <v>241</v>
      </c>
      <c r="B212" s="51"/>
      <c r="C212" s="35" t="s">
        <v>22</v>
      </c>
      <c r="D212" s="35"/>
      <c r="E212" s="48">
        <v>2725000</v>
      </c>
      <c r="F212" s="48"/>
      <c r="G212" s="48">
        <v>0</v>
      </c>
      <c r="H212" s="48"/>
      <c r="I212" s="48">
        <v>0</v>
      </c>
      <c r="J212" s="48"/>
      <c r="K212" s="48">
        <v>141120</v>
      </c>
      <c r="L212" s="48"/>
      <c r="M212" s="48">
        <v>678790</v>
      </c>
      <c r="N212" s="48"/>
      <c r="O212" s="48">
        <v>288659</v>
      </c>
      <c r="P212" s="48"/>
      <c r="Q212" s="48">
        <v>1754101</v>
      </c>
      <c r="R212" s="48"/>
      <c r="S212" s="48">
        <f t="shared" si="4"/>
        <v>5587670</v>
      </c>
      <c r="T212" s="44"/>
      <c r="U212" s="48">
        <v>743660</v>
      </c>
      <c r="V212" s="65"/>
      <c r="W212" s="44">
        <f>+S212-'Stmt net assets'!O212-U212</f>
        <v>0</v>
      </c>
    </row>
    <row r="213" spans="1:23" s="65" customFormat="1" ht="12.75" customHeight="1">
      <c r="A213" s="35" t="s">
        <v>242</v>
      </c>
      <c r="B213" s="51"/>
      <c r="C213" s="35" t="s">
        <v>27</v>
      </c>
      <c r="D213" s="35"/>
      <c r="E213" s="48">
        <f>58035000+793655</f>
        <v>58828655</v>
      </c>
      <c r="F213" s="48"/>
      <c r="G213" s="48">
        <v>1190000</v>
      </c>
      <c r="H213" s="48"/>
      <c r="I213" s="48">
        <v>0</v>
      </c>
      <c r="J213" s="48"/>
      <c r="K213" s="48">
        <v>118688</v>
      </c>
      <c r="L213" s="48"/>
      <c r="M213" s="48">
        <v>0</v>
      </c>
      <c r="N213" s="48"/>
      <c r="O213" s="48">
        <v>3115256</v>
      </c>
      <c r="P213" s="48"/>
      <c r="Q213" s="48">
        <v>538036</v>
      </c>
      <c r="R213" s="48"/>
      <c r="S213" s="48">
        <f t="shared" si="4"/>
        <v>63790635</v>
      </c>
      <c r="T213" s="44"/>
      <c r="U213" s="48">
        <v>4046181</v>
      </c>
      <c r="W213" s="44">
        <f>+S213-'Stmt net assets'!O213-U213</f>
        <v>0</v>
      </c>
    </row>
    <row r="214" spans="1:23" s="65" customFormat="1" ht="12.75" customHeight="1">
      <c r="A214" s="35" t="s">
        <v>243</v>
      </c>
      <c r="C214" s="35" t="s">
        <v>163</v>
      </c>
      <c r="D214" s="35"/>
      <c r="E214" s="48">
        <v>14000000</v>
      </c>
      <c r="F214" s="48"/>
      <c r="G214" s="48">
        <v>0</v>
      </c>
      <c r="H214" s="48"/>
      <c r="I214" s="48">
        <v>244351</v>
      </c>
      <c r="J214" s="48"/>
      <c r="K214" s="48">
        <v>0</v>
      </c>
      <c r="L214" s="48"/>
      <c r="M214" s="48">
        <v>0</v>
      </c>
      <c r="N214" s="48"/>
      <c r="O214" s="48">
        <v>1497570</v>
      </c>
      <c r="P214" s="48"/>
      <c r="Q214" s="48">
        <v>0</v>
      </c>
      <c r="R214" s="48"/>
      <c r="S214" s="48">
        <f t="shared" ref="S214" si="5">SUM(E214:Q214)</f>
        <v>15741921</v>
      </c>
      <c r="T214" s="44"/>
      <c r="U214" s="48">
        <v>1081880</v>
      </c>
      <c r="W214" s="44">
        <f>+S214-'Stmt net assets'!O214-U214</f>
        <v>0</v>
      </c>
    </row>
    <row r="215" spans="1:23" s="65" customFormat="1" ht="12.75" customHeight="1">
      <c r="A215" s="35" t="s">
        <v>244</v>
      </c>
      <c r="B215" s="51"/>
      <c r="C215" s="35" t="s">
        <v>13</v>
      </c>
      <c r="D215" s="35"/>
      <c r="E215" s="48">
        <f>7100000+103146-19994</f>
        <v>7183152</v>
      </c>
      <c r="F215" s="48"/>
      <c r="G215" s="48">
        <v>740000</v>
      </c>
      <c r="H215" s="48"/>
      <c r="I215" s="48">
        <v>3800000</v>
      </c>
      <c r="J215" s="48"/>
      <c r="K215" s="48">
        <v>0</v>
      </c>
      <c r="L215" s="48"/>
      <c r="M215" s="48">
        <v>231324</v>
      </c>
      <c r="N215" s="48"/>
      <c r="O215" s="48">
        <v>887998</v>
      </c>
      <c r="P215" s="48"/>
      <c r="Q215" s="48">
        <v>0</v>
      </c>
      <c r="R215" s="48"/>
      <c r="S215" s="48">
        <f t="shared" ref="S215:S256" si="6">SUM(E215:Q215)</f>
        <v>12842474</v>
      </c>
      <c r="T215" s="44"/>
      <c r="U215" s="48">
        <v>912181</v>
      </c>
      <c r="W215" s="44">
        <f>+S215-'Stmt net assets'!O215-U215</f>
        <v>0</v>
      </c>
    </row>
    <row r="216" spans="1:23" s="65" customFormat="1" ht="12.75" customHeight="1">
      <c r="A216" s="35" t="s">
        <v>341</v>
      </c>
      <c r="B216" s="51"/>
      <c r="C216" s="35" t="s">
        <v>110</v>
      </c>
      <c r="D216" s="35"/>
      <c r="E216" s="48">
        <v>0</v>
      </c>
      <c r="F216" s="48"/>
      <c r="G216" s="48">
        <v>380000</v>
      </c>
      <c r="H216" s="48"/>
      <c r="I216" s="48">
        <v>0</v>
      </c>
      <c r="J216" s="48"/>
      <c r="K216" s="48">
        <v>0</v>
      </c>
      <c r="L216" s="48"/>
      <c r="M216" s="48">
        <v>129228</v>
      </c>
      <c r="N216" s="48"/>
      <c r="O216" s="48">
        <v>1016475</v>
      </c>
      <c r="P216" s="48"/>
      <c r="Q216" s="48">
        <v>9051</v>
      </c>
      <c r="R216" s="48"/>
      <c r="S216" s="48">
        <f t="shared" si="6"/>
        <v>1534754</v>
      </c>
      <c r="T216" s="44"/>
      <c r="U216" s="48">
        <v>666119</v>
      </c>
      <c r="W216" s="44">
        <f>+S216-'Stmt net assets'!O216-U216</f>
        <v>0</v>
      </c>
    </row>
    <row r="217" spans="1:23" s="65" customFormat="1" ht="12.75" customHeight="1">
      <c r="A217" s="35" t="s">
        <v>246</v>
      </c>
      <c r="B217" s="51"/>
      <c r="C217" s="35" t="s">
        <v>209</v>
      </c>
      <c r="D217" s="35"/>
      <c r="E217" s="48">
        <v>4045000</v>
      </c>
      <c r="F217" s="48"/>
      <c r="G217" s="48">
        <v>755000</v>
      </c>
      <c r="H217" s="48"/>
      <c r="I217" s="48">
        <v>0</v>
      </c>
      <c r="J217" s="48"/>
      <c r="K217" s="48">
        <v>0</v>
      </c>
      <c r="L217" s="48"/>
      <c r="M217" s="48">
        <v>6665</v>
      </c>
      <c r="N217" s="48"/>
      <c r="O217" s="48">
        <v>894875</v>
      </c>
      <c r="P217" s="48"/>
      <c r="Q217" s="48">
        <v>0</v>
      </c>
      <c r="R217" s="48"/>
      <c r="S217" s="48">
        <f t="shared" si="6"/>
        <v>5701540</v>
      </c>
      <c r="T217" s="44"/>
      <c r="U217" s="48">
        <v>1098058</v>
      </c>
      <c r="W217" s="44">
        <f>+S217-'Stmt net assets'!O217-U217</f>
        <v>0</v>
      </c>
    </row>
    <row r="218" spans="1:23" s="65" customFormat="1" ht="12.75" customHeight="1">
      <c r="A218" s="35" t="s">
        <v>247</v>
      </c>
      <c r="C218" s="35" t="s">
        <v>163</v>
      </c>
      <c r="D218" s="35"/>
      <c r="E218" s="48">
        <f>120383000</f>
        <v>120383000</v>
      </c>
      <c r="F218" s="48"/>
      <c r="G218" s="48">
        <v>41200000</v>
      </c>
      <c r="H218" s="48"/>
      <c r="I218" s="48">
        <v>0</v>
      </c>
      <c r="J218" s="48"/>
      <c r="K218" s="48">
        <v>50579000</v>
      </c>
      <c r="L218" s="48"/>
      <c r="M218" s="48">
        <v>2853000</v>
      </c>
      <c r="N218" s="48"/>
      <c r="O218" s="48">
        <v>45060000</v>
      </c>
      <c r="P218" s="48"/>
      <c r="Q218" s="48">
        <v>13259000</v>
      </c>
      <c r="R218" s="48"/>
      <c r="S218" s="48">
        <f t="shared" si="6"/>
        <v>273334000</v>
      </c>
      <c r="T218" s="44"/>
      <c r="U218" s="48">
        <f>40900000+57000</f>
        <v>40957000</v>
      </c>
      <c r="W218" s="44">
        <f>+S218-'Stmt net assets'!O218-U218</f>
        <v>0</v>
      </c>
    </row>
    <row r="219" spans="1:23" s="65" customFormat="1" ht="12.75" customHeight="1">
      <c r="A219" s="35" t="s">
        <v>248</v>
      </c>
      <c r="C219" s="35" t="s">
        <v>249</v>
      </c>
      <c r="D219" s="35"/>
      <c r="E219" s="48">
        <v>102704</v>
      </c>
      <c r="F219" s="48"/>
      <c r="G219" s="48">
        <v>0</v>
      </c>
      <c r="H219" s="48"/>
      <c r="I219" s="48">
        <v>0</v>
      </c>
      <c r="J219" s="48"/>
      <c r="K219" s="48">
        <v>746634</v>
      </c>
      <c r="L219" s="48"/>
      <c r="M219" s="48">
        <v>0</v>
      </c>
      <c r="N219" s="48"/>
      <c r="O219" s="48">
        <v>407329</v>
      </c>
      <c r="P219" s="48"/>
      <c r="Q219" s="48">
        <v>0</v>
      </c>
      <c r="R219" s="48"/>
      <c r="S219" s="48">
        <f t="shared" si="6"/>
        <v>1256667</v>
      </c>
      <c r="T219" s="44"/>
      <c r="U219" s="48">
        <v>137806</v>
      </c>
      <c r="W219" s="44">
        <f>+S219-'Stmt net assets'!O219-U219</f>
        <v>0</v>
      </c>
    </row>
    <row r="220" spans="1:23" s="65" customFormat="1" ht="12.75" customHeight="1">
      <c r="A220" s="35" t="s">
        <v>250</v>
      </c>
      <c r="B220" s="51"/>
      <c r="C220" s="35" t="s">
        <v>103</v>
      </c>
      <c r="D220" s="35"/>
      <c r="E220" s="48">
        <f>265337+74190+13462</f>
        <v>352989</v>
      </c>
      <c r="F220" s="48"/>
      <c r="G220" s="48">
        <v>0</v>
      </c>
      <c r="H220" s="48"/>
      <c r="I220" s="48">
        <v>0</v>
      </c>
      <c r="J220" s="48"/>
      <c r="K220" s="48">
        <v>0</v>
      </c>
      <c r="L220" s="48"/>
      <c r="M220" s="48">
        <v>0</v>
      </c>
      <c r="N220" s="48"/>
      <c r="O220" s="48">
        <v>190694</v>
      </c>
      <c r="P220" s="48"/>
      <c r="Q220" s="48">
        <v>0</v>
      </c>
      <c r="R220" s="48"/>
      <c r="S220" s="48">
        <f t="shared" si="6"/>
        <v>543683</v>
      </c>
      <c r="T220" s="44"/>
      <c r="U220" s="48">
        <v>170508</v>
      </c>
      <c r="W220" s="44">
        <f>+S220-'Stmt net assets'!O220-U220</f>
        <v>0</v>
      </c>
    </row>
    <row r="221" spans="1:23" s="65" customFormat="1" ht="12.75" customHeight="1">
      <c r="A221" s="35"/>
      <c r="B221" s="51"/>
      <c r="C221" s="35"/>
      <c r="D221" s="35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4"/>
      <c r="U221" s="48" t="s">
        <v>484</v>
      </c>
      <c r="W221" s="44"/>
    </row>
    <row r="222" spans="1:23" s="65" customFormat="1" ht="12.75" customHeight="1">
      <c r="A222" s="35" t="s">
        <v>251</v>
      </c>
      <c r="B222" s="51"/>
      <c r="C222" s="35" t="s">
        <v>66</v>
      </c>
      <c r="D222" s="35"/>
      <c r="E222" s="68">
        <f>2980000+4870000</f>
        <v>7850000</v>
      </c>
      <c r="F222" s="68"/>
      <c r="G222" s="68">
        <v>0</v>
      </c>
      <c r="H222" s="68"/>
      <c r="I222" s="68">
        <v>0</v>
      </c>
      <c r="J222" s="68"/>
      <c r="K222" s="68">
        <v>0</v>
      </c>
      <c r="L222" s="68"/>
      <c r="M222" s="68">
        <v>346968</v>
      </c>
      <c r="N222" s="68"/>
      <c r="O222" s="68">
        <v>919103</v>
      </c>
      <c r="P222" s="68"/>
      <c r="Q222" s="68">
        <v>0</v>
      </c>
      <c r="R222" s="68"/>
      <c r="S222" s="68">
        <f t="shared" si="6"/>
        <v>9116071</v>
      </c>
      <c r="T222" s="46"/>
      <c r="U222" s="68">
        <v>795288</v>
      </c>
      <c r="W222" s="44">
        <f>+S222-'Stmt net assets'!O222-U222</f>
        <v>0</v>
      </c>
    </row>
    <row r="223" spans="1:23" s="65" customFormat="1" ht="12.75" customHeight="1">
      <c r="A223" s="35" t="s">
        <v>252</v>
      </c>
      <c r="B223" s="51"/>
      <c r="C223" s="35" t="s">
        <v>209</v>
      </c>
      <c r="D223" s="35"/>
      <c r="E223" s="48">
        <v>10105000</v>
      </c>
      <c r="F223" s="48"/>
      <c r="G223" s="48">
        <v>20000</v>
      </c>
      <c r="H223" s="48"/>
      <c r="I223" s="48">
        <v>0</v>
      </c>
      <c r="J223" s="48"/>
      <c r="K223" s="48">
        <v>0</v>
      </c>
      <c r="L223" s="48"/>
      <c r="M223" s="48">
        <v>0</v>
      </c>
      <c r="N223" s="48"/>
      <c r="O223" s="48">
        <v>1914759</v>
      </c>
      <c r="P223" s="48"/>
      <c r="Q223" s="48">
        <v>0</v>
      </c>
      <c r="R223" s="48"/>
      <c r="S223" s="48">
        <f t="shared" si="6"/>
        <v>12039759</v>
      </c>
      <c r="T223" s="44"/>
      <c r="U223" s="48">
        <v>1071030</v>
      </c>
      <c r="W223" s="44">
        <f>+S223-'Stmt net assets'!O223-U223</f>
        <v>0</v>
      </c>
    </row>
    <row r="224" spans="1:23" s="65" customFormat="1" ht="12.75" customHeight="1">
      <c r="A224" s="35" t="s">
        <v>253</v>
      </c>
      <c r="B224" s="51"/>
      <c r="C224" s="35" t="s">
        <v>13</v>
      </c>
      <c r="D224" s="35"/>
      <c r="E224" s="48">
        <v>11390024</v>
      </c>
      <c r="F224" s="48"/>
      <c r="G224" s="48">
        <v>318000</v>
      </c>
      <c r="H224" s="48"/>
      <c r="I224" s="48">
        <v>0</v>
      </c>
      <c r="J224" s="48"/>
      <c r="K224" s="48">
        <f>1270109+902008+305883+343808</f>
        <v>2821808</v>
      </c>
      <c r="L224" s="48"/>
      <c r="M224" s="48">
        <v>22083</v>
      </c>
      <c r="N224" s="48"/>
      <c r="O224" s="48">
        <v>1652519</v>
      </c>
      <c r="P224" s="48"/>
      <c r="Q224" s="48">
        <v>0</v>
      </c>
      <c r="R224" s="48"/>
      <c r="S224" s="48">
        <f>SUM(E224:Q224)</f>
        <v>16204434</v>
      </c>
      <c r="T224" s="44"/>
      <c r="U224" s="48">
        <v>1572649</v>
      </c>
      <c r="W224" s="44">
        <f>+S224-'Stmt net assets'!O224-U224</f>
        <v>0</v>
      </c>
    </row>
    <row r="225" spans="1:25" s="65" customFormat="1" ht="12" customHeight="1">
      <c r="A225" s="35" t="s">
        <v>254</v>
      </c>
      <c r="B225" s="51"/>
      <c r="C225" s="35" t="s">
        <v>89</v>
      </c>
      <c r="D225" s="35"/>
      <c r="E225" s="48">
        <v>0</v>
      </c>
      <c r="F225" s="48"/>
      <c r="G225" s="48">
        <v>0</v>
      </c>
      <c r="H225" s="48"/>
      <c r="I225" s="48">
        <v>0</v>
      </c>
      <c r="J225" s="48"/>
      <c r="K225" s="48">
        <f>320000+536204+295347+293874</f>
        <v>1445425</v>
      </c>
      <c r="L225" s="48"/>
      <c r="M225" s="48">
        <v>0</v>
      </c>
      <c r="N225" s="48"/>
      <c r="O225" s="48">
        <v>188201</v>
      </c>
      <c r="P225" s="48"/>
      <c r="Q225" s="48">
        <v>296569</v>
      </c>
      <c r="R225" s="48"/>
      <c r="S225" s="48">
        <f t="shared" si="6"/>
        <v>1930195</v>
      </c>
      <c r="T225" s="44"/>
      <c r="U225" s="48">
        <v>56894</v>
      </c>
      <c r="W225" s="44">
        <f>+S225-'Stmt net assets'!O225-U225</f>
        <v>0</v>
      </c>
    </row>
    <row r="226" spans="1:25" s="65" customFormat="1" ht="12.75" customHeight="1">
      <c r="A226" s="35" t="s">
        <v>159</v>
      </c>
      <c r="C226" s="35" t="s">
        <v>66</v>
      </c>
      <c r="D226" s="35"/>
      <c r="E226" s="48">
        <v>1314250</v>
      </c>
      <c r="F226" s="48"/>
      <c r="G226" s="48">
        <v>0</v>
      </c>
      <c r="H226" s="48"/>
      <c r="I226" s="48">
        <v>0</v>
      </c>
      <c r="J226" s="48"/>
      <c r="K226" s="48">
        <v>0</v>
      </c>
      <c r="L226" s="48"/>
      <c r="M226" s="48">
        <v>63747</v>
      </c>
      <c r="N226" s="48"/>
      <c r="O226" s="48">
        <v>73583</v>
      </c>
      <c r="P226" s="48"/>
      <c r="Q226" s="48">
        <v>0</v>
      </c>
      <c r="R226" s="48"/>
      <c r="S226" s="48">
        <f>SUM(E226:Q226)</f>
        <v>1451580</v>
      </c>
      <c r="T226" s="44"/>
      <c r="U226" s="48">
        <v>140500</v>
      </c>
      <c r="W226" s="44">
        <f>+S226-'Stmt net assets'!O226-U226</f>
        <v>0</v>
      </c>
    </row>
    <row r="227" spans="1:25" s="65" customFormat="1" ht="12.75" customHeight="1">
      <c r="A227" s="35" t="s">
        <v>255</v>
      </c>
      <c r="B227" s="51"/>
      <c r="C227" s="35" t="s">
        <v>27</v>
      </c>
      <c r="D227" s="35"/>
      <c r="E227" s="48">
        <v>630000</v>
      </c>
      <c r="F227" s="48"/>
      <c r="G227" s="48">
        <v>0</v>
      </c>
      <c r="H227" s="48"/>
      <c r="I227" s="48">
        <v>2914000</v>
      </c>
      <c r="J227" s="48"/>
      <c r="K227" s="48">
        <f>32270+15068+232292+233070</f>
        <v>512700</v>
      </c>
      <c r="L227" s="48"/>
      <c r="M227" s="48">
        <f>63893+91615+28583+89177+108868</f>
        <v>382136</v>
      </c>
      <c r="N227" s="48"/>
      <c r="O227" s="48">
        <v>1528358</v>
      </c>
      <c r="P227" s="48"/>
      <c r="Q227" s="48">
        <v>278679</v>
      </c>
      <c r="R227" s="48"/>
      <c r="S227" s="48">
        <f t="shared" si="6"/>
        <v>6245873</v>
      </c>
      <c r="T227" s="44"/>
      <c r="U227" s="48">
        <v>4001469</v>
      </c>
      <c r="W227" s="44">
        <f>+S227-'Stmt net assets'!O227-U227</f>
        <v>0</v>
      </c>
    </row>
    <row r="228" spans="1:25" s="65" customFormat="1" ht="12.75" customHeight="1">
      <c r="A228" s="35" t="s">
        <v>256</v>
      </c>
      <c r="C228" s="35" t="s">
        <v>43</v>
      </c>
      <c r="D228" s="35"/>
      <c r="E228" s="48">
        <v>36054333</v>
      </c>
      <c r="F228" s="48"/>
      <c r="G228" s="48">
        <v>0</v>
      </c>
      <c r="H228" s="48"/>
      <c r="I228" s="48">
        <v>0</v>
      </c>
      <c r="J228" s="48"/>
      <c r="K228" s="48">
        <v>0</v>
      </c>
      <c r="L228" s="48"/>
      <c r="M228" s="48">
        <v>0</v>
      </c>
      <c r="N228" s="48"/>
      <c r="O228" s="48">
        <v>3076352</v>
      </c>
      <c r="P228" s="48"/>
      <c r="Q228" s="48">
        <v>0</v>
      </c>
      <c r="R228" s="48"/>
      <c r="S228" s="48">
        <f>SUM(E228:Q228)</f>
        <v>39130685</v>
      </c>
      <c r="T228" s="44"/>
      <c r="U228" s="48">
        <v>3537460</v>
      </c>
      <c r="W228" s="44">
        <f>+S228-'Stmt net assets'!O228-U228</f>
        <v>0</v>
      </c>
    </row>
    <row r="229" spans="1:25" s="65" customFormat="1" ht="12.75" customHeight="1">
      <c r="A229" s="35" t="s">
        <v>257</v>
      </c>
      <c r="B229" s="51"/>
      <c r="C229" s="35" t="s">
        <v>258</v>
      </c>
      <c r="D229" s="35"/>
      <c r="E229" s="48">
        <v>454000</v>
      </c>
      <c r="F229" s="48"/>
      <c r="G229" s="48">
        <v>0</v>
      </c>
      <c r="H229" s="48"/>
      <c r="I229" s="48">
        <v>0</v>
      </c>
      <c r="J229" s="48"/>
      <c r="K229" s="48">
        <f>181288+72309+152314+442769+4794221+162000+189638+55390</f>
        <v>6049929</v>
      </c>
      <c r="L229" s="48"/>
      <c r="M229" s="48">
        <v>13446</v>
      </c>
      <c r="N229" s="48"/>
      <c r="O229" s="48">
        <v>136680</v>
      </c>
      <c r="P229" s="48"/>
      <c r="Q229" s="48">
        <v>0</v>
      </c>
      <c r="R229" s="48"/>
      <c r="S229" s="48">
        <f>SUM(E229:Q229)</f>
        <v>6654055</v>
      </c>
      <c r="T229" s="44"/>
      <c r="U229" s="48">
        <v>577735</v>
      </c>
      <c r="W229" s="44">
        <f>+S229-'Stmt net assets'!O229-U229</f>
        <v>0</v>
      </c>
    </row>
    <row r="230" spans="1:25" s="65" customFormat="1" ht="12.75" customHeight="1">
      <c r="A230" s="35" t="s">
        <v>259</v>
      </c>
      <c r="B230" s="51"/>
      <c r="C230" s="35" t="s">
        <v>369</v>
      </c>
      <c r="D230" s="35"/>
      <c r="E230" s="48">
        <f>2651081-446704</f>
        <v>2204377</v>
      </c>
      <c r="F230" s="48"/>
      <c r="G230" s="48">
        <v>0</v>
      </c>
      <c r="H230" s="48"/>
      <c r="I230" s="48">
        <v>0</v>
      </c>
      <c r="J230" s="48"/>
      <c r="K230" s="48">
        <v>446704</v>
      </c>
      <c r="L230" s="48"/>
      <c r="M230" s="48">
        <v>0</v>
      </c>
      <c r="N230" s="48"/>
      <c r="O230" s="48">
        <v>810706</v>
      </c>
      <c r="P230" s="48"/>
      <c r="Q230" s="48">
        <f>1220778+257906</f>
        <v>1478684</v>
      </c>
      <c r="R230" s="48"/>
      <c r="S230" s="48">
        <f>SUM(E230:Q230)</f>
        <v>4940471</v>
      </c>
      <c r="T230" s="44"/>
      <c r="U230" s="48">
        <v>763564</v>
      </c>
      <c r="W230" s="44">
        <f>+S230-'Stmt net assets'!O230-U230</f>
        <v>0</v>
      </c>
    </row>
    <row r="231" spans="1:25" s="65" customFormat="1" ht="12.75" customHeight="1">
      <c r="A231" s="35" t="s">
        <v>261</v>
      </c>
      <c r="C231" s="35" t="s">
        <v>66</v>
      </c>
      <c r="D231" s="35"/>
      <c r="E231" s="48">
        <v>13083289</v>
      </c>
      <c r="F231" s="48"/>
      <c r="G231" s="48">
        <v>0</v>
      </c>
      <c r="H231" s="48"/>
      <c r="I231" s="48">
        <v>0</v>
      </c>
      <c r="J231" s="48"/>
      <c r="K231" s="48">
        <v>0</v>
      </c>
      <c r="L231" s="48"/>
      <c r="M231" s="48">
        <v>657659</v>
      </c>
      <c r="N231" s="48"/>
      <c r="O231" s="48">
        <v>1416444</v>
      </c>
      <c r="P231" s="48"/>
      <c r="Q231" s="48">
        <v>0</v>
      </c>
      <c r="R231" s="48"/>
      <c r="S231" s="48">
        <f t="shared" si="6"/>
        <v>15157392</v>
      </c>
      <c r="T231" s="44"/>
      <c r="U231" s="48">
        <v>1756293</v>
      </c>
      <c r="W231" s="44">
        <f>+S231-'Stmt net assets'!O231-U231</f>
        <v>0</v>
      </c>
    </row>
    <row r="232" spans="1:25" s="65" customFormat="1" ht="12.75" customHeight="1">
      <c r="A232" s="35" t="s">
        <v>262</v>
      </c>
      <c r="C232" s="35" t="s">
        <v>132</v>
      </c>
      <c r="D232" s="35"/>
      <c r="E232" s="48">
        <v>898730</v>
      </c>
      <c r="F232" s="48"/>
      <c r="G232" s="48">
        <v>341270</v>
      </c>
      <c r="H232" s="48"/>
      <c r="I232" s="48">
        <v>2750000</v>
      </c>
      <c r="J232" s="48"/>
      <c r="K232" s="48">
        <v>848971</v>
      </c>
      <c r="L232" s="48"/>
      <c r="M232" s="48">
        <v>162666</v>
      </c>
      <c r="N232" s="48"/>
      <c r="O232" s="48">
        <v>452150</v>
      </c>
      <c r="P232" s="48"/>
      <c r="Q232" s="48">
        <f>65615+38460</f>
        <v>104075</v>
      </c>
      <c r="R232" s="48"/>
      <c r="S232" s="48">
        <f t="shared" si="6"/>
        <v>5557862</v>
      </c>
      <c r="T232" s="44"/>
      <c r="U232" s="48">
        <v>3166068</v>
      </c>
      <c r="W232" s="44">
        <f>+S232-'Stmt net assets'!O232-U232</f>
        <v>0</v>
      </c>
    </row>
    <row r="233" spans="1:25" s="65" customFormat="1" ht="12.75" customHeight="1">
      <c r="A233" s="35" t="s">
        <v>263</v>
      </c>
      <c r="B233" s="51"/>
      <c r="C233" s="35" t="s">
        <v>53</v>
      </c>
      <c r="D233" s="35"/>
      <c r="E233" s="48">
        <f>2144686-96464</f>
        <v>2048222</v>
      </c>
      <c r="F233" s="48"/>
      <c r="G233" s="48">
        <v>0</v>
      </c>
      <c r="H233" s="48"/>
      <c r="I233" s="48">
        <v>0</v>
      </c>
      <c r="J233" s="48"/>
      <c r="K233" s="48">
        <v>0</v>
      </c>
      <c r="L233" s="48"/>
      <c r="M233" s="48">
        <v>0</v>
      </c>
      <c r="N233" s="48"/>
      <c r="O233" s="48">
        <v>3095392</v>
      </c>
      <c r="P233" s="48"/>
      <c r="Q233" s="48">
        <v>96464</v>
      </c>
      <c r="R233" s="48"/>
      <c r="S233" s="48">
        <f t="shared" si="6"/>
        <v>5240078</v>
      </c>
      <c r="T233" s="44"/>
      <c r="U233" s="48">
        <v>752893</v>
      </c>
      <c r="W233" s="44">
        <f>+S233-'Stmt net assets'!O233-U233</f>
        <v>0</v>
      </c>
      <c r="Y233" s="65">
        <f>659016+4004850</f>
        <v>4663866</v>
      </c>
    </row>
    <row r="234" spans="1:25" s="65" customFormat="1" ht="12.75" customHeight="1">
      <c r="A234" s="35" t="s">
        <v>264</v>
      </c>
      <c r="B234" s="51"/>
      <c r="C234" s="35" t="s">
        <v>239</v>
      </c>
      <c r="D234" s="35"/>
      <c r="E234" s="48">
        <v>1071228</v>
      </c>
      <c r="F234" s="48"/>
      <c r="G234" s="48">
        <v>0</v>
      </c>
      <c r="H234" s="48"/>
      <c r="I234" s="48">
        <v>0</v>
      </c>
      <c r="J234" s="48"/>
      <c r="K234" s="48">
        <v>348316</v>
      </c>
      <c r="L234" s="48"/>
      <c r="M234" s="48">
        <v>0</v>
      </c>
      <c r="N234" s="48"/>
      <c r="O234" s="48">
        <v>458793</v>
      </c>
      <c r="P234" s="48"/>
      <c r="Q234" s="48">
        <v>0</v>
      </c>
      <c r="R234" s="48"/>
      <c r="S234" s="48">
        <f t="shared" si="6"/>
        <v>1878337</v>
      </c>
      <c r="T234" s="44"/>
      <c r="U234" s="48">
        <v>474792</v>
      </c>
      <c r="W234" s="44">
        <f>+S234-'Stmt net assets'!O234-U234</f>
        <v>0</v>
      </c>
    </row>
    <row r="235" spans="1:25" s="65" customFormat="1" ht="12.75" customHeight="1">
      <c r="A235" s="35" t="s">
        <v>111</v>
      </c>
      <c r="B235" s="51"/>
      <c r="C235" s="35" t="s">
        <v>80</v>
      </c>
      <c r="D235" s="35"/>
      <c r="E235" s="48">
        <v>3647104</v>
      </c>
      <c r="F235" s="48"/>
      <c r="G235" s="48">
        <v>0</v>
      </c>
      <c r="H235" s="48"/>
      <c r="I235" s="48">
        <v>53928</v>
      </c>
      <c r="J235" s="48"/>
      <c r="K235" s="48">
        <f>585000+80728+1560000+230908</f>
        <v>2456636</v>
      </c>
      <c r="L235" s="48"/>
      <c r="M235" s="48">
        <v>240369</v>
      </c>
      <c r="N235" s="48"/>
      <c r="O235" s="48">
        <v>5481555</v>
      </c>
      <c r="P235" s="48"/>
      <c r="Q235" s="48">
        <f>2636055+1550107+17754-121510</f>
        <v>4082406</v>
      </c>
      <c r="R235" s="48"/>
      <c r="S235" s="48">
        <f t="shared" si="6"/>
        <v>15961998</v>
      </c>
      <c r="T235" s="44"/>
      <c r="U235" s="48">
        <v>4166432</v>
      </c>
      <c r="W235" s="44">
        <f>+S235-'Stmt net assets'!O235-U235</f>
        <v>0</v>
      </c>
    </row>
    <row r="236" spans="1:25" s="65" customFormat="1" ht="12.75" customHeight="1">
      <c r="A236" s="35" t="s">
        <v>265</v>
      </c>
      <c r="B236" s="51"/>
      <c r="C236" s="35" t="s">
        <v>27</v>
      </c>
      <c r="D236" s="35"/>
      <c r="E236" s="48">
        <v>1437037</v>
      </c>
      <c r="F236" s="48"/>
      <c r="G236" s="48">
        <v>173673</v>
      </c>
      <c r="H236" s="48"/>
      <c r="I236" s="48">
        <v>8892000</v>
      </c>
      <c r="J236" s="48"/>
      <c r="K236" s="48">
        <v>0</v>
      </c>
      <c r="L236" s="48"/>
      <c r="M236" s="48">
        <v>339394</v>
      </c>
      <c r="N236" s="48"/>
      <c r="O236" s="48">
        <v>2116173</v>
      </c>
      <c r="P236" s="48"/>
      <c r="Q236" s="48">
        <v>288631</v>
      </c>
      <c r="R236" s="48"/>
      <c r="S236" s="48">
        <f t="shared" si="6"/>
        <v>13246908</v>
      </c>
      <c r="T236" s="44"/>
      <c r="U236" s="48">
        <v>1867757</v>
      </c>
      <c r="W236" s="44">
        <f>+S236-'Stmt net assets'!O236-U236</f>
        <v>0</v>
      </c>
    </row>
    <row r="237" spans="1:25" s="65" customFormat="1" ht="12.75" customHeight="1">
      <c r="A237" s="35" t="s">
        <v>40</v>
      </c>
      <c r="B237" s="51"/>
      <c r="C237" s="47" t="s">
        <v>451</v>
      </c>
      <c r="D237" s="35"/>
      <c r="E237" s="48">
        <f>480000+1990000+6980000+3210000+205861</f>
        <v>12865861</v>
      </c>
      <c r="F237" s="48"/>
      <c r="G237" s="48">
        <v>0</v>
      </c>
      <c r="H237" s="48"/>
      <c r="I237" s="48">
        <v>0</v>
      </c>
      <c r="J237" s="48"/>
      <c r="K237" s="48">
        <v>238172</v>
      </c>
      <c r="L237" s="48"/>
      <c r="M237" s="48">
        <v>554545</v>
      </c>
      <c r="N237" s="48"/>
      <c r="O237" s="48">
        <v>968105</v>
      </c>
      <c r="P237" s="48"/>
      <c r="Q237" s="48">
        <v>38044</v>
      </c>
      <c r="R237" s="48"/>
      <c r="S237" s="48">
        <f t="shared" si="6"/>
        <v>14664727</v>
      </c>
      <c r="T237" s="44"/>
      <c r="U237" s="48">
        <v>835687</v>
      </c>
      <c r="W237" s="44">
        <f>+S237-'Stmt net assets'!O237-U237</f>
        <v>0</v>
      </c>
    </row>
    <row r="238" spans="1:25" s="65" customFormat="1" ht="10.5" customHeight="1">
      <c r="A238" s="35" t="s">
        <v>266</v>
      </c>
      <c r="B238" s="51"/>
      <c r="C238" s="35" t="s">
        <v>267</v>
      </c>
      <c r="D238" s="35"/>
      <c r="E238" s="48">
        <v>0</v>
      </c>
      <c r="F238" s="48"/>
      <c r="G238" s="48">
        <v>0</v>
      </c>
      <c r="H238" s="48"/>
      <c r="I238" s="48">
        <v>3100000</v>
      </c>
      <c r="J238" s="48"/>
      <c r="K238" s="48">
        <v>0</v>
      </c>
      <c r="L238" s="48"/>
      <c r="M238" s="48">
        <v>0</v>
      </c>
      <c r="N238" s="48"/>
      <c r="O238" s="48">
        <v>312934</v>
      </c>
      <c r="P238" s="48"/>
      <c r="Q238" s="48">
        <v>0</v>
      </c>
      <c r="R238" s="48"/>
      <c r="S238" s="48">
        <f t="shared" si="6"/>
        <v>3412934</v>
      </c>
      <c r="T238" s="44"/>
      <c r="U238" s="48">
        <v>3227795</v>
      </c>
      <c r="W238" s="44">
        <f>+S238-'Stmt net assets'!O238-U238</f>
        <v>0</v>
      </c>
    </row>
    <row r="239" spans="1:25" s="65" customFormat="1" ht="12.75" customHeight="1">
      <c r="A239" s="64" t="s">
        <v>268</v>
      </c>
      <c r="B239" s="66"/>
      <c r="C239" s="64" t="s">
        <v>269</v>
      </c>
      <c r="D239" s="64"/>
      <c r="E239" s="48">
        <v>0</v>
      </c>
      <c r="F239" s="48"/>
      <c r="G239" s="48">
        <v>0</v>
      </c>
      <c r="H239" s="48"/>
      <c r="I239" s="48">
        <f>96897+186945+12789+143815+81028</f>
        <v>521474</v>
      </c>
      <c r="J239" s="48"/>
      <c r="K239" s="48">
        <f>31497+37018+98333</f>
        <v>166848</v>
      </c>
      <c r="L239" s="48"/>
      <c r="M239" s="48">
        <v>0</v>
      </c>
      <c r="N239" s="48"/>
      <c r="O239" s="48">
        <v>57006</v>
      </c>
      <c r="P239" s="48"/>
      <c r="Q239" s="48">
        <v>0</v>
      </c>
      <c r="R239" s="48"/>
      <c r="S239" s="48">
        <f t="shared" si="6"/>
        <v>745328</v>
      </c>
      <c r="T239" s="44"/>
      <c r="U239" s="48">
        <v>539162</v>
      </c>
      <c r="W239" s="44">
        <f>+S239-'Stmt net assets'!O239-U239</f>
        <v>0</v>
      </c>
    </row>
    <row r="240" spans="1:25" s="65" customFormat="1" ht="12.75" customHeight="1">
      <c r="A240" s="35" t="s">
        <v>270</v>
      </c>
      <c r="B240" s="51"/>
      <c r="C240" s="35" t="s">
        <v>136</v>
      </c>
      <c r="D240" s="35"/>
      <c r="E240" s="48">
        <v>0</v>
      </c>
      <c r="F240" s="48"/>
      <c r="G240" s="48">
        <v>0</v>
      </c>
      <c r="H240" s="48"/>
      <c r="I240" s="48">
        <v>0</v>
      </c>
      <c r="J240" s="48"/>
      <c r="K240" s="48">
        <v>325146</v>
      </c>
      <c r="L240" s="48"/>
      <c r="M240" s="48">
        <v>0</v>
      </c>
      <c r="N240" s="48"/>
      <c r="O240" s="48">
        <v>86570</v>
      </c>
      <c r="P240" s="48"/>
      <c r="Q240" s="48">
        <v>0</v>
      </c>
      <c r="R240" s="48"/>
      <c r="S240" s="48">
        <f>SUM(E240:Q240)</f>
        <v>411716</v>
      </c>
      <c r="T240" s="44"/>
      <c r="U240" s="48">
        <v>141075</v>
      </c>
      <c r="W240" s="44">
        <f>+S240-'Stmt net assets'!O240-U240</f>
        <v>0</v>
      </c>
    </row>
    <row r="241" spans="1:23" s="65" customFormat="1" ht="12.75" customHeight="1">
      <c r="A241" s="35" t="s">
        <v>271</v>
      </c>
      <c r="B241" s="51"/>
      <c r="C241" s="35" t="s">
        <v>66</v>
      </c>
      <c r="D241" s="35"/>
      <c r="E241" s="48">
        <v>3480000</v>
      </c>
      <c r="F241" s="48"/>
      <c r="G241" s="48">
        <f>12000+40000+45000</f>
        <v>97000</v>
      </c>
      <c r="H241" s="48"/>
      <c r="I241" s="48">
        <v>400000</v>
      </c>
      <c r="J241" s="48"/>
      <c r="K241" s="48">
        <v>95826</v>
      </c>
      <c r="L241" s="48"/>
      <c r="M241" s="48">
        <v>0</v>
      </c>
      <c r="N241" s="48"/>
      <c r="O241" s="48">
        <v>894421</v>
      </c>
      <c r="P241" s="48"/>
      <c r="Q241" s="48">
        <v>0</v>
      </c>
      <c r="R241" s="48"/>
      <c r="S241" s="48">
        <f t="shared" si="6"/>
        <v>4967247</v>
      </c>
      <c r="T241" s="44"/>
      <c r="U241" s="48">
        <v>1189125</v>
      </c>
      <c r="W241" s="44">
        <f>+S241-'Stmt net assets'!O241-U241</f>
        <v>0</v>
      </c>
    </row>
    <row r="242" spans="1:23" s="65" customFormat="1" ht="12.75" customHeight="1">
      <c r="A242" s="35" t="s">
        <v>272</v>
      </c>
      <c r="B242" s="51"/>
      <c r="C242" s="35" t="s">
        <v>43</v>
      </c>
      <c r="D242" s="35"/>
      <c r="E242" s="48">
        <v>24251797</v>
      </c>
      <c r="F242" s="48"/>
      <c r="G242" s="48">
        <v>0</v>
      </c>
      <c r="H242" s="48"/>
      <c r="I242" s="48">
        <v>0</v>
      </c>
      <c r="J242" s="48"/>
      <c r="K242" s="48">
        <v>0</v>
      </c>
      <c r="L242" s="48"/>
      <c r="M242" s="48">
        <v>0</v>
      </c>
      <c r="N242" s="48"/>
      <c r="O242" s="48">
        <v>3576970</v>
      </c>
      <c r="P242" s="48"/>
      <c r="Q242" s="48">
        <v>20266</v>
      </c>
      <c r="R242" s="48"/>
      <c r="S242" s="48">
        <f t="shared" si="6"/>
        <v>27849033</v>
      </c>
      <c r="T242" s="44"/>
      <c r="U242" s="48">
        <v>4132917</v>
      </c>
      <c r="W242" s="44">
        <f>+S242-'Stmt net assets'!O242-U242</f>
        <v>0</v>
      </c>
    </row>
    <row r="243" spans="1:23" s="66" customFormat="1" ht="12.75" customHeight="1">
      <c r="A243" s="35" t="s">
        <v>273</v>
      </c>
      <c r="B243" s="51"/>
      <c r="C243" s="35" t="s">
        <v>27</v>
      </c>
      <c r="D243" s="35"/>
      <c r="E243" s="48">
        <v>11090129</v>
      </c>
      <c r="F243" s="48"/>
      <c r="G243" s="48">
        <v>5040303</v>
      </c>
      <c r="H243" s="48"/>
      <c r="I243" s="48">
        <v>9301906</v>
      </c>
      <c r="J243" s="48"/>
      <c r="K243" s="48">
        <v>686472</v>
      </c>
      <c r="L243" s="48"/>
      <c r="M243" s="48">
        <v>0</v>
      </c>
      <c r="N243" s="48"/>
      <c r="O243" s="48">
        <v>5489107</v>
      </c>
      <c r="P243" s="48"/>
      <c r="Q243" s="48">
        <v>526645</v>
      </c>
      <c r="R243" s="48"/>
      <c r="S243" s="48">
        <f t="shared" si="6"/>
        <v>32134562</v>
      </c>
      <c r="T243" s="44"/>
      <c r="U243" s="48">
        <v>1789155</v>
      </c>
      <c r="V243" s="65"/>
      <c r="W243" s="44">
        <f>+S243-'Stmt net assets'!O243-U243</f>
        <v>0</v>
      </c>
    </row>
    <row r="244" spans="1:23" s="65" customFormat="1" ht="12.75" customHeight="1">
      <c r="A244" s="35" t="s">
        <v>274</v>
      </c>
      <c r="B244" s="51"/>
      <c r="C244" s="35" t="s">
        <v>43</v>
      </c>
      <c r="D244" s="35"/>
      <c r="E244" s="48">
        <f>1805000+5867-45331</f>
        <v>1765536</v>
      </c>
      <c r="F244" s="48"/>
      <c r="G244" s="48">
        <v>0</v>
      </c>
      <c r="H244" s="48"/>
      <c r="I244" s="48">
        <v>0</v>
      </c>
      <c r="J244" s="48"/>
      <c r="K244" s="48">
        <v>0</v>
      </c>
      <c r="L244" s="48"/>
      <c r="M244" s="48">
        <v>750</v>
      </c>
      <c r="N244" s="48"/>
      <c r="O244" s="48">
        <v>1719875</v>
      </c>
      <c r="P244" s="48"/>
      <c r="Q244" s="48">
        <v>110731</v>
      </c>
      <c r="R244" s="48"/>
      <c r="S244" s="48">
        <f t="shared" si="6"/>
        <v>3596892</v>
      </c>
      <c r="T244" s="44"/>
      <c r="U244" s="48">
        <v>1286365</v>
      </c>
      <c r="W244" s="44">
        <f>+S244-'Stmt net assets'!O244-U244</f>
        <v>0</v>
      </c>
    </row>
    <row r="245" spans="1:23" s="65" customFormat="1" ht="12.75" customHeight="1">
      <c r="A245" s="35" t="s">
        <v>275</v>
      </c>
      <c r="B245" s="51"/>
      <c r="C245" s="35" t="s">
        <v>92</v>
      </c>
      <c r="D245" s="35"/>
      <c r="E245" s="48">
        <v>2125000</v>
      </c>
      <c r="F245" s="48"/>
      <c r="G245" s="48">
        <v>0</v>
      </c>
      <c r="H245" s="48"/>
      <c r="I245" s="48">
        <v>0</v>
      </c>
      <c r="J245" s="48"/>
      <c r="K245" s="48">
        <v>66072</v>
      </c>
      <c r="L245" s="48"/>
      <c r="M245" s="48">
        <v>0</v>
      </c>
      <c r="N245" s="48"/>
      <c r="O245" s="48">
        <v>1530973</v>
      </c>
      <c r="P245" s="48"/>
      <c r="Q245" s="48">
        <v>0</v>
      </c>
      <c r="R245" s="48"/>
      <c r="S245" s="48">
        <f t="shared" si="6"/>
        <v>3722045</v>
      </c>
      <c r="T245" s="44"/>
      <c r="U245" s="48">
        <v>239292</v>
      </c>
      <c r="W245" s="44">
        <f>+S245-'Stmt net assets'!O245-U245</f>
        <v>0</v>
      </c>
    </row>
    <row r="246" spans="1:23" s="65" customFormat="1" ht="12.75" customHeight="1">
      <c r="A246" s="35" t="s">
        <v>276</v>
      </c>
      <c r="B246" s="51"/>
      <c r="C246" s="35" t="s">
        <v>38</v>
      </c>
      <c r="D246" s="35"/>
      <c r="E246" s="48">
        <v>1100000</v>
      </c>
      <c r="F246" s="48"/>
      <c r="G246" s="48">
        <v>0</v>
      </c>
      <c r="H246" s="48"/>
      <c r="I246" s="48">
        <v>0</v>
      </c>
      <c r="J246" s="48"/>
      <c r="K246" s="48">
        <v>316532</v>
      </c>
      <c r="L246" s="48"/>
      <c r="M246" s="48">
        <v>0</v>
      </c>
      <c r="N246" s="48"/>
      <c r="O246" s="48">
        <v>246668</v>
      </c>
      <c r="P246" s="48"/>
      <c r="Q246" s="48">
        <v>0</v>
      </c>
      <c r="R246" s="48"/>
      <c r="S246" s="48">
        <f t="shared" si="6"/>
        <v>1663200</v>
      </c>
      <c r="T246" s="44"/>
      <c r="U246" s="48">
        <v>341255</v>
      </c>
      <c r="W246" s="44">
        <f>+S246-'Stmt net assets'!O246-U246</f>
        <v>0</v>
      </c>
    </row>
    <row r="247" spans="1:23" s="65" customFormat="1" ht="12.75" customHeight="1">
      <c r="A247" s="35" t="s">
        <v>277</v>
      </c>
      <c r="B247" s="51"/>
      <c r="C247" s="35" t="s">
        <v>92</v>
      </c>
      <c r="D247" s="35"/>
      <c r="E247" s="48">
        <v>11164794</v>
      </c>
      <c r="F247" s="48"/>
      <c r="G247" s="48">
        <v>225000</v>
      </c>
      <c r="H247" s="48"/>
      <c r="I247" s="48">
        <v>0</v>
      </c>
      <c r="J247" s="48"/>
      <c r="K247" s="48">
        <v>0</v>
      </c>
      <c r="L247" s="48"/>
      <c r="M247" s="48">
        <v>0</v>
      </c>
      <c r="N247" s="48"/>
      <c r="O247" s="48">
        <v>5837062</v>
      </c>
      <c r="P247" s="48"/>
      <c r="Q247" s="48">
        <f>114411+868516</f>
        <v>982927</v>
      </c>
      <c r="R247" s="48"/>
      <c r="S247" s="48">
        <f t="shared" si="6"/>
        <v>18209783</v>
      </c>
      <c r="T247" s="44"/>
      <c r="U247" s="48">
        <v>2381094</v>
      </c>
      <c r="W247" s="44">
        <f>+S247-'Stmt net assets'!O247-U247</f>
        <v>0</v>
      </c>
    </row>
    <row r="248" spans="1:23" s="65" customFormat="1" ht="12.75" customHeight="1">
      <c r="A248" s="35" t="s">
        <v>278</v>
      </c>
      <c r="B248" s="51"/>
      <c r="C248" s="35" t="s">
        <v>92</v>
      </c>
      <c r="D248" s="35"/>
      <c r="E248" s="48">
        <v>2277768</v>
      </c>
      <c r="F248" s="48"/>
      <c r="G248" s="48">
        <v>69432</v>
      </c>
      <c r="H248" s="48"/>
      <c r="I248" s="48">
        <v>1250000</v>
      </c>
      <c r="J248" s="48"/>
      <c r="K248" s="48">
        <v>0</v>
      </c>
      <c r="L248" s="48"/>
      <c r="M248" s="48">
        <v>89311</v>
      </c>
      <c r="N248" s="48"/>
      <c r="O248" s="48">
        <v>745923</v>
      </c>
      <c r="P248" s="48"/>
      <c r="Q248" s="48">
        <v>107702</v>
      </c>
      <c r="R248" s="48"/>
      <c r="S248" s="48">
        <f t="shared" si="6"/>
        <v>4540136</v>
      </c>
      <c r="T248" s="44"/>
      <c r="U248" s="48">
        <v>1739784</v>
      </c>
      <c r="W248" s="44">
        <f>+S248-'Stmt net assets'!O248-U248</f>
        <v>0</v>
      </c>
    </row>
    <row r="249" spans="1:23" s="65" customFormat="1" ht="12.75" customHeight="1">
      <c r="A249" s="35" t="s">
        <v>279</v>
      </c>
      <c r="B249" s="51"/>
      <c r="C249" s="35" t="s">
        <v>92</v>
      </c>
      <c r="D249" s="35"/>
      <c r="E249" s="48">
        <v>0</v>
      </c>
      <c r="F249" s="48"/>
      <c r="G249" s="48">
        <v>0</v>
      </c>
      <c r="H249" s="48"/>
      <c r="I249" s="48">
        <v>2295000</v>
      </c>
      <c r="J249" s="48"/>
      <c r="K249" s="48">
        <f>110554+85851</f>
        <v>196405</v>
      </c>
      <c r="L249" s="48"/>
      <c r="M249" s="48">
        <v>27804</v>
      </c>
      <c r="N249" s="48"/>
      <c r="O249" s="48">
        <v>1265803</v>
      </c>
      <c r="P249" s="48"/>
      <c r="Q249" s="48">
        <v>0</v>
      </c>
      <c r="R249" s="48"/>
      <c r="S249" s="48">
        <f t="shared" si="6"/>
        <v>3785012</v>
      </c>
      <c r="T249" s="44"/>
      <c r="U249" s="48">
        <v>708465</v>
      </c>
      <c r="W249" s="44">
        <f>+S249-'Stmt net assets'!O249-U249</f>
        <v>0</v>
      </c>
    </row>
    <row r="250" spans="1:23" s="65" customFormat="1" ht="12.75" customHeight="1">
      <c r="A250" s="35" t="s">
        <v>280</v>
      </c>
      <c r="B250" s="51"/>
      <c r="C250" s="35" t="s">
        <v>281</v>
      </c>
      <c r="D250" s="35"/>
      <c r="E250" s="48">
        <v>5585000</v>
      </c>
      <c r="F250" s="48"/>
      <c r="G250" s="48">
        <v>0</v>
      </c>
      <c r="H250" s="48"/>
      <c r="I250" s="48">
        <v>0</v>
      </c>
      <c r="J250" s="48"/>
      <c r="K250" s="48">
        <v>0</v>
      </c>
      <c r="L250" s="48"/>
      <c r="M250" s="48">
        <v>0</v>
      </c>
      <c r="N250" s="48"/>
      <c r="O250" s="48">
        <v>642030</v>
      </c>
      <c r="P250" s="48"/>
      <c r="Q250" s="48">
        <v>99679</v>
      </c>
      <c r="R250" s="48"/>
      <c r="S250" s="48">
        <f t="shared" si="6"/>
        <v>6326709</v>
      </c>
      <c r="T250" s="44"/>
      <c r="U250" s="48">
        <v>461436</v>
      </c>
      <c r="W250" s="44">
        <f>+S250-'Stmt net assets'!O250-U250</f>
        <v>0</v>
      </c>
    </row>
    <row r="251" spans="1:23" s="65" customFormat="1" ht="12.75" customHeight="1">
      <c r="A251" s="35" t="s">
        <v>282</v>
      </c>
      <c r="B251" s="51"/>
      <c r="C251" s="35" t="s">
        <v>199</v>
      </c>
      <c r="D251" s="35"/>
      <c r="E251" s="48">
        <f>405500+7848+1145000+131557+197335+91108+445517</f>
        <v>2423865</v>
      </c>
      <c r="F251" s="48"/>
      <c r="G251" s="48">
        <f>45995+129856+13249+5702+291483</f>
        <v>486285</v>
      </c>
      <c r="H251" s="48"/>
      <c r="I251" s="48">
        <v>3220000</v>
      </c>
      <c r="J251" s="48"/>
      <c r="K251" s="48">
        <f>13721+38795+145618</f>
        <v>198134</v>
      </c>
      <c r="L251" s="48"/>
      <c r="M251" s="48">
        <v>0</v>
      </c>
      <c r="N251" s="48"/>
      <c r="O251" s="48">
        <v>2226514</v>
      </c>
      <c r="P251" s="48"/>
      <c r="Q251" s="48">
        <v>0</v>
      </c>
      <c r="R251" s="48"/>
      <c r="S251" s="48">
        <f t="shared" si="6"/>
        <v>8554798</v>
      </c>
      <c r="T251" s="44"/>
      <c r="U251" s="48">
        <v>4062948</v>
      </c>
      <c r="W251" s="44">
        <f>+S251-'Stmt net assets'!O251-U251</f>
        <v>0</v>
      </c>
    </row>
    <row r="252" spans="1:23" s="65" customFormat="1" ht="12.75" customHeight="1">
      <c r="A252" s="35" t="s">
        <v>283</v>
      </c>
      <c r="B252" s="51"/>
      <c r="C252" s="35" t="s">
        <v>43</v>
      </c>
      <c r="D252" s="35"/>
      <c r="E252" s="48">
        <v>7505772</v>
      </c>
      <c r="F252" s="48"/>
      <c r="G252" s="48">
        <v>0</v>
      </c>
      <c r="H252" s="48"/>
      <c r="I252" s="48">
        <v>0</v>
      </c>
      <c r="J252" s="48"/>
      <c r="K252" s="48">
        <v>144486</v>
      </c>
      <c r="L252" s="48"/>
      <c r="M252" s="48">
        <v>0</v>
      </c>
      <c r="N252" s="48"/>
      <c r="O252" s="48">
        <v>1437955</v>
      </c>
      <c r="P252" s="48"/>
      <c r="Q252" s="48">
        <v>0</v>
      </c>
      <c r="R252" s="48"/>
      <c r="S252" s="48">
        <f t="shared" si="6"/>
        <v>9088213</v>
      </c>
      <c r="T252" s="44"/>
      <c r="U252" s="48">
        <v>492457</v>
      </c>
      <c r="W252" s="44">
        <f>+S252-'Stmt net assets'!O252-U252</f>
        <v>0</v>
      </c>
    </row>
    <row r="253" spans="1:23" s="65" customFormat="1" ht="12.75" customHeight="1">
      <c r="A253" s="35" t="s">
        <v>284</v>
      </c>
      <c r="B253" s="51"/>
      <c r="C253" s="35" t="s">
        <v>45</v>
      </c>
      <c r="D253" s="35"/>
      <c r="E253" s="48">
        <v>12888386</v>
      </c>
      <c r="F253" s="48"/>
      <c r="G253" s="48">
        <v>0</v>
      </c>
      <c r="H253" s="48"/>
      <c r="I253" s="48">
        <v>0</v>
      </c>
      <c r="J253" s="48"/>
      <c r="K253" s="48">
        <v>0</v>
      </c>
      <c r="L253" s="48"/>
      <c r="M253" s="48">
        <v>0</v>
      </c>
      <c r="N253" s="48"/>
      <c r="O253" s="48">
        <v>604413</v>
      </c>
      <c r="P253" s="48"/>
      <c r="Q253" s="48">
        <v>173711</v>
      </c>
      <c r="R253" s="48"/>
      <c r="S253" s="48">
        <f t="shared" si="6"/>
        <v>13666510</v>
      </c>
      <c r="T253" s="44"/>
      <c r="U253" s="48">
        <v>623959</v>
      </c>
      <c r="W253" s="44">
        <f>+S253-'Stmt net assets'!O253-U253</f>
        <v>0</v>
      </c>
    </row>
    <row r="254" spans="1:23" s="65" customFormat="1" ht="12.75" customHeight="1">
      <c r="A254" s="35" t="s">
        <v>285</v>
      </c>
      <c r="B254" s="51"/>
      <c r="C254" s="35" t="s">
        <v>30</v>
      </c>
      <c r="D254" s="35"/>
      <c r="E254" s="48">
        <v>945000</v>
      </c>
      <c r="F254" s="48"/>
      <c r="G254" s="48">
        <v>0</v>
      </c>
      <c r="H254" s="48"/>
      <c r="I254" s="48">
        <v>0</v>
      </c>
      <c r="J254" s="48"/>
      <c r="K254" s="48">
        <v>0</v>
      </c>
      <c r="L254" s="48"/>
      <c r="M254" s="48">
        <v>1589809</v>
      </c>
      <c r="N254" s="48"/>
      <c r="O254" s="48">
        <v>1601673</v>
      </c>
      <c r="P254" s="48"/>
      <c r="Q254" s="48">
        <v>0</v>
      </c>
      <c r="R254" s="48"/>
      <c r="S254" s="48">
        <f t="shared" si="6"/>
        <v>4136482</v>
      </c>
      <c r="T254" s="44"/>
      <c r="U254" s="48">
        <v>636853</v>
      </c>
      <c r="W254" s="44">
        <f>+S254-'Stmt net assets'!O254-U254</f>
        <v>0</v>
      </c>
    </row>
    <row r="255" spans="1:23" s="65" customFormat="1" ht="12.75" customHeight="1">
      <c r="A255" s="35" t="s">
        <v>286</v>
      </c>
      <c r="C255" s="35" t="s">
        <v>61</v>
      </c>
      <c r="D255" s="35"/>
      <c r="E255" s="48">
        <f>19720000+144081-565769</f>
        <v>19298312</v>
      </c>
      <c r="F255" s="48"/>
      <c r="G255" s="48">
        <v>0</v>
      </c>
      <c r="H255" s="48"/>
      <c r="I255" s="48">
        <v>0</v>
      </c>
      <c r="J255" s="48"/>
      <c r="K255" s="48">
        <f>3209950+342860</f>
        <v>3552810</v>
      </c>
      <c r="L255" s="48"/>
      <c r="M255" s="48">
        <v>439479</v>
      </c>
      <c r="N255" s="48"/>
      <c r="O255" s="48">
        <v>8570465</v>
      </c>
      <c r="P255" s="48"/>
      <c r="Q255" s="48">
        <v>0</v>
      </c>
      <c r="R255" s="48"/>
      <c r="S255" s="48">
        <f t="shared" si="6"/>
        <v>31861066</v>
      </c>
      <c r="T255" s="44"/>
      <c r="U255" s="48">
        <v>3198032</v>
      </c>
      <c r="W255" s="44">
        <f>+S255-'Stmt net assets'!O255-U255</f>
        <v>0</v>
      </c>
    </row>
    <row r="256" spans="1:23" s="65" customFormat="1" ht="12.75" customHeight="1">
      <c r="A256" s="35" t="s">
        <v>287</v>
      </c>
      <c r="C256" s="35" t="s">
        <v>288</v>
      </c>
      <c r="D256" s="35"/>
      <c r="E256" s="48">
        <v>1598104</v>
      </c>
      <c r="F256" s="48"/>
      <c r="G256" s="48">
        <v>0</v>
      </c>
      <c r="H256" s="48"/>
      <c r="I256" s="48">
        <v>0</v>
      </c>
      <c r="J256" s="48"/>
      <c r="K256" s="48">
        <v>4302304</v>
      </c>
      <c r="L256" s="48"/>
      <c r="M256" s="48">
        <v>0</v>
      </c>
      <c r="N256" s="48"/>
      <c r="O256" s="48">
        <v>1708266</v>
      </c>
      <c r="P256" s="48"/>
      <c r="Q256" s="48">
        <v>0</v>
      </c>
      <c r="R256" s="48"/>
      <c r="S256" s="48">
        <f t="shared" si="6"/>
        <v>7608674</v>
      </c>
      <c r="T256" s="44"/>
      <c r="U256" s="48">
        <v>1742224</v>
      </c>
      <c r="W256" s="44">
        <f>+S256-'Stmt net assets'!O256-U256</f>
        <v>0</v>
      </c>
    </row>
    <row r="257" spans="1:23" s="65" customFormat="1" ht="12.75" customHeight="1">
      <c r="A257" s="35"/>
      <c r="B257" s="51"/>
      <c r="C257" s="35"/>
      <c r="D257" s="35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4"/>
      <c r="U257" s="44"/>
      <c r="W257" s="44"/>
    </row>
    <row r="258" spans="1:23" s="65" customFormat="1" ht="12.75" customHeight="1">
      <c r="B258" s="51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U258" s="44"/>
      <c r="W258" s="44"/>
    </row>
    <row r="259" spans="1:23" s="65" customFormat="1" ht="12.75" customHeight="1">
      <c r="B259" s="51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U259" s="44"/>
      <c r="W259" s="44"/>
    </row>
    <row r="260" spans="1:23" s="65" customFormat="1" ht="12.75" customHeight="1">
      <c r="B260" s="51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U260" s="44"/>
      <c r="W260" s="44"/>
    </row>
    <row r="261" spans="1:23" s="65" customFormat="1" ht="12.75" customHeight="1">
      <c r="B261" s="51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U261" s="44"/>
      <c r="W261" s="44"/>
    </row>
    <row r="262" spans="1:23" s="65" customFormat="1" ht="12.75" customHeight="1">
      <c r="B262" s="51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U262" s="44"/>
      <c r="W262" s="44"/>
    </row>
    <row r="263" spans="1:23" s="65" customFormat="1" ht="12.75" customHeight="1">
      <c r="B263" s="51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U263" s="44"/>
      <c r="W263" s="44"/>
    </row>
    <row r="264" spans="1:23" s="65" customFormat="1" ht="12.75" customHeight="1">
      <c r="B264" s="51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U264" s="44"/>
      <c r="W264" s="44"/>
    </row>
    <row r="265" spans="1:23" s="65" customFormat="1" ht="12.75" customHeight="1">
      <c r="B265" s="51"/>
      <c r="U265" s="44"/>
      <c r="W265" s="44"/>
    </row>
    <row r="266" spans="1:23" s="65" customFormat="1" ht="12.75" customHeight="1">
      <c r="B266" s="51"/>
      <c r="U266" s="44"/>
      <c r="W266" s="44"/>
    </row>
    <row r="267" spans="1:23" s="65" customFormat="1" ht="12.75" customHeight="1">
      <c r="A267" s="44"/>
      <c r="B267" s="51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W267" s="44"/>
    </row>
    <row r="268" spans="1:23" s="65" customFormat="1" ht="12.75" customHeight="1">
      <c r="A268" s="44"/>
      <c r="B268" s="51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8"/>
      <c r="T268" s="44"/>
      <c r="U268" s="44"/>
      <c r="W268" s="44"/>
    </row>
    <row r="269" spans="1:23" s="65" customFormat="1" ht="12.75" customHeight="1">
      <c r="A269" s="44"/>
      <c r="B269" s="51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W269" s="44"/>
    </row>
    <row r="270" spans="1:23" s="65" customFormat="1" ht="12.75" customHeight="1">
      <c r="A270" s="44"/>
      <c r="B270" s="51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W270" s="44"/>
    </row>
    <row r="271" spans="1:23" s="65" customFormat="1" ht="12.75" customHeight="1">
      <c r="A271" s="44"/>
      <c r="B271" s="51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W271" s="44"/>
    </row>
    <row r="272" spans="1:23" s="65" customFormat="1" ht="12.75" customHeight="1">
      <c r="A272" s="44"/>
      <c r="B272" s="51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W272" s="44"/>
    </row>
    <row r="273" spans="1:23" s="65" customFormat="1" ht="12.75" customHeight="1">
      <c r="A273" s="44"/>
      <c r="B273" s="51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W273" s="44"/>
    </row>
    <row r="274" spans="1:23" s="65" customFormat="1" ht="12.75" customHeight="1">
      <c r="A274" s="44"/>
      <c r="B274" s="51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W274" s="44"/>
    </row>
    <row r="275" spans="1:23" s="65" customFormat="1" ht="12.75" customHeight="1">
      <c r="A275" s="44"/>
      <c r="B275" s="51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W275" s="44"/>
    </row>
    <row r="276" spans="1:23" s="65" customFormat="1" ht="12.75" customHeight="1">
      <c r="A276" s="44"/>
      <c r="B276" s="51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W276" s="44"/>
    </row>
    <row r="277" spans="1:23" s="65" customFormat="1" ht="12.75" customHeight="1">
      <c r="A277" s="44"/>
      <c r="B277" s="51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W277" s="44"/>
    </row>
    <row r="278" spans="1:23" ht="12.75" customHeight="1">
      <c r="A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3" ht="12.75" customHeight="1">
      <c r="A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3" ht="12.75" customHeight="1">
      <c r="A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3" ht="12.75" customHeight="1">
      <c r="A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3" ht="12.75" customHeight="1">
      <c r="A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3" ht="12.75" customHeight="1">
      <c r="A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3" ht="12.75" customHeight="1">
      <c r="A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3" ht="12.75" customHeight="1">
      <c r="A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3" ht="12.75" customHeight="1">
      <c r="A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3" ht="12.75" customHeight="1">
      <c r="A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3" ht="12.75" customHeight="1">
      <c r="A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2.75" customHeight="1">
      <c r="A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2.75" customHeight="1">
      <c r="A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2.75" customHeight="1">
      <c r="A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2.75" customHeight="1">
      <c r="A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2.75" customHeight="1">
      <c r="A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2.75" customHeight="1">
      <c r="A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2.75" customHeight="1">
      <c r="A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2.75" customHeight="1">
      <c r="A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2.75" customHeight="1">
      <c r="A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2.75" customHeight="1">
      <c r="A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2.75" customHeight="1">
      <c r="A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2.75" customHeight="1">
      <c r="A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2.75" customHeight="1">
      <c r="A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</sheetData>
  <phoneticPr fontId="4" type="noConversion"/>
  <pageMargins left="0.75" right="0.75" top="0.5" bottom="0.5" header="0" footer="0.25"/>
  <pageSetup scale="93" firstPageNumber="126" pageOrder="overThenDown" orientation="portrait" useFirstPageNumber="1" r:id="rId1"/>
  <headerFooter alignWithMargins="0">
    <oddFooter>&amp;C&amp;"Times New Roman,Regular"&amp;11&amp;P</oddFooter>
  </headerFooter>
  <rowBreaks count="4" manualBreakCount="4">
    <brk id="61" max="20" man="1"/>
    <brk id="115" max="20" man="1"/>
    <brk id="167" max="20" man="1"/>
    <brk id="221" max="20" man="1"/>
  </rowBreaks>
  <colBreaks count="1" manualBreakCount="1">
    <brk id="14" min="9" max="25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BV309"/>
  <sheetViews>
    <sheetView view="pageBreakPreview" zoomScale="60" zoomScaleNormal="100" workbookViewId="0">
      <pane xSplit="4" ySplit="10" topLeftCell="AJ11" activePane="bottomRight" state="frozen"/>
      <selection pane="topRight" activeCell="E1" sqref="E1"/>
      <selection pane="bottomLeft" activeCell="A11" sqref="A11"/>
      <selection pane="bottomRight" activeCell="U258" sqref="U258"/>
    </sheetView>
  </sheetViews>
  <sheetFormatPr defaultColWidth="8.42578125" defaultRowHeight="12.75" customHeight="1"/>
  <cols>
    <col min="1" max="1" width="15.28515625" style="55" customWidth="1"/>
    <col min="2" max="2" width="1.7109375" style="51" customWidth="1"/>
    <col min="3" max="3" width="10.5703125" style="55" customWidth="1"/>
    <col min="4" max="4" width="1.7109375" style="55" customWidth="1"/>
    <col min="5" max="5" width="11.7109375" style="55" customWidth="1"/>
    <col min="6" max="6" width="1.7109375" style="55" customWidth="1"/>
    <col min="7" max="7" width="11.7109375" style="55" customWidth="1"/>
    <col min="8" max="8" width="1.7109375" style="55" customWidth="1"/>
    <col min="9" max="9" width="11.7109375" style="55" customWidth="1"/>
    <col min="10" max="10" width="1.7109375" style="55" customWidth="1"/>
    <col min="11" max="11" width="11.7109375" style="55" customWidth="1"/>
    <col min="12" max="12" width="1.7109375" style="55" customWidth="1"/>
    <col min="13" max="13" width="11.7109375" style="55" customWidth="1"/>
    <col min="14" max="14" width="1.7109375" style="55" customWidth="1"/>
    <col min="15" max="15" width="11.7109375" style="55" customWidth="1"/>
    <col min="16" max="16" width="1.7109375" style="55" customWidth="1"/>
    <col min="17" max="17" width="11.7109375" style="55" customWidth="1"/>
    <col min="18" max="18" width="1.85546875" style="55" customWidth="1"/>
    <col min="19" max="19" width="11.7109375" style="55" customWidth="1"/>
    <col min="20" max="20" width="1.7109375" style="55" customWidth="1"/>
    <col min="21" max="21" width="11.7109375" style="55" customWidth="1"/>
    <col min="22" max="22" width="1.7109375" style="55" customWidth="1"/>
    <col min="23" max="23" width="11.7109375" style="55" customWidth="1"/>
    <col min="24" max="24" width="14.5703125" style="55" customWidth="1"/>
    <col min="25" max="25" width="15.28515625" style="55" customWidth="1"/>
    <col min="26" max="26" width="1.7109375" style="47" customWidth="1"/>
    <col min="27" max="27" width="10.5703125" style="55" customWidth="1"/>
    <col min="28" max="28" width="1.7109375" style="55" customWidth="1"/>
    <col min="29" max="29" width="11.7109375" style="55" customWidth="1"/>
    <col min="30" max="30" width="1.7109375" style="55" customWidth="1"/>
    <col min="31" max="31" width="11.7109375" style="55" customWidth="1"/>
    <col min="32" max="32" width="1.7109375" style="55" customWidth="1"/>
    <col min="33" max="33" width="11.7109375" style="55" customWidth="1"/>
    <col min="34" max="34" width="1.7109375" style="55" customWidth="1"/>
    <col min="35" max="35" width="11.7109375" style="55" customWidth="1"/>
    <col min="36" max="36" width="1.7109375" style="55" customWidth="1"/>
    <col min="37" max="37" width="11.7109375" style="45" customWidth="1"/>
    <col min="38" max="38" width="1.7109375" style="45" customWidth="1"/>
    <col min="39" max="39" width="11.7109375" style="45" customWidth="1"/>
    <col min="40" max="40" width="1.7109375" style="45" customWidth="1"/>
    <col min="41" max="41" width="11.7109375" style="45" customWidth="1"/>
    <col min="42" max="42" width="1.7109375" style="45" customWidth="1"/>
    <col min="43" max="43" width="11.7109375" style="45" customWidth="1"/>
    <col min="44" max="44" width="1.7109375" style="45" customWidth="1"/>
    <col min="45" max="45" width="11.7109375" style="55" customWidth="1"/>
    <col min="46" max="46" width="1.7109375" style="55" customWidth="1"/>
    <col min="47" max="47" width="11.7109375" style="55" hidden="1" customWidth="1"/>
    <col min="48" max="48" width="1.7109375" style="55" hidden="1" customWidth="1"/>
    <col min="49" max="49" width="11.7109375" style="55" hidden="1" customWidth="1"/>
    <col min="50" max="50" width="1.7109375" style="55" hidden="1" customWidth="1"/>
    <col min="51" max="52" width="11.7109375" style="55" customWidth="1"/>
    <col min="53" max="53" width="15.28515625" style="55" customWidth="1"/>
    <col min="54" max="54" width="1.7109375" style="47" customWidth="1"/>
    <col min="55" max="55" width="10.5703125" style="55" customWidth="1"/>
    <col min="56" max="56" width="1.7109375" style="55" customWidth="1"/>
    <col min="57" max="57" width="11.7109375" style="55" customWidth="1"/>
    <col min="58" max="58" width="1.7109375" style="55" customWidth="1"/>
    <col min="59" max="59" width="11.7109375" style="55" customWidth="1"/>
    <col min="60" max="60" width="1.7109375" style="55" customWidth="1"/>
    <col min="61" max="61" width="11.7109375" style="55" customWidth="1"/>
    <col min="62" max="62" width="1.7109375" style="55" customWidth="1"/>
    <col min="63" max="63" width="11.7109375" style="55" customWidth="1"/>
    <col min="64" max="64" width="1.7109375" style="55" customWidth="1"/>
    <col min="65" max="65" width="11.7109375" style="55" customWidth="1"/>
    <col min="66" max="66" width="1.7109375" style="55" hidden="1" customWidth="1"/>
    <col min="67" max="67" width="11.7109375" style="55" hidden="1" customWidth="1"/>
    <col min="68" max="68" width="1.7109375" style="55" hidden="1" customWidth="1"/>
    <col min="69" max="69" width="11.7109375" style="55" hidden="1" customWidth="1"/>
    <col min="70" max="70" width="1.7109375" style="55" customWidth="1"/>
    <col min="71" max="71" width="11.7109375" style="55" customWidth="1"/>
    <col min="72" max="72" width="1.7109375" style="55" customWidth="1"/>
    <col min="73" max="73" width="11.7109375" style="55" customWidth="1"/>
    <col min="74" max="74" width="1.7109375" style="55" customWidth="1"/>
    <col min="75" max="75" width="11.7109375" style="55" customWidth="1"/>
    <col min="76" max="76" width="1.7109375" style="55" customWidth="1"/>
    <col min="77" max="77" width="11.7109375" style="55" customWidth="1"/>
    <col min="78" max="78" width="1.7109375" style="55" customWidth="1"/>
    <col min="79" max="79" width="11.7109375" style="55" customWidth="1"/>
    <col min="80" max="80" width="1.7109375" style="55" customWidth="1"/>
    <col min="81" max="81" width="11.7109375" style="55" customWidth="1"/>
    <col min="82" max="82" width="1.7109375" style="55" customWidth="1"/>
    <col min="83" max="83" width="11.7109375" style="55" customWidth="1"/>
    <col min="84" max="84" width="1.7109375" style="55" customWidth="1"/>
    <col min="85" max="85" width="11.7109375" style="55" customWidth="1"/>
    <col min="86" max="86" width="1.7109375" style="55" customWidth="1"/>
    <col min="87" max="16384" width="8.42578125" style="55"/>
  </cols>
  <sheetData>
    <row r="1" spans="1:66" s="85" customFormat="1" ht="12">
      <c r="A1" s="74" t="s">
        <v>495</v>
      </c>
      <c r="C1" s="86"/>
      <c r="D1" s="86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4" t="s">
        <v>495</v>
      </c>
      <c r="AA1" s="86"/>
      <c r="AB1" s="86"/>
      <c r="AC1" s="74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74" t="s">
        <v>496</v>
      </c>
      <c r="BC1" s="86"/>
      <c r="BD1" s="86"/>
      <c r="BE1" s="35"/>
      <c r="BF1" s="35"/>
      <c r="BG1" s="35"/>
      <c r="BH1" s="35"/>
      <c r="BI1" s="35"/>
      <c r="BJ1" s="35"/>
      <c r="BK1" s="35"/>
      <c r="BL1" s="35"/>
      <c r="BM1" s="75"/>
      <c r="BN1" s="75"/>
    </row>
    <row r="2" spans="1:66" s="85" customFormat="1" ht="12">
      <c r="A2" s="92" t="s">
        <v>472</v>
      </c>
      <c r="C2" s="86"/>
      <c r="D2" s="86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92" t="s">
        <v>473</v>
      </c>
      <c r="AA2" s="86"/>
      <c r="AB2" s="86"/>
      <c r="AC2" s="92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76" t="s">
        <v>348</v>
      </c>
      <c r="BC2" s="86"/>
      <c r="BD2" s="86"/>
      <c r="BE2" s="35"/>
      <c r="BF2" s="35"/>
      <c r="BG2" s="35"/>
      <c r="BH2" s="35"/>
      <c r="BI2" s="35"/>
      <c r="BJ2" s="35"/>
      <c r="BK2" s="35"/>
      <c r="BL2" s="35"/>
      <c r="BM2" s="75"/>
      <c r="BN2" s="75"/>
    </row>
    <row r="3" spans="1:66">
      <c r="A3" s="74" t="s">
        <v>500</v>
      </c>
      <c r="C3" s="87"/>
      <c r="D3" s="87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74" t="s">
        <v>500</v>
      </c>
      <c r="Z3" s="55"/>
      <c r="AA3" s="87"/>
      <c r="AB3" s="87"/>
      <c r="AC3" s="74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74" t="s">
        <v>500</v>
      </c>
      <c r="BB3" s="55"/>
      <c r="BC3" s="87"/>
      <c r="BD3" s="87"/>
      <c r="BE3" s="35"/>
      <c r="BF3" s="35"/>
      <c r="BG3" s="35"/>
      <c r="BH3" s="35"/>
      <c r="BI3" s="35"/>
      <c r="BJ3" s="35"/>
      <c r="BK3" s="35"/>
      <c r="BL3" s="35"/>
      <c r="BM3" s="35"/>
      <c r="BN3" s="35"/>
    </row>
    <row r="4" spans="1:66">
      <c r="A4" s="88" t="s">
        <v>289</v>
      </c>
      <c r="C4" s="87"/>
      <c r="D4" s="87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88" t="s">
        <v>289</v>
      </c>
      <c r="Z4" s="55"/>
      <c r="AA4" s="87"/>
      <c r="AB4" s="87"/>
      <c r="AC4" s="8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88" t="s">
        <v>289</v>
      </c>
      <c r="BB4" s="55"/>
      <c r="BC4" s="87"/>
      <c r="BD4" s="87"/>
      <c r="BE4" s="35"/>
      <c r="BF4" s="35"/>
      <c r="BG4" s="35"/>
      <c r="BH4" s="35"/>
      <c r="BI4" s="35"/>
      <c r="BJ4" s="35"/>
      <c r="BK4" s="35"/>
      <c r="BL4" s="35"/>
      <c r="BM4" s="35"/>
      <c r="BN4" s="35"/>
    </row>
    <row r="5" spans="1:66">
      <c r="A5" s="88"/>
      <c r="C5" s="87"/>
      <c r="D5" s="87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V5" s="35"/>
      <c r="W5" s="35"/>
      <c r="X5" s="35"/>
      <c r="Y5" s="88"/>
      <c r="Z5" s="55"/>
      <c r="AA5" s="87"/>
      <c r="AB5" s="87"/>
      <c r="AC5" s="74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88"/>
      <c r="BB5" s="55"/>
      <c r="BC5" s="87"/>
      <c r="BD5" s="87"/>
      <c r="BL5" s="35"/>
      <c r="BM5" s="35"/>
      <c r="BN5" s="35"/>
    </row>
    <row r="6" spans="1:66">
      <c r="A6" s="89"/>
      <c r="C6" s="89"/>
      <c r="D6" s="89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157" t="s">
        <v>2</v>
      </c>
      <c r="R6" s="157"/>
      <c r="S6" s="157"/>
      <c r="T6" s="157"/>
      <c r="U6" s="157"/>
      <c r="V6" s="93"/>
      <c r="W6" s="93"/>
      <c r="X6" s="77"/>
      <c r="Y6" s="89"/>
      <c r="Z6" s="55"/>
      <c r="AA6" s="89"/>
      <c r="AB6" s="89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8" t="s">
        <v>411</v>
      </c>
      <c r="AV6" s="35"/>
      <c r="AW6" s="8" t="s">
        <v>412</v>
      </c>
      <c r="AX6" s="35"/>
      <c r="AY6" s="35"/>
      <c r="AZ6" s="35"/>
      <c r="BA6" s="89"/>
      <c r="BB6" s="55"/>
      <c r="BC6" s="89"/>
      <c r="BD6" s="89"/>
      <c r="BE6" s="34" t="s">
        <v>348</v>
      </c>
      <c r="BF6" s="34"/>
      <c r="BG6" s="34"/>
      <c r="BH6" s="34"/>
      <c r="BI6" s="34"/>
      <c r="BJ6" s="34"/>
      <c r="BK6" s="34"/>
      <c r="BL6" s="77"/>
      <c r="BM6" s="35"/>
      <c r="BN6" s="35"/>
    </row>
    <row r="7" spans="1:66" s="89" customFormat="1" ht="12"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 t="s">
        <v>7</v>
      </c>
      <c r="AC7" s="8"/>
      <c r="AD7" s="8"/>
      <c r="AE7" s="8"/>
      <c r="AF7" s="8"/>
      <c r="AG7" s="8"/>
      <c r="AH7" s="8"/>
      <c r="AI7" s="8"/>
      <c r="AJ7" s="8"/>
      <c r="AK7" s="8" t="s">
        <v>354</v>
      </c>
      <c r="AL7" s="8"/>
      <c r="AM7" s="8"/>
      <c r="AN7" s="8"/>
      <c r="AO7" s="8"/>
      <c r="AP7" s="8"/>
      <c r="AQ7" s="8"/>
      <c r="AR7" s="8"/>
      <c r="AS7" s="8"/>
      <c r="AT7" s="8"/>
      <c r="AU7" s="8" t="s">
        <v>349</v>
      </c>
      <c r="AV7" s="8"/>
      <c r="AW7" s="8" t="s">
        <v>349</v>
      </c>
      <c r="AX7" s="8"/>
      <c r="AY7" s="8"/>
      <c r="AZ7" s="8"/>
      <c r="BE7" s="8" t="s">
        <v>296</v>
      </c>
      <c r="BF7" s="8"/>
      <c r="BG7" s="8" t="s">
        <v>350</v>
      </c>
      <c r="BH7" s="8"/>
      <c r="BI7" s="8"/>
      <c r="BJ7" s="8"/>
      <c r="BK7" s="8" t="s">
        <v>294</v>
      </c>
      <c r="BL7" s="8"/>
      <c r="BM7" s="8" t="s">
        <v>6</v>
      </c>
      <c r="BN7" s="54"/>
    </row>
    <row r="8" spans="1:66" s="89" customFormat="1" ht="12">
      <c r="E8" s="8" t="s">
        <v>3</v>
      </c>
      <c r="F8" s="8"/>
      <c r="G8" s="8" t="s">
        <v>351</v>
      </c>
      <c r="H8" s="8"/>
      <c r="I8" s="8" t="s">
        <v>6</v>
      </c>
      <c r="J8" s="8"/>
      <c r="K8" s="8" t="s">
        <v>3</v>
      </c>
      <c r="L8" s="8"/>
      <c r="M8" s="8" t="s">
        <v>352</v>
      </c>
      <c r="N8" s="8"/>
      <c r="O8" s="8" t="s">
        <v>6</v>
      </c>
      <c r="P8" s="8"/>
      <c r="Q8" s="89" t="s">
        <v>4</v>
      </c>
      <c r="R8" s="8"/>
      <c r="S8" s="8"/>
      <c r="T8" s="8"/>
      <c r="U8" s="8"/>
      <c r="V8" s="8"/>
      <c r="W8" s="8" t="s">
        <v>6</v>
      </c>
      <c r="X8" s="8"/>
      <c r="AC8" s="8" t="s">
        <v>345</v>
      </c>
      <c r="AD8" s="8"/>
      <c r="AE8" s="8" t="s">
        <v>353</v>
      </c>
      <c r="AF8" s="8"/>
      <c r="AG8" s="8"/>
      <c r="AH8" s="8"/>
      <c r="AI8" s="8" t="s">
        <v>345</v>
      </c>
      <c r="AJ8" s="8"/>
      <c r="AK8" s="89" t="s">
        <v>373</v>
      </c>
      <c r="AL8" s="8"/>
      <c r="AM8" s="8"/>
      <c r="AN8" s="8"/>
      <c r="AO8" s="8"/>
      <c r="AP8" s="8"/>
      <c r="AQ8" s="8" t="s">
        <v>4</v>
      </c>
      <c r="AR8" s="8"/>
      <c r="AS8" s="8" t="s">
        <v>368</v>
      </c>
      <c r="AT8" s="8"/>
      <c r="AU8" s="8" t="s">
        <v>413</v>
      </c>
      <c r="AV8" s="8"/>
      <c r="AW8" s="8" t="s">
        <v>419</v>
      </c>
      <c r="AX8" s="8"/>
      <c r="AY8" s="8" t="s">
        <v>355</v>
      </c>
      <c r="AZ8" s="8"/>
      <c r="BE8" s="8" t="s">
        <v>356</v>
      </c>
      <c r="BF8" s="8"/>
      <c r="BG8" s="8" t="s">
        <v>302</v>
      </c>
      <c r="BH8" s="8"/>
      <c r="BI8" s="8"/>
      <c r="BJ8" s="8"/>
      <c r="BK8" s="8" t="s">
        <v>352</v>
      </c>
      <c r="BL8" s="8"/>
      <c r="BM8" s="8" t="s">
        <v>352</v>
      </c>
      <c r="BN8" s="54"/>
    </row>
    <row r="9" spans="1:66" s="89" customFormat="1" ht="12">
      <c r="A9" s="155" t="s">
        <v>8</v>
      </c>
      <c r="C9" s="150" t="s">
        <v>9</v>
      </c>
      <c r="D9" s="8"/>
      <c r="E9" s="150" t="s">
        <v>0</v>
      </c>
      <c r="F9" s="8"/>
      <c r="G9" s="150" t="s">
        <v>0</v>
      </c>
      <c r="H9" s="8"/>
      <c r="I9" s="150" t="s">
        <v>0</v>
      </c>
      <c r="J9" s="8"/>
      <c r="K9" s="150" t="s">
        <v>1</v>
      </c>
      <c r="L9" s="8"/>
      <c r="M9" s="150" t="s">
        <v>1</v>
      </c>
      <c r="N9" s="150"/>
      <c r="O9" s="150" t="s">
        <v>1</v>
      </c>
      <c r="P9" s="8"/>
      <c r="Q9" s="150" t="s">
        <v>0</v>
      </c>
      <c r="R9" s="8"/>
      <c r="S9" s="150" t="s">
        <v>10</v>
      </c>
      <c r="T9" s="8"/>
      <c r="U9" s="150" t="s">
        <v>11</v>
      </c>
      <c r="V9" s="8"/>
      <c r="W9" s="150" t="s">
        <v>2</v>
      </c>
      <c r="X9" s="8"/>
      <c r="Y9" s="150" t="s">
        <v>8</v>
      </c>
      <c r="AA9" s="150" t="s">
        <v>9</v>
      </c>
      <c r="AB9" s="8"/>
      <c r="AC9" s="78" t="s">
        <v>302</v>
      </c>
      <c r="AD9" s="8"/>
      <c r="AE9" s="78" t="s">
        <v>357</v>
      </c>
      <c r="AF9" s="8"/>
      <c r="AG9" s="78" t="s">
        <v>357</v>
      </c>
      <c r="AH9" s="8"/>
      <c r="AI9" s="78" t="s">
        <v>358</v>
      </c>
      <c r="AJ9" s="8"/>
      <c r="AK9" s="78" t="s">
        <v>374</v>
      </c>
      <c r="AL9" s="8"/>
      <c r="AM9" s="78" t="s">
        <v>359</v>
      </c>
      <c r="AN9" s="8"/>
      <c r="AO9" s="78" t="s">
        <v>360</v>
      </c>
      <c r="AP9" s="8"/>
      <c r="AQ9" s="150" t="s">
        <v>361</v>
      </c>
      <c r="AR9" s="8"/>
      <c r="AS9" s="78" t="s">
        <v>2</v>
      </c>
      <c r="AT9" s="8"/>
      <c r="AU9" s="150" t="s">
        <v>415</v>
      </c>
      <c r="AV9" s="8"/>
      <c r="AW9" s="150" t="s">
        <v>415</v>
      </c>
      <c r="AX9" s="8"/>
      <c r="AY9" s="78" t="s">
        <v>4</v>
      </c>
      <c r="AZ9" s="8"/>
      <c r="BA9" s="150" t="s">
        <v>8</v>
      </c>
      <c r="BC9" s="150" t="s">
        <v>9</v>
      </c>
      <c r="BD9" s="8"/>
      <c r="BE9" s="78" t="s">
        <v>362</v>
      </c>
      <c r="BF9" s="8"/>
      <c r="BG9" s="78" t="s">
        <v>362</v>
      </c>
      <c r="BH9" s="8"/>
      <c r="BI9" s="78" t="s">
        <v>363</v>
      </c>
      <c r="BJ9" s="8"/>
      <c r="BK9" s="78" t="s">
        <v>364</v>
      </c>
      <c r="BL9" s="8"/>
      <c r="BM9" s="150" t="s">
        <v>364</v>
      </c>
      <c r="BN9" s="54"/>
    </row>
    <row r="10" spans="1:66" s="89" customFormat="1" ht="12">
      <c r="A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54"/>
    </row>
    <row r="11" spans="1:66" hidden="1">
      <c r="A11" s="35" t="s">
        <v>12</v>
      </c>
      <c r="C11" s="35" t="s">
        <v>13</v>
      </c>
      <c r="D11" s="35"/>
      <c r="E11" s="35">
        <f t="shared" ref="E11:E74" si="0">I11-G11</f>
        <v>0</v>
      </c>
      <c r="F11" s="35"/>
      <c r="G11" s="35"/>
      <c r="H11" s="35"/>
      <c r="I11" s="35"/>
      <c r="J11" s="35"/>
      <c r="K11" s="35">
        <f t="shared" ref="K11:K74" si="1">O11-M11</f>
        <v>0</v>
      </c>
      <c r="L11" s="35"/>
      <c r="M11" s="35">
        <f t="shared" ref="M11:M38" si="2">SUM(BM11)</f>
        <v>0</v>
      </c>
      <c r="N11" s="35"/>
      <c r="O11" s="35"/>
      <c r="P11" s="35"/>
      <c r="Q11" s="35"/>
      <c r="R11" s="35"/>
      <c r="S11" s="35"/>
      <c r="T11" s="35"/>
      <c r="U11" s="35"/>
      <c r="V11" s="35"/>
      <c r="W11" s="35">
        <f t="shared" ref="W11:W33" si="3">SUM(Q11:U11)</f>
        <v>0</v>
      </c>
      <c r="X11" s="35"/>
      <c r="Y11" s="35" t="s">
        <v>12</v>
      </c>
      <c r="Z11" s="55"/>
      <c r="AA11" s="35" t="s">
        <v>13</v>
      </c>
      <c r="AB11" s="35"/>
      <c r="AC11" s="35"/>
      <c r="AD11" s="35"/>
      <c r="AE11" s="35"/>
      <c r="AF11" s="35"/>
      <c r="AG11" s="35"/>
      <c r="AH11" s="35"/>
      <c r="AI11" s="45">
        <f>+AC11-AE11-AG11</f>
        <v>0</v>
      </c>
      <c r="AJ11" s="45"/>
      <c r="AK11" s="35"/>
      <c r="AL11" s="35"/>
      <c r="AM11" s="35"/>
      <c r="AN11" s="35"/>
      <c r="AO11" s="35"/>
      <c r="AP11" s="35"/>
      <c r="AQ11" s="35"/>
      <c r="AR11" s="35"/>
      <c r="AS11" s="45">
        <f>+AI11+AK11+AM11-AO11+AQ11</f>
        <v>0</v>
      </c>
      <c r="AT11" s="45"/>
      <c r="AU11" s="35">
        <v>0</v>
      </c>
      <c r="AV11" s="35"/>
      <c r="AW11" s="35">
        <v>0</v>
      </c>
      <c r="AX11" s="35"/>
      <c r="AY11" s="35">
        <f t="shared" ref="AY11:AY74" si="4">+E11-K11</f>
        <v>0</v>
      </c>
      <c r="AZ11" s="35"/>
      <c r="BA11" s="35" t="s">
        <v>12</v>
      </c>
      <c r="BB11" s="55"/>
      <c r="BC11" s="35" t="s">
        <v>13</v>
      </c>
      <c r="BD11" s="35"/>
      <c r="BE11" s="35"/>
      <c r="BF11" s="35"/>
      <c r="BG11" s="35"/>
      <c r="BH11" s="35"/>
      <c r="BI11" s="35"/>
      <c r="BJ11" s="35"/>
      <c r="BK11" s="35"/>
      <c r="BL11" s="35"/>
      <c r="BM11" s="35">
        <f t="shared" ref="BM11:BM27" si="5">SUM(BE11:BK11)</f>
        <v>0</v>
      </c>
      <c r="BN11" s="54" t="s">
        <v>347</v>
      </c>
    </row>
    <row r="12" spans="1:66" hidden="1">
      <c r="A12" s="35" t="s">
        <v>14</v>
      </c>
      <c r="C12" s="35" t="s">
        <v>15</v>
      </c>
      <c r="D12" s="35"/>
      <c r="E12" s="35">
        <f t="shared" si="0"/>
        <v>0</v>
      </c>
      <c r="F12" s="35"/>
      <c r="G12" s="35">
        <v>0</v>
      </c>
      <c r="H12" s="35"/>
      <c r="I12" s="35">
        <v>0</v>
      </c>
      <c r="J12" s="35"/>
      <c r="K12" s="35">
        <f t="shared" si="1"/>
        <v>0</v>
      </c>
      <c r="L12" s="35"/>
      <c r="M12" s="35">
        <f t="shared" si="2"/>
        <v>0</v>
      </c>
      <c r="N12" s="35"/>
      <c r="O12" s="35">
        <v>0</v>
      </c>
      <c r="P12" s="35"/>
      <c r="Q12" s="35">
        <v>0</v>
      </c>
      <c r="R12" s="35"/>
      <c r="S12" s="35">
        <v>0</v>
      </c>
      <c r="T12" s="35"/>
      <c r="U12" s="35">
        <v>0</v>
      </c>
      <c r="V12" s="35"/>
      <c r="W12" s="35">
        <f t="shared" si="3"/>
        <v>0</v>
      </c>
      <c r="X12" s="35"/>
      <c r="Y12" s="35" t="s">
        <v>14</v>
      </c>
      <c r="Z12" s="55"/>
      <c r="AA12" s="35" t="s">
        <v>15</v>
      </c>
      <c r="AB12" s="35"/>
      <c r="AC12" s="35">
        <v>0</v>
      </c>
      <c r="AD12" s="35"/>
      <c r="AE12" s="35">
        <v>0</v>
      </c>
      <c r="AF12" s="35"/>
      <c r="AG12" s="35">
        <v>0</v>
      </c>
      <c r="AH12" s="35"/>
      <c r="AI12" s="45">
        <v>0</v>
      </c>
      <c r="AJ12" s="45"/>
      <c r="AK12" s="35">
        <v>0</v>
      </c>
      <c r="AL12" s="35"/>
      <c r="AM12" s="35">
        <v>0</v>
      </c>
      <c r="AN12" s="35"/>
      <c r="AO12" s="35">
        <v>0</v>
      </c>
      <c r="AP12" s="35"/>
      <c r="AQ12" s="35">
        <v>0</v>
      </c>
      <c r="AR12" s="35"/>
      <c r="AS12" s="45">
        <v>0</v>
      </c>
      <c r="AT12" s="45"/>
      <c r="AU12" s="35">
        <v>0</v>
      </c>
      <c r="AV12" s="35"/>
      <c r="AW12" s="35">
        <v>0</v>
      </c>
      <c r="AX12" s="35"/>
      <c r="AY12" s="35">
        <f t="shared" si="4"/>
        <v>0</v>
      </c>
      <c r="AZ12" s="35"/>
      <c r="BA12" s="35" t="s">
        <v>14</v>
      </c>
      <c r="BB12" s="55"/>
      <c r="BC12" s="35" t="s">
        <v>15</v>
      </c>
      <c r="BD12" s="35"/>
      <c r="BE12" s="35">
        <v>0</v>
      </c>
      <c r="BF12" s="35"/>
      <c r="BG12" s="35">
        <v>0</v>
      </c>
      <c r="BH12" s="35"/>
      <c r="BI12" s="35">
        <v>0</v>
      </c>
      <c r="BJ12" s="35"/>
      <c r="BK12" s="35">
        <v>0</v>
      </c>
      <c r="BL12" s="35"/>
      <c r="BM12" s="35">
        <f t="shared" si="5"/>
        <v>0</v>
      </c>
      <c r="BN12" s="54" t="s">
        <v>347</v>
      </c>
    </row>
    <row r="13" spans="1:66" s="90" customFormat="1" hidden="1">
      <c r="A13" s="35" t="s">
        <v>16</v>
      </c>
      <c r="B13" s="51"/>
      <c r="C13" s="35" t="s">
        <v>17</v>
      </c>
      <c r="D13" s="35"/>
      <c r="E13" s="64">
        <f t="shared" si="0"/>
        <v>0</v>
      </c>
      <c r="F13" s="64"/>
      <c r="G13" s="64"/>
      <c r="H13" s="64"/>
      <c r="I13" s="64"/>
      <c r="J13" s="64"/>
      <c r="K13" s="64">
        <f t="shared" si="1"/>
        <v>0</v>
      </c>
      <c r="L13" s="64"/>
      <c r="M13" s="64">
        <v>0</v>
      </c>
      <c r="N13" s="64"/>
      <c r="O13" s="64"/>
      <c r="P13" s="64"/>
      <c r="Q13" s="64"/>
      <c r="R13" s="64"/>
      <c r="S13" s="64">
        <v>0</v>
      </c>
      <c r="T13" s="64"/>
      <c r="U13" s="64"/>
      <c r="V13" s="64"/>
      <c r="W13" s="64">
        <f t="shared" si="3"/>
        <v>0</v>
      </c>
      <c r="X13" s="35"/>
      <c r="Y13" s="35" t="s">
        <v>16</v>
      </c>
      <c r="Z13" s="55"/>
      <c r="AA13" s="35" t="s">
        <v>17</v>
      </c>
      <c r="AB13" s="35"/>
      <c r="AC13" s="64">
        <v>0</v>
      </c>
      <c r="AD13" s="64"/>
      <c r="AE13" s="64">
        <v>0</v>
      </c>
      <c r="AF13" s="64"/>
      <c r="AG13" s="64">
        <v>0</v>
      </c>
      <c r="AH13" s="64"/>
      <c r="AI13" s="94">
        <f>+AC13-AE13-AG13</f>
        <v>0</v>
      </c>
      <c r="AJ13" s="94"/>
      <c r="AK13" s="64"/>
      <c r="AL13" s="64"/>
      <c r="AM13" s="64">
        <v>0</v>
      </c>
      <c r="AN13" s="64"/>
      <c r="AO13" s="64">
        <v>0</v>
      </c>
      <c r="AP13" s="64"/>
      <c r="AQ13" s="64">
        <v>0</v>
      </c>
      <c r="AR13" s="64"/>
      <c r="AS13" s="94">
        <f>+AI13+AK13+AM13-AO13+AQ13</f>
        <v>0</v>
      </c>
      <c r="AT13" s="94"/>
      <c r="AU13" s="64">
        <v>0</v>
      </c>
      <c r="AV13" s="64"/>
      <c r="AW13" s="64">
        <v>0</v>
      </c>
      <c r="AX13" s="64"/>
      <c r="AY13" s="64">
        <f t="shared" si="4"/>
        <v>0</v>
      </c>
      <c r="AZ13" s="35"/>
      <c r="BA13" s="35" t="s">
        <v>16</v>
      </c>
      <c r="BB13" s="55"/>
      <c r="BC13" s="35" t="s">
        <v>17</v>
      </c>
      <c r="BD13" s="35"/>
      <c r="BE13" s="64">
        <v>0</v>
      </c>
      <c r="BF13" s="64"/>
      <c r="BG13" s="64"/>
      <c r="BH13" s="64"/>
      <c r="BI13" s="64"/>
      <c r="BJ13" s="64"/>
      <c r="BK13" s="64"/>
      <c r="BL13" s="64"/>
      <c r="BM13" s="64">
        <f t="shared" si="5"/>
        <v>0</v>
      </c>
      <c r="BN13" s="91" t="s">
        <v>347</v>
      </c>
    </row>
    <row r="14" spans="1:66" s="90" customFormat="1">
      <c r="A14" s="64" t="s">
        <v>18</v>
      </c>
      <c r="B14" s="66"/>
      <c r="C14" s="64" t="s">
        <v>18</v>
      </c>
      <c r="D14" s="64"/>
      <c r="E14" s="64">
        <f t="shared" si="0"/>
        <v>599031</v>
      </c>
      <c r="F14" s="64"/>
      <c r="G14" s="64">
        <v>333676</v>
      </c>
      <c r="H14" s="64"/>
      <c r="I14" s="64">
        <v>932707</v>
      </c>
      <c r="J14" s="64"/>
      <c r="K14" s="64">
        <f t="shared" si="1"/>
        <v>71408</v>
      </c>
      <c r="L14" s="64"/>
      <c r="M14" s="64">
        <v>34271</v>
      </c>
      <c r="N14" s="64"/>
      <c r="O14" s="64">
        <v>105679</v>
      </c>
      <c r="P14" s="64"/>
      <c r="Q14" s="64">
        <v>333676</v>
      </c>
      <c r="R14" s="64"/>
      <c r="S14" s="64">
        <v>0</v>
      </c>
      <c r="T14" s="64"/>
      <c r="U14" s="64">
        <v>493352</v>
      </c>
      <c r="V14" s="64"/>
      <c r="W14" s="64">
        <f t="shared" si="3"/>
        <v>827028</v>
      </c>
      <c r="X14" s="64"/>
      <c r="Y14" s="64" t="s">
        <v>18</v>
      </c>
      <c r="AA14" s="64" t="s">
        <v>18</v>
      </c>
      <c r="AB14" s="64"/>
      <c r="AC14" s="64">
        <v>1778208</v>
      </c>
      <c r="AD14" s="64"/>
      <c r="AE14" s="64">
        <f>1675856-69810</f>
        <v>1606046</v>
      </c>
      <c r="AF14" s="64"/>
      <c r="AG14" s="64">
        <v>69810</v>
      </c>
      <c r="AH14" s="64"/>
      <c r="AI14" s="94">
        <f>+AC14-AE14-AG14</f>
        <v>102352</v>
      </c>
      <c r="AJ14" s="94"/>
      <c r="AK14" s="64">
        <v>0</v>
      </c>
      <c r="AL14" s="64"/>
      <c r="AM14" s="64">
        <v>5767</v>
      </c>
      <c r="AN14" s="64"/>
      <c r="AO14" s="64">
        <v>0</v>
      </c>
      <c r="AP14" s="64"/>
      <c r="AQ14" s="64">
        <v>0</v>
      </c>
      <c r="AR14" s="64"/>
      <c r="AS14" s="94">
        <f>+AI14+AK14+AM14-AO14+AQ14</f>
        <v>108119</v>
      </c>
      <c r="AT14" s="94"/>
      <c r="AU14" s="64">
        <v>0</v>
      </c>
      <c r="AV14" s="64"/>
      <c r="AW14" s="64">
        <v>0</v>
      </c>
      <c r="AX14" s="64"/>
      <c r="AY14" s="64">
        <f t="shared" si="4"/>
        <v>527623</v>
      </c>
      <c r="AZ14" s="64"/>
      <c r="BA14" s="64" t="s">
        <v>18</v>
      </c>
      <c r="BC14" s="64" t="s">
        <v>18</v>
      </c>
      <c r="BD14" s="64"/>
      <c r="BE14" s="64">
        <v>0</v>
      </c>
      <c r="BF14" s="64"/>
      <c r="BG14" s="64">
        <v>0</v>
      </c>
      <c r="BH14" s="64"/>
      <c r="BI14" s="64">
        <v>0</v>
      </c>
      <c r="BJ14" s="64"/>
      <c r="BK14" s="64">
        <f>108+34271</f>
        <v>34379</v>
      </c>
      <c r="BL14" s="64"/>
      <c r="BM14" s="64">
        <f t="shared" si="5"/>
        <v>34379</v>
      </c>
      <c r="BN14" s="91" t="s">
        <v>347</v>
      </c>
    </row>
    <row r="15" spans="1:66" hidden="1">
      <c r="A15" s="35" t="s">
        <v>19</v>
      </c>
      <c r="C15" s="35" t="s">
        <v>19</v>
      </c>
      <c r="D15" s="35"/>
      <c r="E15" s="35">
        <f t="shared" si="0"/>
        <v>0</v>
      </c>
      <c r="F15" s="35"/>
      <c r="G15" s="35"/>
      <c r="H15" s="35"/>
      <c r="I15" s="35"/>
      <c r="J15" s="35"/>
      <c r="K15" s="35">
        <f t="shared" si="1"/>
        <v>0</v>
      </c>
      <c r="L15" s="35"/>
      <c r="M15" s="35">
        <f t="shared" si="2"/>
        <v>0</v>
      </c>
      <c r="N15" s="35"/>
      <c r="O15" s="35"/>
      <c r="P15" s="35"/>
      <c r="Q15" s="35"/>
      <c r="R15" s="35"/>
      <c r="S15" s="35">
        <v>0</v>
      </c>
      <c r="T15" s="35"/>
      <c r="U15" s="35"/>
      <c r="V15" s="35"/>
      <c r="W15" s="35">
        <f t="shared" si="3"/>
        <v>0</v>
      </c>
      <c r="X15" s="35"/>
      <c r="Y15" s="35" t="s">
        <v>19</v>
      </c>
      <c r="Z15" s="55"/>
      <c r="AA15" s="35" t="s">
        <v>19</v>
      </c>
      <c r="AB15" s="35"/>
      <c r="AC15" s="35">
        <v>0</v>
      </c>
      <c r="AD15" s="35"/>
      <c r="AE15" s="35">
        <v>0</v>
      </c>
      <c r="AF15" s="35"/>
      <c r="AG15" s="35">
        <v>0</v>
      </c>
      <c r="AH15" s="35"/>
      <c r="AI15" s="45">
        <v>0</v>
      </c>
      <c r="AJ15" s="45"/>
      <c r="AK15" s="35"/>
      <c r="AL15" s="35"/>
      <c r="AM15" s="35">
        <v>0</v>
      </c>
      <c r="AN15" s="35"/>
      <c r="AO15" s="35">
        <v>0</v>
      </c>
      <c r="AP15" s="35"/>
      <c r="AQ15" s="35">
        <v>0</v>
      </c>
      <c r="AR15" s="35"/>
      <c r="AS15" s="45">
        <f>+AI15+AK15+AM15-AO15+AQ15</f>
        <v>0</v>
      </c>
      <c r="AT15" s="45"/>
      <c r="AU15" s="35">
        <v>0</v>
      </c>
      <c r="AV15" s="35"/>
      <c r="AW15" s="35">
        <v>0</v>
      </c>
      <c r="AX15" s="35"/>
      <c r="AY15" s="35">
        <f t="shared" si="4"/>
        <v>0</v>
      </c>
      <c r="AZ15" s="35"/>
      <c r="BA15" s="35" t="s">
        <v>19</v>
      </c>
      <c r="BB15" s="55"/>
      <c r="BC15" s="35" t="s">
        <v>19</v>
      </c>
      <c r="BD15" s="35"/>
      <c r="BE15" s="35"/>
      <c r="BF15" s="35"/>
      <c r="BG15" s="35"/>
      <c r="BH15" s="35"/>
      <c r="BI15" s="35"/>
      <c r="BJ15" s="35"/>
      <c r="BK15" s="35"/>
      <c r="BL15" s="35"/>
      <c r="BM15" s="35">
        <f t="shared" si="5"/>
        <v>0</v>
      </c>
      <c r="BN15" s="54" t="s">
        <v>347</v>
      </c>
    </row>
    <row r="16" spans="1:66" hidden="1">
      <c r="A16" s="35" t="s">
        <v>20</v>
      </c>
      <c r="C16" s="35" t="s">
        <v>20</v>
      </c>
      <c r="D16" s="35"/>
      <c r="E16" s="35">
        <f t="shared" si="0"/>
        <v>0</v>
      </c>
      <c r="F16" s="35"/>
      <c r="G16" s="35"/>
      <c r="H16" s="35"/>
      <c r="I16" s="35"/>
      <c r="J16" s="35"/>
      <c r="K16" s="35">
        <f t="shared" si="1"/>
        <v>0</v>
      </c>
      <c r="L16" s="35"/>
      <c r="M16" s="35">
        <f t="shared" si="2"/>
        <v>0</v>
      </c>
      <c r="N16" s="35"/>
      <c r="O16" s="35"/>
      <c r="P16" s="35"/>
      <c r="Q16" s="35"/>
      <c r="R16" s="35"/>
      <c r="S16" s="35">
        <v>0</v>
      </c>
      <c r="T16" s="35"/>
      <c r="U16" s="35"/>
      <c r="V16" s="35"/>
      <c r="W16" s="35">
        <f t="shared" si="3"/>
        <v>0</v>
      </c>
      <c r="X16" s="35"/>
      <c r="Y16" s="35" t="s">
        <v>20</v>
      </c>
      <c r="Z16" s="55"/>
      <c r="AA16" s="35" t="s">
        <v>20</v>
      </c>
      <c r="AB16" s="35"/>
      <c r="AC16" s="35">
        <v>0</v>
      </c>
      <c r="AD16" s="35"/>
      <c r="AE16" s="35">
        <v>0</v>
      </c>
      <c r="AF16" s="35"/>
      <c r="AG16" s="35">
        <v>0</v>
      </c>
      <c r="AH16" s="35"/>
      <c r="AI16" s="45">
        <v>0</v>
      </c>
      <c r="AJ16" s="45"/>
      <c r="AK16" s="35"/>
      <c r="AL16" s="35"/>
      <c r="AM16" s="35">
        <v>0</v>
      </c>
      <c r="AN16" s="35"/>
      <c r="AO16" s="35">
        <v>0</v>
      </c>
      <c r="AP16" s="35"/>
      <c r="AQ16" s="35">
        <v>0</v>
      </c>
      <c r="AR16" s="35"/>
      <c r="AS16" s="45">
        <f>+AI16+AK16+AM16-AO16+AQ16</f>
        <v>0</v>
      </c>
      <c r="AT16" s="45"/>
      <c r="AU16" s="35">
        <v>0</v>
      </c>
      <c r="AV16" s="35"/>
      <c r="AW16" s="35">
        <v>0</v>
      </c>
      <c r="AX16" s="35"/>
      <c r="AY16" s="35">
        <f t="shared" si="4"/>
        <v>0</v>
      </c>
      <c r="AZ16" s="35"/>
      <c r="BA16" s="35" t="s">
        <v>20</v>
      </c>
      <c r="BB16" s="55"/>
      <c r="BC16" s="35" t="s">
        <v>20</v>
      </c>
      <c r="BD16" s="35"/>
      <c r="BE16" s="35"/>
      <c r="BF16" s="35"/>
      <c r="BG16" s="35"/>
      <c r="BH16" s="35"/>
      <c r="BI16" s="35"/>
      <c r="BJ16" s="35"/>
      <c r="BK16" s="35"/>
      <c r="BL16" s="35"/>
      <c r="BM16" s="35">
        <f t="shared" si="5"/>
        <v>0</v>
      </c>
      <c r="BN16" s="54" t="s">
        <v>347</v>
      </c>
    </row>
    <row r="17" spans="1:67" hidden="1">
      <c r="A17" s="35" t="s">
        <v>21</v>
      </c>
      <c r="C17" s="35" t="s">
        <v>22</v>
      </c>
      <c r="D17" s="35"/>
      <c r="E17" s="35">
        <f t="shared" si="0"/>
        <v>0</v>
      </c>
      <c r="F17" s="35"/>
      <c r="G17" s="35"/>
      <c r="H17" s="35"/>
      <c r="I17" s="35"/>
      <c r="J17" s="35"/>
      <c r="K17" s="35">
        <f t="shared" si="1"/>
        <v>0</v>
      </c>
      <c r="L17" s="35"/>
      <c r="M17" s="35">
        <f t="shared" si="2"/>
        <v>0</v>
      </c>
      <c r="N17" s="35"/>
      <c r="O17" s="35"/>
      <c r="P17" s="35"/>
      <c r="Q17" s="35"/>
      <c r="R17" s="35"/>
      <c r="S17" s="35">
        <v>0</v>
      </c>
      <c r="T17" s="35"/>
      <c r="U17" s="35"/>
      <c r="V17" s="35"/>
      <c r="W17" s="35">
        <f t="shared" si="3"/>
        <v>0</v>
      </c>
      <c r="X17" s="35"/>
      <c r="Y17" s="35" t="s">
        <v>21</v>
      </c>
      <c r="Z17" s="55"/>
      <c r="AA17" s="35" t="s">
        <v>22</v>
      </c>
      <c r="AB17" s="35"/>
      <c r="AC17" s="35">
        <v>0</v>
      </c>
      <c r="AD17" s="35"/>
      <c r="AE17" s="35">
        <v>0</v>
      </c>
      <c r="AF17" s="35"/>
      <c r="AG17" s="35">
        <v>0</v>
      </c>
      <c r="AH17" s="35"/>
      <c r="AI17" s="45">
        <f t="shared" ref="AI17:AI31" si="6">+AC17-AE17-AG17</f>
        <v>0</v>
      </c>
      <c r="AJ17" s="45"/>
      <c r="AK17" s="35"/>
      <c r="AL17" s="35"/>
      <c r="AM17" s="35">
        <v>0</v>
      </c>
      <c r="AN17" s="35"/>
      <c r="AO17" s="35">
        <v>0</v>
      </c>
      <c r="AP17" s="35"/>
      <c r="AQ17" s="35">
        <v>0</v>
      </c>
      <c r="AR17" s="35"/>
      <c r="AS17" s="45">
        <f>+AI17+AK17+AM17-AO17+AQ17</f>
        <v>0</v>
      </c>
      <c r="AT17" s="45"/>
      <c r="AU17" s="35">
        <v>0</v>
      </c>
      <c r="AV17" s="35"/>
      <c r="AW17" s="35">
        <v>0</v>
      </c>
      <c r="AX17" s="35"/>
      <c r="AY17" s="35">
        <f t="shared" si="4"/>
        <v>0</v>
      </c>
      <c r="AZ17" s="35"/>
      <c r="BA17" s="35" t="s">
        <v>21</v>
      </c>
      <c r="BB17" s="55"/>
      <c r="BC17" s="35" t="s">
        <v>22</v>
      </c>
      <c r="BD17" s="35"/>
      <c r="BE17" s="35"/>
      <c r="BF17" s="35"/>
      <c r="BG17" s="35"/>
      <c r="BH17" s="35"/>
      <c r="BI17" s="35"/>
      <c r="BJ17" s="35"/>
      <c r="BK17" s="35"/>
      <c r="BL17" s="35"/>
      <c r="BM17" s="35">
        <f t="shared" si="5"/>
        <v>0</v>
      </c>
      <c r="BN17" s="54" t="s">
        <v>347</v>
      </c>
    </row>
    <row r="18" spans="1:67" hidden="1">
      <c r="A18" s="35" t="s">
        <v>23</v>
      </c>
      <c r="C18" s="35" t="s">
        <v>17</v>
      </c>
      <c r="D18" s="35"/>
      <c r="E18" s="35">
        <f t="shared" si="0"/>
        <v>0</v>
      </c>
      <c r="F18" s="35"/>
      <c r="G18" s="35"/>
      <c r="H18" s="35"/>
      <c r="I18" s="35"/>
      <c r="J18" s="35"/>
      <c r="K18" s="35">
        <f t="shared" si="1"/>
        <v>0</v>
      </c>
      <c r="L18" s="35"/>
      <c r="M18" s="35">
        <f t="shared" si="2"/>
        <v>0</v>
      </c>
      <c r="N18" s="35"/>
      <c r="O18" s="35"/>
      <c r="P18" s="35"/>
      <c r="Q18" s="35"/>
      <c r="R18" s="35"/>
      <c r="S18" s="35">
        <v>0</v>
      </c>
      <c r="T18" s="35"/>
      <c r="U18" s="35"/>
      <c r="V18" s="35"/>
      <c r="W18" s="35">
        <f t="shared" si="3"/>
        <v>0</v>
      </c>
      <c r="X18" s="35"/>
      <c r="Y18" s="35" t="s">
        <v>23</v>
      </c>
      <c r="Z18" s="55"/>
      <c r="AA18" s="35" t="s">
        <v>17</v>
      </c>
      <c r="AB18" s="35"/>
      <c r="AC18" s="35">
        <v>0</v>
      </c>
      <c r="AD18" s="35"/>
      <c r="AE18" s="35">
        <v>0</v>
      </c>
      <c r="AF18" s="35"/>
      <c r="AG18" s="35">
        <v>0</v>
      </c>
      <c r="AH18" s="35"/>
      <c r="AI18" s="45">
        <f t="shared" si="6"/>
        <v>0</v>
      </c>
      <c r="AJ18" s="45"/>
      <c r="AK18" s="35"/>
      <c r="AL18" s="35"/>
      <c r="AM18" s="35">
        <v>0</v>
      </c>
      <c r="AN18" s="35"/>
      <c r="AO18" s="35">
        <v>0</v>
      </c>
      <c r="AP18" s="35"/>
      <c r="AQ18" s="35">
        <v>0</v>
      </c>
      <c r="AR18" s="35"/>
      <c r="AS18" s="45">
        <v>0</v>
      </c>
      <c r="AT18" s="45"/>
      <c r="AU18" s="35">
        <v>0</v>
      </c>
      <c r="AV18" s="35"/>
      <c r="AW18" s="35">
        <v>0</v>
      </c>
      <c r="AX18" s="35"/>
      <c r="AY18" s="35">
        <f t="shared" si="4"/>
        <v>0</v>
      </c>
      <c r="AZ18" s="35"/>
      <c r="BA18" s="35" t="s">
        <v>23</v>
      </c>
      <c r="BB18" s="55"/>
      <c r="BC18" s="35" t="s">
        <v>17</v>
      </c>
      <c r="BD18" s="35"/>
      <c r="BE18" s="35"/>
      <c r="BF18" s="35"/>
      <c r="BG18" s="35"/>
      <c r="BH18" s="35"/>
      <c r="BI18" s="35"/>
      <c r="BJ18" s="35"/>
      <c r="BK18" s="35"/>
      <c r="BL18" s="35"/>
      <c r="BM18" s="35">
        <f t="shared" si="5"/>
        <v>0</v>
      </c>
      <c r="BN18" s="54" t="s">
        <v>347</v>
      </c>
    </row>
    <row r="19" spans="1:67" hidden="1">
      <c r="A19" s="35" t="s">
        <v>24</v>
      </c>
      <c r="C19" s="35" t="s">
        <v>17</v>
      </c>
      <c r="D19" s="35"/>
      <c r="E19" s="35">
        <f t="shared" si="0"/>
        <v>0</v>
      </c>
      <c r="F19" s="35"/>
      <c r="G19" s="35"/>
      <c r="H19" s="35"/>
      <c r="I19" s="35"/>
      <c r="J19" s="35"/>
      <c r="K19" s="35">
        <f t="shared" si="1"/>
        <v>0</v>
      </c>
      <c r="L19" s="35"/>
      <c r="M19" s="35">
        <f t="shared" si="2"/>
        <v>0</v>
      </c>
      <c r="N19" s="35"/>
      <c r="O19" s="35"/>
      <c r="P19" s="35"/>
      <c r="Q19" s="35"/>
      <c r="R19" s="35"/>
      <c r="S19" s="35"/>
      <c r="T19" s="35"/>
      <c r="U19" s="35"/>
      <c r="V19" s="35"/>
      <c r="W19" s="35">
        <f t="shared" si="3"/>
        <v>0</v>
      </c>
      <c r="X19" s="35"/>
      <c r="Y19" s="35" t="s">
        <v>24</v>
      </c>
      <c r="Z19" s="55"/>
      <c r="AA19" s="35" t="s">
        <v>17</v>
      </c>
      <c r="AB19" s="35"/>
      <c r="AC19" s="35"/>
      <c r="AD19" s="35"/>
      <c r="AE19" s="35"/>
      <c r="AF19" s="35"/>
      <c r="AG19" s="35"/>
      <c r="AH19" s="35"/>
      <c r="AI19" s="45">
        <f t="shared" si="6"/>
        <v>0</v>
      </c>
      <c r="AJ19" s="45"/>
      <c r="AK19" s="35"/>
      <c r="AL19" s="35"/>
      <c r="AM19" s="35"/>
      <c r="AN19" s="35"/>
      <c r="AO19" s="35"/>
      <c r="AP19" s="35"/>
      <c r="AQ19" s="35"/>
      <c r="AR19" s="35"/>
      <c r="AS19" s="45">
        <f t="shared" ref="AS19:AS27" si="7">+AI19+AK19+AM19-AO19+AQ19</f>
        <v>0</v>
      </c>
      <c r="AT19" s="45"/>
      <c r="AU19" s="35">
        <v>0</v>
      </c>
      <c r="AV19" s="35"/>
      <c r="AW19" s="35">
        <v>0</v>
      </c>
      <c r="AX19" s="35"/>
      <c r="AY19" s="35">
        <f t="shared" si="4"/>
        <v>0</v>
      </c>
      <c r="AZ19" s="35"/>
      <c r="BA19" s="35" t="s">
        <v>24</v>
      </c>
      <c r="BB19" s="55"/>
      <c r="BC19" s="35" t="s">
        <v>17</v>
      </c>
      <c r="BD19" s="35"/>
      <c r="BE19" s="35"/>
      <c r="BF19" s="35"/>
      <c r="BG19" s="35"/>
      <c r="BH19" s="35"/>
      <c r="BI19" s="35"/>
      <c r="BJ19" s="35"/>
      <c r="BK19" s="35"/>
      <c r="BL19" s="35"/>
      <c r="BM19" s="35">
        <f t="shared" si="5"/>
        <v>0</v>
      </c>
      <c r="BN19" s="54" t="s">
        <v>347</v>
      </c>
    </row>
    <row r="20" spans="1:67" hidden="1">
      <c r="A20" s="35" t="s">
        <v>25</v>
      </c>
      <c r="C20" s="35" t="s">
        <v>13</v>
      </c>
      <c r="D20" s="35"/>
      <c r="E20" s="35">
        <f t="shared" si="0"/>
        <v>0</v>
      </c>
      <c r="F20" s="35"/>
      <c r="G20" s="35"/>
      <c r="H20" s="35"/>
      <c r="I20" s="35"/>
      <c r="J20" s="35"/>
      <c r="K20" s="35">
        <f t="shared" si="1"/>
        <v>0</v>
      </c>
      <c r="L20" s="35"/>
      <c r="M20" s="35">
        <f t="shared" si="2"/>
        <v>0</v>
      </c>
      <c r="N20" s="35"/>
      <c r="O20" s="35"/>
      <c r="P20" s="35"/>
      <c r="Q20" s="35"/>
      <c r="R20" s="35"/>
      <c r="S20" s="35">
        <v>0</v>
      </c>
      <c r="T20" s="35"/>
      <c r="U20" s="35"/>
      <c r="V20" s="35"/>
      <c r="W20" s="35">
        <f t="shared" si="3"/>
        <v>0</v>
      </c>
      <c r="X20" s="35"/>
      <c r="Y20" s="35" t="s">
        <v>25</v>
      </c>
      <c r="Z20" s="55"/>
      <c r="AA20" s="35" t="s">
        <v>13</v>
      </c>
      <c r="AB20" s="35"/>
      <c r="AC20" s="35">
        <v>0</v>
      </c>
      <c r="AD20" s="35"/>
      <c r="AE20" s="35">
        <v>0</v>
      </c>
      <c r="AF20" s="35"/>
      <c r="AG20" s="35">
        <v>0</v>
      </c>
      <c r="AH20" s="35"/>
      <c r="AI20" s="45">
        <f t="shared" si="6"/>
        <v>0</v>
      </c>
      <c r="AJ20" s="45"/>
      <c r="AK20" s="35"/>
      <c r="AL20" s="35"/>
      <c r="AM20" s="35">
        <v>0</v>
      </c>
      <c r="AN20" s="35"/>
      <c r="AO20" s="35">
        <v>0</v>
      </c>
      <c r="AP20" s="35"/>
      <c r="AQ20" s="35">
        <v>0</v>
      </c>
      <c r="AR20" s="35"/>
      <c r="AS20" s="45">
        <f t="shared" si="7"/>
        <v>0</v>
      </c>
      <c r="AT20" s="45"/>
      <c r="AU20" s="35">
        <v>0</v>
      </c>
      <c r="AV20" s="35"/>
      <c r="AW20" s="35">
        <v>0</v>
      </c>
      <c r="AX20" s="35"/>
      <c r="AY20" s="35">
        <f t="shared" si="4"/>
        <v>0</v>
      </c>
      <c r="AZ20" s="35"/>
      <c r="BA20" s="35" t="s">
        <v>25</v>
      </c>
      <c r="BB20" s="55"/>
      <c r="BC20" s="35" t="s">
        <v>13</v>
      </c>
      <c r="BD20" s="35"/>
      <c r="BE20" s="35"/>
      <c r="BF20" s="35"/>
      <c r="BG20" s="35"/>
      <c r="BH20" s="35"/>
      <c r="BI20" s="35"/>
      <c r="BJ20" s="35"/>
      <c r="BK20" s="35"/>
      <c r="BL20" s="35"/>
      <c r="BM20" s="35">
        <f t="shared" si="5"/>
        <v>0</v>
      </c>
      <c r="BN20" s="54" t="s">
        <v>347</v>
      </c>
    </row>
    <row r="21" spans="1:67" hidden="1">
      <c r="A21" s="35" t="s">
        <v>26</v>
      </c>
      <c r="C21" s="35" t="s">
        <v>27</v>
      </c>
      <c r="D21" s="35"/>
      <c r="E21" s="35">
        <f t="shared" si="0"/>
        <v>0</v>
      </c>
      <c r="F21" s="35"/>
      <c r="G21" s="35"/>
      <c r="H21" s="35"/>
      <c r="I21" s="35"/>
      <c r="J21" s="35"/>
      <c r="K21" s="35">
        <f t="shared" si="1"/>
        <v>0</v>
      </c>
      <c r="L21" s="35"/>
      <c r="M21" s="35">
        <f t="shared" si="2"/>
        <v>0</v>
      </c>
      <c r="N21" s="35"/>
      <c r="O21" s="35"/>
      <c r="P21" s="35"/>
      <c r="Q21" s="35"/>
      <c r="R21" s="35"/>
      <c r="S21" s="35">
        <v>0</v>
      </c>
      <c r="T21" s="35"/>
      <c r="U21" s="35"/>
      <c r="V21" s="35"/>
      <c r="W21" s="35">
        <f t="shared" si="3"/>
        <v>0</v>
      </c>
      <c r="X21" s="35"/>
      <c r="Y21" s="35" t="s">
        <v>26</v>
      </c>
      <c r="Z21" s="55"/>
      <c r="AA21" s="35" t="s">
        <v>27</v>
      </c>
      <c r="AB21" s="35"/>
      <c r="AC21" s="35">
        <v>0</v>
      </c>
      <c r="AD21" s="35"/>
      <c r="AE21" s="35">
        <v>0</v>
      </c>
      <c r="AF21" s="35"/>
      <c r="AG21" s="35">
        <v>0</v>
      </c>
      <c r="AH21" s="35"/>
      <c r="AI21" s="45">
        <f t="shared" si="6"/>
        <v>0</v>
      </c>
      <c r="AJ21" s="45"/>
      <c r="AK21" s="35"/>
      <c r="AL21" s="35"/>
      <c r="AM21" s="35">
        <v>0</v>
      </c>
      <c r="AN21" s="35"/>
      <c r="AO21" s="35">
        <v>0</v>
      </c>
      <c r="AP21" s="35"/>
      <c r="AQ21" s="35">
        <v>0</v>
      </c>
      <c r="AR21" s="35"/>
      <c r="AS21" s="45">
        <f t="shared" si="7"/>
        <v>0</v>
      </c>
      <c r="AT21" s="45"/>
      <c r="AU21" s="35">
        <v>0</v>
      </c>
      <c r="AV21" s="35"/>
      <c r="AW21" s="35">
        <v>0</v>
      </c>
      <c r="AX21" s="35"/>
      <c r="AY21" s="35">
        <f t="shared" si="4"/>
        <v>0</v>
      </c>
      <c r="AZ21" s="35"/>
      <c r="BA21" s="35" t="s">
        <v>26</v>
      </c>
      <c r="BB21" s="55"/>
      <c r="BC21" s="35" t="s">
        <v>27</v>
      </c>
      <c r="BD21" s="35"/>
      <c r="BE21" s="35"/>
      <c r="BF21" s="35"/>
      <c r="BG21" s="35"/>
      <c r="BH21" s="35"/>
      <c r="BI21" s="35"/>
      <c r="BJ21" s="35"/>
      <c r="BK21" s="35"/>
      <c r="BL21" s="35"/>
      <c r="BM21" s="35">
        <f t="shared" si="5"/>
        <v>0</v>
      </c>
      <c r="BN21" s="54" t="s">
        <v>347</v>
      </c>
    </row>
    <row r="22" spans="1:67" hidden="1">
      <c r="A22" s="35" t="s">
        <v>28</v>
      </c>
      <c r="C22" s="35" t="s">
        <v>27</v>
      </c>
      <c r="D22" s="35"/>
      <c r="E22" s="35">
        <f t="shared" si="0"/>
        <v>0</v>
      </c>
      <c r="F22" s="35"/>
      <c r="G22" s="35"/>
      <c r="H22" s="35"/>
      <c r="I22" s="35"/>
      <c r="J22" s="35"/>
      <c r="K22" s="35">
        <f t="shared" si="1"/>
        <v>0</v>
      </c>
      <c r="L22" s="35"/>
      <c r="M22" s="35">
        <f t="shared" si="2"/>
        <v>0</v>
      </c>
      <c r="N22" s="35"/>
      <c r="O22" s="35"/>
      <c r="P22" s="35"/>
      <c r="Q22" s="35"/>
      <c r="R22" s="35"/>
      <c r="S22" s="35">
        <v>0</v>
      </c>
      <c r="T22" s="35"/>
      <c r="U22" s="35"/>
      <c r="V22" s="35"/>
      <c r="W22" s="35">
        <f t="shared" si="3"/>
        <v>0</v>
      </c>
      <c r="X22" s="35"/>
      <c r="Y22" s="35" t="s">
        <v>28</v>
      </c>
      <c r="Z22" s="55"/>
      <c r="AA22" s="35" t="s">
        <v>27</v>
      </c>
      <c r="AB22" s="35"/>
      <c r="AC22" s="35">
        <v>0</v>
      </c>
      <c r="AD22" s="35"/>
      <c r="AE22" s="35">
        <v>0</v>
      </c>
      <c r="AF22" s="35"/>
      <c r="AG22" s="35">
        <v>0</v>
      </c>
      <c r="AH22" s="35"/>
      <c r="AI22" s="45">
        <f t="shared" si="6"/>
        <v>0</v>
      </c>
      <c r="AJ22" s="45"/>
      <c r="AK22" s="35"/>
      <c r="AL22" s="35"/>
      <c r="AM22" s="35">
        <v>0</v>
      </c>
      <c r="AN22" s="35"/>
      <c r="AO22" s="35">
        <v>0</v>
      </c>
      <c r="AP22" s="35"/>
      <c r="AQ22" s="35">
        <v>0</v>
      </c>
      <c r="AR22" s="35"/>
      <c r="AS22" s="45">
        <f t="shared" si="7"/>
        <v>0</v>
      </c>
      <c r="AT22" s="45"/>
      <c r="AU22" s="35">
        <v>0</v>
      </c>
      <c r="AV22" s="35"/>
      <c r="AW22" s="35">
        <v>0</v>
      </c>
      <c r="AX22" s="35"/>
      <c r="AY22" s="35">
        <f t="shared" si="4"/>
        <v>0</v>
      </c>
      <c r="AZ22" s="35"/>
      <c r="BA22" s="35" t="s">
        <v>28</v>
      </c>
      <c r="BB22" s="55"/>
      <c r="BC22" s="35" t="s">
        <v>27</v>
      </c>
      <c r="BD22" s="35"/>
      <c r="BE22" s="35"/>
      <c r="BF22" s="35"/>
      <c r="BG22" s="35"/>
      <c r="BH22" s="35"/>
      <c r="BI22" s="35"/>
      <c r="BJ22" s="35"/>
      <c r="BK22" s="35"/>
      <c r="BL22" s="35"/>
      <c r="BM22" s="35">
        <f t="shared" si="5"/>
        <v>0</v>
      </c>
      <c r="BN22" s="54" t="s">
        <v>347</v>
      </c>
    </row>
    <row r="23" spans="1:67" hidden="1">
      <c r="A23" s="35" t="s">
        <v>29</v>
      </c>
      <c r="C23" s="35" t="s">
        <v>30</v>
      </c>
      <c r="D23" s="35"/>
      <c r="E23" s="35">
        <f t="shared" si="0"/>
        <v>0</v>
      </c>
      <c r="F23" s="35"/>
      <c r="G23" s="35"/>
      <c r="H23" s="35"/>
      <c r="I23" s="35"/>
      <c r="J23" s="35"/>
      <c r="K23" s="35">
        <f t="shared" si="1"/>
        <v>0</v>
      </c>
      <c r="L23" s="35"/>
      <c r="M23" s="35">
        <f t="shared" si="2"/>
        <v>0</v>
      </c>
      <c r="N23" s="35"/>
      <c r="O23" s="35"/>
      <c r="P23" s="35"/>
      <c r="Q23" s="35"/>
      <c r="R23" s="35"/>
      <c r="S23" s="35"/>
      <c r="T23" s="35"/>
      <c r="U23" s="35"/>
      <c r="V23" s="35"/>
      <c r="W23" s="35">
        <f t="shared" si="3"/>
        <v>0</v>
      </c>
      <c r="X23" s="35"/>
      <c r="Y23" s="35" t="s">
        <v>29</v>
      </c>
      <c r="Z23" s="55"/>
      <c r="AA23" s="35" t="s">
        <v>30</v>
      </c>
      <c r="AB23" s="35"/>
      <c r="AC23" s="35"/>
      <c r="AD23" s="35"/>
      <c r="AE23" s="35"/>
      <c r="AF23" s="35"/>
      <c r="AG23" s="35"/>
      <c r="AH23" s="35"/>
      <c r="AI23" s="45">
        <f t="shared" si="6"/>
        <v>0</v>
      </c>
      <c r="AJ23" s="45"/>
      <c r="AK23" s="35"/>
      <c r="AL23" s="35"/>
      <c r="AM23" s="35"/>
      <c r="AN23" s="35"/>
      <c r="AO23" s="35"/>
      <c r="AP23" s="35"/>
      <c r="AQ23" s="35"/>
      <c r="AR23" s="35"/>
      <c r="AS23" s="45">
        <f t="shared" si="7"/>
        <v>0</v>
      </c>
      <c r="AT23" s="45"/>
      <c r="AU23" s="35">
        <v>0</v>
      </c>
      <c r="AV23" s="35"/>
      <c r="AW23" s="35">
        <v>0</v>
      </c>
      <c r="AX23" s="35"/>
      <c r="AY23" s="35">
        <f t="shared" si="4"/>
        <v>0</v>
      </c>
      <c r="AZ23" s="35"/>
      <c r="BA23" s="35" t="s">
        <v>29</v>
      </c>
      <c r="BB23" s="55"/>
      <c r="BC23" s="35" t="s">
        <v>30</v>
      </c>
      <c r="BD23" s="35"/>
      <c r="BE23" s="35"/>
      <c r="BF23" s="35"/>
      <c r="BG23" s="35"/>
      <c r="BH23" s="35"/>
      <c r="BI23" s="35"/>
      <c r="BJ23" s="35"/>
      <c r="BK23" s="35"/>
      <c r="BL23" s="35"/>
      <c r="BM23" s="35">
        <f t="shared" si="5"/>
        <v>0</v>
      </c>
      <c r="BN23" s="54" t="s">
        <v>347</v>
      </c>
    </row>
    <row r="24" spans="1:67" hidden="1">
      <c r="A24" s="35" t="s">
        <v>31</v>
      </c>
      <c r="C24" s="35" t="s">
        <v>27</v>
      </c>
      <c r="D24" s="35"/>
      <c r="E24" s="35">
        <f t="shared" si="0"/>
        <v>0</v>
      </c>
      <c r="F24" s="35"/>
      <c r="G24" s="35"/>
      <c r="H24" s="35"/>
      <c r="I24" s="35"/>
      <c r="J24" s="35"/>
      <c r="K24" s="35">
        <f t="shared" si="1"/>
        <v>0</v>
      </c>
      <c r="L24" s="35"/>
      <c r="M24" s="35">
        <f t="shared" si="2"/>
        <v>0</v>
      </c>
      <c r="N24" s="35"/>
      <c r="O24" s="35"/>
      <c r="P24" s="35"/>
      <c r="Q24" s="35"/>
      <c r="R24" s="35"/>
      <c r="S24" s="35">
        <v>0</v>
      </c>
      <c r="T24" s="35"/>
      <c r="U24" s="35"/>
      <c r="V24" s="35"/>
      <c r="W24" s="35">
        <f t="shared" si="3"/>
        <v>0</v>
      </c>
      <c r="X24" s="35"/>
      <c r="Y24" s="35" t="s">
        <v>31</v>
      </c>
      <c r="Z24" s="55"/>
      <c r="AA24" s="35" t="s">
        <v>27</v>
      </c>
      <c r="AB24" s="35"/>
      <c r="AC24" s="35">
        <v>0</v>
      </c>
      <c r="AD24" s="35"/>
      <c r="AE24" s="35">
        <v>0</v>
      </c>
      <c r="AF24" s="35"/>
      <c r="AG24" s="35">
        <v>0</v>
      </c>
      <c r="AH24" s="35"/>
      <c r="AI24" s="45">
        <f t="shared" si="6"/>
        <v>0</v>
      </c>
      <c r="AJ24" s="45"/>
      <c r="AK24" s="35"/>
      <c r="AL24" s="35"/>
      <c r="AM24" s="35">
        <v>0</v>
      </c>
      <c r="AN24" s="35"/>
      <c r="AO24" s="35">
        <v>0</v>
      </c>
      <c r="AP24" s="35"/>
      <c r="AQ24" s="35">
        <v>0</v>
      </c>
      <c r="AR24" s="35"/>
      <c r="AS24" s="45">
        <f t="shared" si="7"/>
        <v>0</v>
      </c>
      <c r="AT24" s="45"/>
      <c r="AU24" s="35">
        <v>0</v>
      </c>
      <c r="AV24" s="35"/>
      <c r="AW24" s="35">
        <v>0</v>
      </c>
      <c r="AX24" s="35"/>
      <c r="AY24" s="35">
        <f t="shared" si="4"/>
        <v>0</v>
      </c>
      <c r="AZ24" s="35"/>
      <c r="BA24" s="35" t="s">
        <v>31</v>
      </c>
      <c r="BB24" s="55"/>
      <c r="BC24" s="35" t="s">
        <v>27</v>
      </c>
      <c r="BD24" s="35"/>
      <c r="BE24" s="35"/>
      <c r="BF24" s="35"/>
      <c r="BG24" s="35"/>
      <c r="BH24" s="35"/>
      <c r="BI24" s="35"/>
      <c r="BJ24" s="35"/>
      <c r="BK24" s="35"/>
      <c r="BL24" s="35"/>
      <c r="BM24" s="35">
        <f t="shared" si="5"/>
        <v>0</v>
      </c>
      <c r="BN24" s="54" t="s">
        <v>347</v>
      </c>
      <c r="BO24" s="55" t="s">
        <v>371</v>
      </c>
    </row>
    <row r="25" spans="1:67" hidden="1">
      <c r="A25" s="35" t="s">
        <v>32</v>
      </c>
      <c r="C25" s="35" t="s">
        <v>27</v>
      </c>
      <c r="D25" s="35"/>
      <c r="E25" s="35">
        <f t="shared" si="0"/>
        <v>0</v>
      </c>
      <c r="F25" s="35"/>
      <c r="G25" s="35"/>
      <c r="H25" s="35"/>
      <c r="I25" s="35"/>
      <c r="J25" s="35"/>
      <c r="K25" s="35">
        <f t="shared" si="1"/>
        <v>0</v>
      </c>
      <c r="L25" s="35"/>
      <c r="M25" s="35">
        <f t="shared" si="2"/>
        <v>0</v>
      </c>
      <c r="N25" s="35"/>
      <c r="O25" s="35"/>
      <c r="P25" s="35"/>
      <c r="Q25" s="35"/>
      <c r="R25" s="35"/>
      <c r="S25" s="35">
        <v>0</v>
      </c>
      <c r="T25" s="35"/>
      <c r="U25" s="35"/>
      <c r="V25" s="35"/>
      <c r="W25" s="35">
        <f t="shared" si="3"/>
        <v>0</v>
      </c>
      <c r="X25" s="35"/>
      <c r="Y25" s="35" t="s">
        <v>32</v>
      </c>
      <c r="Z25" s="55"/>
      <c r="AA25" s="35" t="s">
        <v>27</v>
      </c>
      <c r="AB25" s="35"/>
      <c r="AC25" s="35">
        <v>0</v>
      </c>
      <c r="AD25" s="35"/>
      <c r="AE25" s="35">
        <v>0</v>
      </c>
      <c r="AF25" s="35"/>
      <c r="AG25" s="35">
        <v>0</v>
      </c>
      <c r="AH25" s="35"/>
      <c r="AI25" s="45">
        <f t="shared" si="6"/>
        <v>0</v>
      </c>
      <c r="AJ25" s="45"/>
      <c r="AK25" s="35"/>
      <c r="AL25" s="35"/>
      <c r="AM25" s="35">
        <v>0</v>
      </c>
      <c r="AN25" s="35"/>
      <c r="AO25" s="35">
        <v>0</v>
      </c>
      <c r="AP25" s="35"/>
      <c r="AQ25" s="35">
        <v>0</v>
      </c>
      <c r="AR25" s="35"/>
      <c r="AS25" s="45">
        <f t="shared" si="7"/>
        <v>0</v>
      </c>
      <c r="AT25" s="45"/>
      <c r="AU25" s="35">
        <v>0</v>
      </c>
      <c r="AV25" s="35"/>
      <c r="AW25" s="35">
        <v>0</v>
      </c>
      <c r="AX25" s="35"/>
      <c r="AY25" s="35">
        <f t="shared" si="4"/>
        <v>0</v>
      </c>
      <c r="AZ25" s="35"/>
      <c r="BA25" s="35" t="s">
        <v>32</v>
      </c>
      <c r="BB25" s="55"/>
      <c r="BC25" s="35" t="s">
        <v>27</v>
      </c>
      <c r="BD25" s="35"/>
      <c r="BE25" s="35"/>
      <c r="BF25" s="35"/>
      <c r="BG25" s="35"/>
      <c r="BH25" s="35"/>
      <c r="BI25" s="35"/>
      <c r="BJ25" s="35"/>
      <c r="BK25" s="35"/>
      <c r="BL25" s="35"/>
      <c r="BM25" s="35">
        <f t="shared" si="5"/>
        <v>0</v>
      </c>
      <c r="BN25" s="54" t="s">
        <v>347</v>
      </c>
    </row>
    <row r="26" spans="1:67" hidden="1">
      <c r="A26" s="35" t="s">
        <v>34</v>
      </c>
      <c r="C26" s="35" t="s">
        <v>30</v>
      </c>
      <c r="D26" s="35"/>
      <c r="E26" s="35">
        <f t="shared" si="0"/>
        <v>0</v>
      </c>
      <c r="F26" s="35"/>
      <c r="G26" s="35"/>
      <c r="H26" s="35"/>
      <c r="I26" s="35"/>
      <c r="J26" s="35"/>
      <c r="K26" s="35">
        <f t="shared" si="1"/>
        <v>0</v>
      </c>
      <c r="L26" s="35"/>
      <c r="M26" s="35">
        <f t="shared" si="2"/>
        <v>0</v>
      </c>
      <c r="N26" s="35"/>
      <c r="O26" s="35"/>
      <c r="P26" s="35"/>
      <c r="Q26" s="35"/>
      <c r="R26" s="35"/>
      <c r="S26" s="35">
        <v>0</v>
      </c>
      <c r="T26" s="35"/>
      <c r="U26" s="35"/>
      <c r="V26" s="35"/>
      <c r="W26" s="35">
        <f t="shared" si="3"/>
        <v>0</v>
      </c>
      <c r="X26" s="35"/>
      <c r="Y26" s="35" t="s">
        <v>34</v>
      </c>
      <c r="Z26" s="55"/>
      <c r="AA26" s="35" t="s">
        <v>30</v>
      </c>
      <c r="AB26" s="35"/>
      <c r="AC26" s="35">
        <v>0</v>
      </c>
      <c r="AD26" s="35"/>
      <c r="AE26" s="35">
        <v>0</v>
      </c>
      <c r="AF26" s="35"/>
      <c r="AG26" s="35">
        <v>0</v>
      </c>
      <c r="AH26" s="35"/>
      <c r="AI26" s="45">
        <f t="shared" si="6"/>
        <v>0</v>
      </c>
      <c r="AJ26" s="45"/>
      <c r="AK26" s="35"/>
      <c r="AL26" s="35"/>
      <c r="AM26" s="35">
        <v>0</v>
      </c>
      <c r="AN26" s="35"/>
      <c r="AO26" s="35">
        <v>0</v>
      </c>
      <c r="AP26" s="35"/>
      <c r="AQ26" s="35">
        <v>0</v>
      </c>
      <c r="AR26" s="35"/>
      <c r="AS26" s="45">
        <f t="shared" si="7"/>
        <v>0</v>
      </c>
      <c r="AT26" s="45"/>
      <c r="AU26" s="35">
        <v>0</v>
      </c>
      <c r="AV26" s="35"/>
      <c r="AW26" s="35">
        <v>0</v>
      </c>
      <c r="AX26" s="35"/>
      <c r="AY26" s="35">
        <f t="shared" si="4"/>
        <v>0</v>
      </c>
      <c r="AZ26" s="35"/>
      <c r="BA26" s="35" t="s">
        <v>34</v>
      </c>
      <c r="BB26" s="55"/>
      <c r="BC26" s="35" t="s">
        <v>30</v>
      </c>
      <c r="BD26" s="35"/>
      <c r="BE26" s="35"/>
      <c r="BF26" s="35"/>
      <c r="BG26" s="35"/>
      <c r="BH26" s="35"/>
      <c r="BI26" s="35"/>
      <c r="BJ26" s="35"/>
      <c r="BK26" s="35"/>
      <c r="BL26" s="35"/>
      <c r="BM26" s="35">
        <f t="shared" si="5"/>
        <v>0</v>
      </c>
      <c r="BN26" s="54" t="s">
        <v>347</v>
      </c>
    </row>
    <row r="27" spans="1:67" hidden="1">
      <c r="A27" s="35" t="s">
        <v>35</v>
      </c>
      <c r="C27" s="35" t="s">
        <v>36</v>
      </c>
      <c r="D27" s="35"/>
      <c r="E27" s="35">
        <f t="shared" si="0"/>
        <v>0</v>
      </c>
      <c r="F27" s="35"/>
      <c r="G27" s="35"/>
      <c r="H27" s="35"/>
      <c r="I27" s="35"/>
      <c r="J27" s="35"/>
      <c r="K27" s="35">
        <f t="shared" si="1"/>
        <v>0</v>
      </c>
      <c r="L27" s="35"/>
      <c r="M27" s="35">
        <f t="shared" si="2"/>
        <v>0</v>
      </c>
      <c r="N27" s="35"/>
      <c r="O27" s="35"/>
      <c r="P27" s="35"/>
      <c r="Q27" s="35"/>
      <c r="R27" s="35"/>
      <c r="S27" s="35">
        <v>0</v>
      </c>
      <c r="T27" s="35"/>
      <c r="U27" s="35"/>
      <c r="V27" s="35"/>
      <c r="W27" s="35">
        <f t="shared" si="3"/>
        <v>0</v>
      </c>
      <c r="X27" s="35"/>
      <c r="Y27" s="35" t="s">
        <v>35</v>
      </c>
      <c r="Z27" s="55"/>
      <c r="AA27" s="35" t="s">
        <v>36</v>
      </c>
      <c r="AB27" s="35"/>
      <c r="AC27" s="35">
        <v>0</v>
      </c>
      <c r="AD27" s="35"/>
      <c r="AE27" s="35">
        <v>0</v>
      </c>
      <c r="AF27" s="35"/>
      <c r="AG27" s="35">
        <v>0</v>
      </c>
      <c r="AH27" s="35"/>
      <c r="AI27" s="45">
        <f t="shared" si="6"/>
        <v>0</v>
      </c>
      <c r="AJ27" s="45"/>
      <c r="AK27" s="35"/>
      <c r="AL27" s="35"/>
      <c r="AM27" s="35">
        <v>0</v>
      </c>
      <c r="AN27" s="35"/>
      <c r="AO27" s="35">
        <v>0</v>
      </c>
      <c r="AP27" s="35"/>
      <c r="AQ27" s="35">
        <v>0</v>
      </c>
      <c r="AR27" s="35"/>
      <c r="AS27" s="45">
        <f t="shared" si="7"/>
        <v>0</v>
      </c>
      <c r="AT27" s="45"/>
      <c r="AU27" s="35">
        <v>0</v>
      </c>
      <c r="AV27" s="35"/>
      <c r="AW27" s="35">
        <v>0</v>
      </c>
      <c r="AX27" s="35"/>
      <c r="AY27" s="35">
        <f t="shared" si="4"/>
        <v>0</v>
      </c>
      <c r="AZ27" s="35"/>
      <c r="BA27" s="35" t="s">
        <v>35</v>
      </c>
      <c r="BB27" s="55"/>
      <c r="BC27" s="35" t="s">
        <v>36</v>
      </c>
      <c r="BD27" s="35"/>
      <c r="BE27" s="35"/>
      <c r="BF27" s="35"/>
      <c r="BG27" s="35"/>
      <c r="BH27" s="35"/>
      <c r="BI27" s="35"/>
      <c r="BJ27" s="35"/>
      <c r="BK27" s="35"/>
      <c r="BL27" s="35"/>
      <c r="BM27" s="35">
        <f t="shared" si="5"/>
        <v>0</v>
      </c>
      <c r="BN27" s="54" t="s">
        <v>347</v>
      </c>
    </row>
    <row r="28" spans="1:67" hidden="1">
      <c r="A28" s="35" t="s">
        <v>37</v>
      </c>
      <c r="C28" s="35" t="s">
        <v>38</v>
      </c>
      <c r="D28" s="35"/>
      <c r="E28" s="35">
        <f t="shared" si="0"/>
        <v>0</v>
      </c>
      <c r="F28" s="35"/>
      <c r="G28" s="35"/>
      <c r="H28" s="35"/>
      <c r="I28" s="35"/>
      <c r="J28" s="35"/>
      <c r="K28" s="35">
        <f t="shared" si="1"/>
        <v>0</v>
      </c>
      <c r="L28" s="35"/>
      <c r="M28" s="35">
        <f t="shared" si="2"/>
        <v>0</v>
      </c>
      <c r="N28" s="35"/>
      <c r="O28" s="35"/>
      <c r="P28" s="35"/>
      <c r="Q28" s="35"/>
      <c r="R28" s="35"/>
      <c r="S28" s="35">
        <v>0</v>
      </c>
      <c r="T28" s="35"/>
      <c r="U28" s="35"/>
      <c r="V28" s="35"/>
      <c r="W28" s="35">
        <f t="shared" si="3"/>
        <v>0</v>
      </c>
      <c r="X28" s="35"/>
      <c r="Y28" s="35" t="s">
        <v>37</v>
      </c>
      <c r="Z28" s="55"/>
      <c r="AA28" s="35" t="s">
        <v>38</v>
      </c>
      <c r="AB28" s="35"/>
      <c r="AC28" s="35">
        <v>0</v>
      </c>
      <c r="AD28" s="35"/>
      <c r="AE28" s="35">
        <v>0</v>
      </c>
      <c r="AF28" s="35"/>
      <c r="AG28" s="35">
        <v>0</v>
      </c>
      <c r="AH28" s="35"/>
      <c r="AI28" s="45">
        <f t="shared" si="6"/>
        <v>0</v>
      </c>
      <c r="AJ28" s="45"/>
      <c r="AK28" s="35"/>
      <c r="AL28" s="35"/>
      <c r="AM28" s="35">
        <v>0</v>
      </c>
      <c r="AN28" s="35"/>
      <c r="AO28" s="35">
        <v>0</v>
      </c>
      <c r="AP28" s="35"/>
      <c r="AQ28" s="35">
        <v>0</v>
      </c>
      <c r="AR28" s="35"/>
      <c r="AS28" s="45">
        <v>0</v>
      </c>
      <c r="AT28" s="45"/>
      <c r="AU28" s="35">
        <v>0</v>
      </c>
      <c r="AV28" s="35"/>
      <c r="AW28" s="35">
        <v>0</v>
      </c>
      <c r="AX28" s="35"/>
      <c r="AY28" s="35">
        <f t="shared" si="4"/>
        <v>0</v>
      </c>
      <c r="AZ28" s="35"/>
      <c r="BA28" s="35" t="s">
        <v>37</v>
      </c>
      <c r="BB28" s="55"/>
      <c r="BC28" s="35" t="s">
        <v>38</v>
      </c>
      <c r="BD28" s="35"/>
      <c r="BE28" s="35"/>
      <c r="BF28" s="35"/>
      <c r="BG28" s="35"/>
      <c r="BH28" s="35"/>
      <c r="BI28" s="35"/>
      <c r="BJ28" s="35"/>
      <c r="BK28" s="35"/>
      <c r="BL28" s="35"/>
      <c r="BM28" s="35">
        <v>0</v>
      </c>
      <c r="BN28" s="54" t="s">
        <v>347</v>
      </c>
    </row>
    <row r="29" spans="1:67">
      <c r="A29" s="35" t="s">
        <v>39</v>
      </c>
      <c r="C29" s="35" t="s">
        <v>40</v>
      </c>
      <c r="D29" s="35"/>
      <c r="E29" s="35">
        <f t="shared" si="0"/>
        <v>291855</v>
      </c>
      <c r="F29" s="35"/>
      <c r="G29" s="35">
        <v>0</v>
      </c>
      <c r="H29" s="35"/>
      <c r="I29" s="35">
        <v>291855</v>
      </c>
      <c r="J29" s="35"/>
      <c r="K29" s="35">
        <f t="shared" si="1"/>
        <v>29621</v>
      </c>
      <c r="L29" s="35"/>
      <c r="M29" s="35">
        <v>300</v>
      </c>
      <c r="N29" s="35"/>
      <c r="O29" s="35">
        <v>29921</v>
      </c>
      <c r="P29" s="35"/>
      <c r="Q29" s="35">
        <v>0</v>
      </c>
      <c r="R29" s="35"/>
      <c r="S29" s="35">
        <v>0</v>
      </c>
      <c r="T29" s="35"/>
      <c r="U29" s="35">
        <v>261934</v>
      </c>
      <c r="V29" s="35"/>
      <c r="W29" s="35">
        <f t="shared" si="3"/>
        <v>261934</v>
      </c>
      <c r="X29" s="35"/>
      <c r="Y29" s="35" t="s">
        <v>39</v>
      </c>
      <c r="Z29" s="55"/>
      <c r="AA29" s="35" t="s">
        <v>40</v>
      </c>
      <c r="AB29" s="35"/>
      <c r="AC29" s="35">
        <v>724666</v>
      </c>
      <c r="AD29" s="35"/>
      <c r="AE29" s="35">
        <f>629824-0</f>
        <v>629824</v>
      </c>
      <c r="AF29" s="35"/>
      <c r="AG29" s="35">
        <v>0</v>
      </c>
      <c r="AH29" s="35"/>
      <c r="AI29" s="45">
        <f t="shared" si="6"/>
        <v>94842</v>
      </c>
      <c r="AJ29" s="45"/>
      <c r="AK29" s="35">
        <v>0</v>
      </c>
      <c r="AL29" s="35"/>
      <c r="AM29" s="35">
        <v>0</v>
      </c>
      <c r="AN29" s="35"/>
      <c r="AO29" s="35">
        <v>175000</v>
      </c>
      <c r="AP29" s="35"/>
      <c r="AQ29" s="35">
        <v>0</v>
      </c>
      <c r="AR29" s="35"/>
      <c r="AS29" s="45">
        <f t="shared" ref="AS29" si="8">+AI29+AK29+AM29-AO29+AQ29</f>
        <v>-80158</v>
      </c>
      <c r="AT29" s="45"/>
      <c r="AU29" s="35">
        <v>0</v>
      </c>
      <c r="AV29" s="35"/>
      <c r="AW29" s="35">
        <v>0</v>
      </c>
      <c r="AX29" s="35"/>
      <c r="AY29" s="35">
        <f t="shared" si="4"/>
        <v>262234</v>
      </c>
      <c r="AZ29" s="35"/>
      <c r="BA29" s="35" t="s">
        <v>39</v>
      </c>
      <c r="BB29" s="55"/>
      <c r="BC29" s="35" t="s">
        <v>40</v>
      </c>
      <c r="BD29" s="35"/>
      <c r="BE29" s="35">
        <v>0</v>
      </c>
      <c r="BF29" s="35"/>
      <c r="BG29" s="35">
        <v>0</v>
      </c>
      <c r="BH29" s="35"/>
      <c r="BI29" s="35">
        <v>0</v>
      </c>
      <c r="BJ29" s="35"/>
      <c r="BK29" s="35">
        <v>300</v>
      </c>
      <c r="BL29" s="35"/>
      <c r="BM29" s="35">
        <f>SUM(BE29:BK29)</f>
        <v>300</v>
      </c>
      <c r="BN29" s="54" t="s">
        <v>347</v>
      </c>
    </row>
    <row r="30" spans="1:67" hidden="1">
      <c r="A30" s="35" t="s">
        <v>41</v>
      </c>
      <c r="C30" s="35" t="s">
        <v>27</v>
      </c>
      <c r="D30" s="35"/>
      <c r="E30" s="35">
        <f t="shared" si="0"/>
        <v>0</v>
      </c>
      <c r="F30" s="35"/>
      <c r="G30" s="35"/>
      <c r="H30" s="35"/>
      <c r="I30" s="35"/>
      <c r="J30" s="35"/>
      <c r="K30" s="35">
        <f t="shared" si="1"/>
        <v>0</v>
      </c>
      <c r="L30" s="35"/>
      <c r="M30" s="35">
        <f t="shared" si="2"/>
        <v>0</v>
      </c>
      <c r="N30" s="35"/>
      <c r="O30" s="35"/>
      <c r="P30" s="35"/>
      <c r="Q30" s="35"/>
      <c r="R30" s="35"/>
      <c r="S30" s="35">
        <v>0</v>
      </c>
      <c r="T30" s="35"/>
      <c r="U30" s="35"/>
      <c r="V30" s="35"/>
      <c r="W30" s="35">
        <f t="shared" si="3"/>
        <v>0</v>
      </c>
      <c r="X30" s="35"/>
      <c r="Y30" s="35" t="s">
        <v>41</v>
      </c>
      <c r="Z30" s="55"/>
      <c r="AA30" s="35" t="s">
        <v>27</v>
      </c>
      <c r="AB30" s="35"/>
      <c r="AC30" s="35">
        <v>0</v>
      </c>
      <c r="AD30" s="35"/>
      <c r="AE30" s="35">
        <v>0</v>
      </c>
      <c r="AF30" s="35"/>
      <c r="AG30" s="35">
        <v>0</v>
      </c>
      <c r="AH30" s="35"/>
      <c r="AI30" s="45">
        <f t="shared" si="6"/>
        <v>0</v>
      </c>
      <c r="AJ30" s="45"/>
      <c r="AK30" s="35"/>
      <c r="AL30" s="35"/>
      <c r="AM30" s="35">
        <v>0</v>
      </c>
      <c r="AN30" s="35"/>
      <c r="AO30" s="35">
        <v>0</v>
      </c>
      <c r="AP30" s="35"/>
      <c r="AQ30" s="35">
        <v>0</v>
      </c>
      <c r="AR30" s="35"/>
      <c r="AS30" s="45">
        <f t="shared" ref="AS30:AS34" si="9">+AI30+AK30+AM30-AO30+AQ30</f>
        <v>0</v>
      </c>
      <c r="AT30" s="45"/>
      <c r="AU30" s="35">
        <v>0</v>
      </c>
      <c r="AV30" s="35"/>
      <c r="AW30" s="35">
        <v>0</v>
      </c>
      <c r="AX30" s="35"/>
      <c r="AY30" s="35">
        <f t="shared" si="4"/>
        <v>0</v>
      </c>
      <c r="AZ30" s="35"/>
      <c r="BA30" s="35" t="s">
        <v>41</v>
      </c>
      <c r="BB30" s="55"/>
      <c r="BC30" s="35" t="s">
        <v>27</v>
      </c>
      <c r="BD30" s="35"/>
      <c r="BE30" s="35"/>
      <c r="BF30" s="35"/>
      <c r="BG30" s="35"/>
      <c r="BH30" s="35"/>
      <c r="BI30" s="35"/>
      <c r="BJ30" s="35"/>
      <c r="BK30" s="35"/>
      <c r="BL30" s="35"/>
      <c r="BM30" s="35">
        <f>SUM(BE30:BK30)</f>
        <v>0</v>
      </c>
      <c r="BN30" s="54" t="s">
        <v>347</v>
      </c>
    </row>
    <row r="31" spans="1:67" hidden="1">
      <c r="A31" s="35" t="s">
        <v>42</v>
      </c>
      <c r="C31" s="35" t="s">
        <v>43</v>
      </c>
      <c r="D31" s="35"/>
      <c r="E31" s="35">
        <f t="shared" si="0"/>
        <v>0</v>
      </c>
      <c r="F31" s="35"/>
      <c r="G31" s="35"/>
      <c r="H31" s="35"/>
      <c r="I31" s="35"/>
      <c r="J31" s="35"/>
      <c r="K31" s="35">
        <f t="shared" si="1"/>
        <v>0</v>
      </c>
      <c r="L31" s="35"/>
      <c r="M31" s="35">
        <f t="shared" si="2"/>
        <v>0</v>
      </c>
      <c r="N31" s="35"/>
      <c r="O31" s="35"/>
      <c r="P31" s="35"/>
      <c r="Q31" s="35"/>
      <c r="R31" s="35"/>
      <c r="S31" s="35"/>
      <c r="T31" s="35"/>
      <c r="U31" s="35"/>
      <c r="V31" s="35"/>
      <c r="W31" s="35">
        <f t="shared" si="3"/>
        <v>0</v>
      </c>
      <c r="X31" s="35"/>
      <c r="Y31" s="35" t="s">
        <v>42</v>
      </c>
      <c r="Z31" s="55"/>
      <c r="AA31" s="35" t="s">
        <v>43</v>
      </c>
      <c r="AB31" s="35"/>
      <c r="AC31" s="35"/>
      <c r="AD31" s="35"/>
      <c r="AE31" s="35"/>
      <c r="AF31" s="35"/>
      <c r="AG31" s="35"/>
      <c r="AH31" s="35"/>
      <c r="AI31" s="45">
        <f t="shared" si="6"/>
        <v>0</v>
      </c>
      <c r="AJ31" s="45"/>
      <c r="AK31" s="35"/>
      <c r="AL31" s="35"/>
      <c r="AM31" s="35"/>
      <c r="AN31" s="35"/>
      <c r="AO31" s="35"/>
      <c r="AP31" s="35"/>
      <c r="AQ31" s="35"/>
      <c r="AR31" s="35"/>
      <c r="AS31" s="45">
        <f t="shared" si="9"/>
        <v>0</v>
      </c>
      <c r="AT31" s="45"/>
      <c r="AU31" s="35">
        <v>0</v>
      </c>
      <c r="AV31" s="35"/>
      <c r="AW31" s="35">
        <v>0</v>
      </c>
      <c r="AX31" s="35"/>
      <c r="AY31" s="35">
        <f t="shared" si="4"/>
        <v>0</v>
      </c>
      <c r="AZ31" s="35"/>
      <c r="BA31" s="35" t="s">
        <v>42</v>
      </c>
      <c r="BB31" s="55"/>
      <c r="BC31" s="35" t="s">
        <v>43</v>
      </c>
      <c r="BD31" s="35"/>
      <c r="BE31" s="35"/>
      <c r="BF31" s="35"/>
      <c r="BG31" s="35"/>
      <c r="BH31" s="35"/>
      <c r="BI31" s="35"/>
      <c r="BJ31" s="35"/>
      <c r="BK31" s="35"/>
      <c r="BL31" s="35"/>
      <c r="BM31" s="35">
        <f>SUM(BE31:BK31)</f>
        <v>0</v>
      </c>
      <c r="BN31" s="54" t="s">
        <v>347</v>
      </c>
    </row>
    <row r="32" spans="1:67" hidden="1">
      <c r="A32" s="35" t="s">
        <v>44</v>
      </c>
      <c r="C32" s="35" t="s">
        <v>45</v>
      </c>
      <c r="D32" s="35"/>
      <c r="E32" s="35">
        <f t="shared" si="0"/>
        <v>0</v>
      </c>
      <c r="F32" s="35"/>
      <c r="G32" s="35"/>
      <c r="H32" s="35"/>
      <c r="I32" s="35"/>
      <c r="J32" s="35"/>
      <c r="K32" s="35">
        <f t="shared" si="1"/>
        <v>0</v>
      </c>
      <c r="L32" s="35"/>
      <c r="M32" s="35">
        <f t="shared" si="2"/>
        <v>0</v>
      </c>
      <c r="N32" s="35"/>
      <c r="O32" s="35"/>
      <c r="P32" s="35"/>
      <c r="Q32" s="35"/>
      <c r="R32" s="35"/>
      <c r="S32" s="35">
        <v>0</v>
      </c>
      <c r="T32" s="35"/>
      <c r="U32" s="35"/>
      <c r="V32" s="35"/>
      <c r="W32" s="35">
        <f t="shared" si="3"/>
        <v>0</v>
      </c>
      <c r="X32" s="35"/>
      <c r="Y32" s="35" t="s">
        <v>44</v>
      </c>
      <c r="Z32" s="55"/>
      <c r="AA32" s="35" t="s">
        <v>45</v>
      </c>
      <c r="AB32" s="35"/>
      <c r="AC32" s="35">
        <v>0</v>
      </c>
      <c r="AD32" s="35"/>
      <c r="AE32" s="35">
        <v>0</v>
      </c>
      <c r="AF32" s="35"/>
      <c r="AG32" s="35">
        <v>0</v>
      </c>
      <c r="AH32" s="35"/>
      <c r="AI32" s="45">
        <v>0</v>
      </c>
      <c r="AJ32" s="45"/>
      <c r="AK32" s="35"/>
      <c r="AL32" s="35"/>
      <c r="AM32" s="35">
        <v>0</v>
      </c>
      <c r="AN32" s="35"/>
      <c r="AO32" s="35">
        <v>0</v>
      </c>
      <c r="AP32" s="35"/>
      <c r="AQ32" s="35">
        <v>0</v>
      </c>
      <c r="AR32" s="35"/>
      <c r="AS32" s="45">
        <f t="shared" si="9"/>
        <v>0</v>
      </c>
      <c r="AT32" s="45"/>
      <c r="AU32" s="35">
        <v>0</v>
      </c>
      <c r="AV32" s="35"/>
      <c r="AW32" s="35">
        <v>0</v>
      </c>
      <c r="AX32" s="35"/>
      <c r="AY32" s="35">
        <f t="shared" si="4"/>
        <v>0</v>
      </c>
      <c r="AZ32" s="35"/>
      <c r="BA32" s="35" t="s">
        <v>44</v>
      </c>
      <c r="BB32" s="55"/>
      <c r="BC32" s="35" t="s">
        <v>45</v>
      </c>
      <c r="BD32" s="35"/>
      <c r="BE32" s="35"/>
      <c r="BF32" s="35"/>
      <c r="BG32" s="35"/>
      <c r="BH32" s="35"/>
      <c r="BI32" s="35"/>
      <c r="BJ32" s="35"/>
      <c r="BK32" s="35"/>
      <c r="BL32" s="35"/>
      <c r="BM32" s="35">
        <v>0</v>
      </c>
      <c r="BN32" s="54" t="s">
        <v>347</v>
      </c>
    </row>
    <row r="33" spans="1:67" hidden="1">
      <c r="A33" s="35" t="s">
        <v>46</v>
      </c>
      <c r="B33" s="65"/>
      <c r="C33" s="35" t="s">
        <v>47</v>
      </c>
      <c r="D33" s="35"/>
      <c r="E33" s="35">
        <f t="shared" si="0"/>
        <v>0</v>
      </c>
      <c r="F33" s="35"/>
      <c r="G33" s="35"/>
      <c r="H33" s="35"/>
      <c r="I33" s="35"/>
      <c r="J33" s="35"/>
      <c r="K33" s="35">
        <f t="shared" si="1"/>
        <v>0</v>
      </c>
      <c r="L33" s="35"/>
      <c r="M33" s="35">
        <v>0</v>
      </c>
      <c r="N33" s="35"/>
      <c r="O33" s="35"/>
      <c r="P33" s="35"/>
      <c r="Q33" s="35"/>
      <c r="R33" s="35"/>
      <c r="S33" s="35">
        <v>0</v>
      </c>
      <c r="T33" s="35"/>
      <c r="U33" s="35"/>
      <c r="V33" s="35"/>
      <c r="W33" s="35">
        <f t="shared" si="3"/>
        <v>0</v>
      </c>
      <c r="X33" s="35"/>
      <c r="Y33" s="35" t="s">
        <v>46</v>
      </c>
      <c r="Z33" s="55"/>
      <c r="AA33" s="35" t="s">
        <v>47</v>
      </c>
      <c r="AB33" s="35"/>
      <c r="AC33" s="35">
        <v>0</v>
      </c>
      <c r="AD33" s="35"/>
      <c r="AE33" s="35">
        <v>0</v>
      </c>
      <c r="AF33" s="35"/>
      <c r="AG33" s="35">
        <v>0</v>
      </c>
      <c r="AH33" s="35"/>
      <c r="AI33" s="45">
        <f>+AC33-AE33-AG33</f>
        <v>0</v>
      </c>
      <c r="AJ33" s="45"/>
      <c r="AK33" s="35"/>
      <c r="AL33" s="35"/>
      <c r="AM33" s="35">
        <v>0</v>
      </c>
      <c r="AN33" s="35"/>
      <c r="AO33" s="35">
        <v>0</v>
      </c>
      <c r="AP33" s="35"/>
      <c r="AQ33" s="35">
        <v>0</v>
      </c>
      <c r="AR33" s="35"/>
      <c r="AS33" s="45">
        <f t="shared" si="9"/>
        <v>0</v>
      </c>
      <c r="AT33" s="45"/>
      <c r="AU33" s="35">
        <v>0</v>
      </c>
      <c r="AV33" s="35"/>
      <c r="AW33" s="35">
        <v>0</v>
      </c>
      <c r="AX33" s="35"/>
      <c r="AY33" s="35">
        <f t="shared" si="4"/>
        <v>0</v>
      </c>
      <c r="AZ33" s="35"/>
      <c r="BA33" s="35" t="s">
        <v>46</v>
      </c>
      <c r="BB33" s="55"/>
      <c r="BC33" s="35" t="s">
        <v>47</v>
      </c>
      <c r="BD33" s="35"/>
      <c r="BE33" s="35"/>
      <c r="BF33" s="35"/>
      <c r="BG33" s="35"/>
      <c r="BH33" s="35"/>
      <c r="BI33" s="35"/>
      <c r="BJ33" s="35"/>
      <c r="BK33" s="35"/>
      <c r="BL33" s="35"/>
      <c r="BM33" s="35">
        <f>SUM(BE33:BK33)</f>
        <v>0</v>
      </c>
      <c r="BN33" s="54" t="s">
        <v>347</v>
      </c>
    </row>
    <row r="34" spans="1:67" hidden="1">
      <c r="A34" s="35" t="s">
        <v>48</v>
      </c>
      <c r="C34" s="35" t="s">
        <v>27</v>
      </c>
      <c r="D34" s="35"/>
      <c r="E34" s="35">
        <f t="shared" si="0"/>
        <v>0</v>
      </c>
      <c r="F34" s="35"/>
      <c r="G34" s="35"/>
      <c r="H34" s="35"/>
      <c r="I34" s="35"/>
      <c r="J34" s="35"/>
      <c r="K34" s="35">
        <f t="shared" si="1"/>
        <v>0</v>
      </c>
      <c r="L34" s="35"/>
      <c r="M34" s="35">
        <f t="shared" si="2"/>
        <v>0</v>
      </c>
      <c r="N34" s="35"/>
      <c r="O34" s="35"/>
      <c r="P34" s="35"/>
      <c r="Q34" s="35"/>
      <c r="R34" s="35"/>
      <c r="S34" s="35">
        <v>0</v>
      </c>
      <c r="T34" s="35"/>
      <c r="U34" s="35"/>
      <c r="V34" s="35"/>
      <c r="W34" s="35">
        <v>0</v>
      </c>
      <c r="X34" s="35"/>
      <c r="Y34" s="35" t="s">
        <v>48</v>
      </c>
      <c r="Z34" s="55"/>
      <c r="AA34" s="35" t="s">
        <v>27</v>
      </c>
      <c r="AB34" s="35"/>
      <c r="AC34" s="35">
        <v>0</v>
      </c>
      <c r="AD34" s="35"/>
      <c r="AE34" s="35">
        <v>0</v>
      </c>
      <c r="AF34" s="35"/>
      <c r="AG34" s="35">
        <v>0</v>
      </c>
      <c r="AH34" s="35"/>
      <c r="AI34" s="45">
        <f t="shared" ref="AI34:AI51" si="10">+AC34-AE34-AG34</f>
        <v>0</v>
      </c>
      <c r="AJ34" s="45"/>
      <c r="AK34" s="35"/>
      <c r="AL34" s="35"/>
      <c r="AM34" s="35">
        <v>0</v>
      </c>
      <c r="AN34" s="35"/>
      <c r="AO34" s="35">
        <v>0</v>
      </c>
      <c r="AP34" s="35"/>
      <c r="AQ34" s="35">
        <v>0</v>
      </c>
      <c r="AR34" s="35"/>
      <c r="AS34" s="45">
        <f t="shared" si="9"/>
        <v>0</v>
      </c>
      <c r="AT34" s="45"/>
      <c r="AU34" s="35">
        <v>0</v>
      </c>
      <c r="AV34" s="35"/>
      <c r="AW34" s="35">
        <v>0</v>
      </c>
      <c r="AX34" s="35"/>
      <c r="AY34" s="35">
        <f t="shared" si="4"/>
        <v>0</v>
      </c>
      <c r="AZ34" s="35"/>
      <c r="BA34" s="35" t="s">
        <v>48</v>
      </c>
      <c r="BB34" s="55"/>
      <c r="BC34" s="35" t="s">
        <v>27</v>
      </c>
      <c r="BD34" s="35"/>
      <c r="BE34" s="35"/>
      <c r="BF34" s="35"/>
      <c r="BG34" s="35"/>
      <c r="BH34" s="35"/>
      <c r="BI34" s="35"/>
      <c r="BJ34" s="35"/>
      <c r="BK34" s="35"/>
      <c r="BL34" s="35"/>
      <c r="BM34" s="35">
        <f t="shared" ref="BM34:BM97" si="11">SUM(BE34:BK34)</f>
        <v>0</v>
      </c>
      <c r="BN34" s="54" t="s">
        <v>347</v>
      </c>
    </row>
    <row r="35" spans="1:67" hidden="1">
      <c r="A35" s="35" t="s">
        <v>49</v>
      </c>
      <c r="C35" s="35" t="s">
        <v>27</v>
      </c>
      <c r="D35" s="35"/>
      <c r="E35" s="35">
        <f t="shared" si="0"/>
        <v>0</v>
      </c>
      <c r="F35" s="35"/>
      <c r="G35" s="35"/>
      <c r="H35" s="35"/>
      <c r="I35" s="35"/>
      <c r="J35" s="35"/>
      <c r="K35" s="35">
        <f t="shared" si="1"/>
        <v>0</v>
      </c>
      <c r="L35" s="35"/>
      <c r="M35" s="35">
        <f t="shared" si="2"/>
        <v>0</v>
      </c>
      <c r="N35" s="35"/>
      <c r="O35" s="35"/>
      <c r="P35" s="35"/>
      <c r="Q35" s="35"/>
      <c r="R35" s="35"/>
      <c r="S35" s="35">
        <v>0</v>
      </c>
      <c r="T35" s="35"/>
      <c r="U35" s="35"/>
      <c r="V35" s="35"/>
      <c r="W35" s="35">
        <f t="shared" ref="W35:W73" si="12">SUM(Q35:U35)</f>
        <v>0</v>
      </c>
      <c r="X35" s="35"/>
      <c r="Y35" s="35" t="s">
        <v>49</v>
      </c>
      <c r="Z35" s="55"/>
      <c r="AA35" s="35" t="s">
        <v>27</v>
      </c>
      <c r="AB35" s="35"/>
      <c r="AC35" s="35">
        <v>0</v>
      </c>
      <c r="AD35" s="35"/>
      <c r="AE35" s="35">
        <v>0</v>
      </c>
      <c r="AF35" s="35"/>
      <c r="AG35" s="35">
        <v>0</v>
      </c>
      <c r="AH35" s="35"/>
      <c r="AI35" s="45">
        <f t="shared" si="10"/>
        <v>0</v>
      </c>
      <c r="AJ35" s="45"/>
      <c r="AK35" s="35"/>
      <c r="AL35" s="35"/>
      <c r="AM35" s="35">
        <v>0</v>
      </c>
      <c r="AN35" s="35"/>
      <c r="AO35" s="35">
        <v>0</v>
      </c>
      <c r="AP35" s="35"/>
      <c r="AQ35" s="35">
        <v>0</v>
      </c>
      <c r="AR35" s="35"/>
      <c r="AS35" s="45">
        <v>0</v>
      </c>
      <c r="AT35" s="45"/>
      <c r="AU35" s="35">
        <v>0</v>
      </c>
      <c r="AV35" s="35"/>
      <c r="AW35" s="35">
        <v>0</v>
      </c>
      <c r="AX35" s="35"/>
      <c r="AY35" s="35">
        <f t="shared" si="4"/>
        <v>0</v>
      </c>
      <c r="AZ35" s="35"/>
      <c r="BA35" s="35" t="s">
        <v>49</v>
      </c>
      <c r="BB35" s="55"/>
      <c r="BC35" s="35" t="s">
        <v>27</v>
      </c>
      <c r="BD35" s="35"/>
      <c r="BE35" s="35"/>
      <c r="BF35" s="35"/>
      <c r="BG35" s="35"/>
      <c r="BH35" s="35"/>
      <c r="BI35" s="35"/>
      <c r="BJ35" s="35"/>
      <c r="BK35" s="35"/>
      <c r="BL35" s="35"/>
      <c r="BM35" s="35">
        <f t="shared" si="11"/>
        <v>0</v>
      </c>
      <c r="BN35" s="54" t="s">
        <v>347</v>
      </c>
      <c r="BO35" s="55" t="s">
        <v>371</v>
      </c>
    </row>
    <row r="36" spans="1:67" hidden="1">
      <c r="A36" s="35" t="s">
        <v>50</v>
      </c>
      <c r="C36" s="35" t="s">
        <v>27</v>
      </c>
      <c r="D36" s="35"/>
      <c r="E36" s="35">
        <f t="shared" si="0"/>
        <v>0</v>
      </c>
      <c r="F36" s="35"/>
      <c r="G36" s="35"/>
      <c r="H36" s="35"/>
      <c r="I36" s="35"/>
      <c r="J36" s="35"/>
      <c r="K36" s="35">
        <f t="shared" si="1"/>
        <v>0</v>
      </c>
      <c r="L36" s="35"/>
      <c r="M36" s="35">
        <f t="shared" si="2"/>
        <v>0</v>
      </c>
      <c r="N36" s="35"/>
      <c r="O36" s="35"/>
      <c r="P36" s="35"/>
      <c r="Q36" s="35"/>
      <c r="R36" s="35"/>
      <c r="S36" s="35">
        <v>0</v>
      </c>
      <c r="T36" s="35"/>
      <c r="U36" s="35"/>
      <c r="V36" s="35"/>
      <c r="W36" s="35">
        <f t="shared" si="12"/>
        <v>0</v>
      </c>
      <c r="X36" s="35"/>
      <c r="Y36" s="35" t="s">
        <v>50</v>
      </c>
      <c r="Z36" s="55"/>
      <c r="AA36" s="35" t="s">
        <v>27</v>
      </c>
      <c r="AB36" s="35"/>
      <c r="AC36" s="35">
        <v>0</v>
      </c>
      <c r="AD36" s="35"/>
      <c r="AE36" s="35">
        <v>0</v>
      </c>
      <c r="AF36" s="35"/>
      <c r="AG36" s="35">
        <v>0</v>
      </c>
      <c r="AH36" s="35"/>
      <c r="AI36" s="45">
        <f t="shared" si="10"/>
        <v>0</v>
      </c>
      <c r="AJ36" s="45"/>
      <c r="AK36" s="35"/>
      <c r="AL36" s="35"/>
      <c r="AM36" s="35">
        <v>0</v>
      </c>
      <c r="AN36" s="35"/>
      <c r="AO36" s="35">
        <v>0</v>
      </c>
      <c r="AP36" s="35"/>
      <c r="AQ36" s="35">
        <v>0</v>
      </c>
      <c r="AR36" s="35"/>
      <c r="AS36" s="45">
        <f>+AI36+AK36+AM36-AO36+AQ36</f>
        <v>0</v>
      </c>
      <c r="AT36" s="45"/>
      <c r="AU36" s="35">
        <v>0</v>
      </c>
      <c r="AV36" s="35"/>
      <c r="AW36" s="35">
        <v>0</v>
      </c>
      <c r="AX36" s="35"/>
      <c r="AY36" s="35">
        <f t="shared" si="4"/>
        <v>0</v>
      </c>
      <c r="AZ36" s="35"/>
      <c r="BA36" s="35" t="s">
        <v>50</v>
      </c>
      <c r="BB36" s="55"/>
      <c r="BC36" s="35" t="s">
        <v>27</v>
      </c>
      <c r="BD36" s="35"/>
      <c r="BE36" s="35"/>
      <c r="BF36" s="35"/>
      <c r="BG36" s="35"/>
      <c r="BH36" s="35"/>
      <c r="BI36" s="35"/>
      <c r="BJ36" s="35"/>
      <c r="BK36" s="35"/>
      <c r="BL36" s="35"/>
      <c r="BM36" s="35">
        <f t="shared" si="11"/>
        <v>0</v>
      </c>
      <c r="BN36" s="54" t="s">
        <v>347</v>
      </c>
    </row>
    <row r="37" spans="1:67" hidden="1">
      <c r="A37" s="35" t="s">
        <v>51</v>
      </c>
      <c r="C37" s="35" t="s">
        <v>27</v>
      </c>
      <c r="D37" s="35"/>
      <c r="E37" s="35">
        <f t="shared" si="0"/>
        <v>0</v>
      </c>
      <c r="F37" s="35"/>
      <c r="G37" s="35"/>
      <c r="H37" s="35"/>
      <c r="I37" s="35"/>
      <c r="J37" s="35"/>
      <c r="K37" s="35">
        <f t="shared" si="1"/>
        <v>0</v>
      </c>
      <c r="L37" s="35"/>
      <c r="M37" s="35">
        <f t="shared" si="2"/>
        <v>0</v>
      </c>
      <c r="N37" s="35"/>
      <c r="O37" s="35"/>
      <c r="P37" s="35"/>
      <c r="Q37" s="35"/>
      <c r="R37" s="35"/>
      <c r="S37" s="35">
        <v>0</v>
      </c>
      <c r="T37" s="35"/>
      <c r="U37" s="35"/>
      <c r="V37" s="35"/>
      <c r="W37" s="35">
        <f t="shared" si="12"/>
        <v>0</v>
      </c>
      <c r="X37" s="35"/>
      <c r="Y37" s="35" t="s">
        <v>51</v>
      </c>
      <c r="Z37" s="55"/>
      <c r="AA37" s="35" t="s">
        <v>27</v>
      </c>
      <c r="AB37" s="35"/>
      <c r="AC37" s="35">
        <v>0</v>
      </c>
      <c r="AD37" s="35"/>
      <c r="AE37" s="35">
        <v>0</v>
      </c>
      <c r="AF37" s="35"/>
      <c r="AG37" s="35">
        <v>0</v>
      </c>
      <c r="AH37" s="35"/>
      <c r="AI37" s="45">
        <f t="shared" si="10"/>
        <v>0</v>
      </c>
      <c r="AJ37" s="45"/>
      <c r="AK37" s="35"/>
      <c r="AL37" s="35"/>
      <c r="AM37" s="35">
        <v>0</v>
      </c>
      <c r="AN37" s="35"/>
      <c r="AO37" s="35">
        <v>0</v>
      </c>
      <c r="AP37" s="35"/>
      <c r="AQ37" s="35">
        <v>0</v>
      </c>
      <c r="AR37" s="35"/>
      <c r="AS37" s="45">
        <v>0</v>
      </c>
      <c r="AT37" s="45"/>
      <c r="AU37" s="35">
        <v>0</v>
      </c>
      <c r="AV37" s="35"/>
      <c r="AW37" s="35">
        <v>0</v>
      </c>
      <c r="AX37" s="35"/>
      <c r="AY37" s="35">
        <f t="shared" si="4"/>
        <v>0</v>
      </c>
      <c r="AZ37" s="35"/>
      <c r="BA37" s="35" t="s">
        <v>51</v>
      </c>
      <c r="BB37" s="55"/>
      <c r="BC37" s="35" t="s">
        <v>27</v>
      </c>
      <c r="BD37" s="35"/>
      <c r="BE37" s="35"/>
      <c r="BF37" s="35"/>
      <c r="BG37" s="35"/>
      <c r="BH37" s="35"/>
      <c r="BI37" s="35"/>
      <c r="BJ37" s="35"/>
      <c r="BK37" s="35"/>
      <c r="BL37" s="35"/>
      <c r="BM37" s="35">
        <f t="shared" si="11"/>
        <v>0</v>
      </c>
      <c r="BN37" s="54" t="s">
        <v>347</v>
      </c>
    </row>
    <row r="38" spans="1:67" hidden="1">
      <c r="A38" s="35" t="s">
        <v>52</v>
      </c>
      <c r="C38" s="35" t="s">
        <v>53</v>
      </c>
      <c r="D38" s="35"/>
      <c r="E38" s="35">
        <f t="shared" si="0"/>
        <v>0</v>
      </c>
      <c r="F38" s="35"/>
      <c r="G38" s="35"/>
      <c r="H38" s="35"/>
      <c r="I38" s="35"/>
      <c r="J38" s="35"/>
      <c r="K38" s="35">
        <f t="shared" si="1"/>
        <v>0</v>
      </c>
      <c r="L38" s="35"/>
      <c r="M38" s="35">
        <f t="shared" si="2"/>
        <v>0</v>
      </c>
      <c r="N38" s="35"/>
      <c r="O38" s="35"/>
      <c r="P38" s="35"/>
      <c r="Q38" s="35"/>
      <c r="R38" s="35"/>
      <c r="S38" s="35">
        <v>0</v>
      </c>
      <c r="T38" s="35"/>
      <c r="U38" s="35"/>
      <c r="V38" s="35"/>
      <c r="W38" s="35">
        <f t="shared" si="12"/>
        <v>0</v>
      </c>
      <c r="X38" s="35"/>
      <c r="Y38" s="35" t="s">
        <v>52</v>
      </c>
      <c r="Z38" s="55"/>
      <c r="AA38" s="35" t="s">
        <v>53</v>
      </c>
      <c r="AB38" s="35"/>
      <c r="AC38" s="35">
        <v>0</v>
      </c>
      <c r="AD38" s="35"/>
      <c r="AE38" s="35">
        <v>0</v>
      </c>
      <c r="AF38" s="35"/>
      <c r="AG38" s="35">
        <v>0</v>
      </c>
      <c r="AH38" s="35"/>
      <c r="AI38" s="45">
        <f t="shared" si="10"/>
        <v>0</v>
      </c>
      <c r="AJ38" s="45"/>
      <c r="AK38" s="35"/>
      <c r="AL38" s="35"/>
      <c r="AM38" s="35">
        <v>0</v>
      </c>
      <c r="AN38" s="35"/>
      <c r="AO38" s="35">
        <v>0</v>
      </c>
      <c r="AP38" s="35"/>
      <c r="AQ38" s="35">
        <v>0</v>
      </c>
      <c r="AR38" s="35"/>
      <c r="AS38" s="45">
        <f t="shared" ref="AS38:AS101" si="13">+AI38+AK38+AM38-AO38+AQ38</f>
        <v>0</v>
      </c>
      <c r="AT38" s="45"/>
      <c r="AU38" s="35">
        <v>0</v>
      </c>
      <c r="AV38" s="35"/>
      <c r="AW38" s="35">
        <v>0</v>
      </c>
      <c r="AX38" s="35"/>
      <c r="AY38" s="35">
        <f t="shared" si="4"/>
        <v>0</v>
      </c>
      <c r="AZ38" s="35"/>
      <c r="BA38" s="35" t="s">
        <v>52</v>
      </c>
      <c r="BB38" s="55"/>
      <c r="BC38" s="35" t="s">
        <v>53</v>
      </c>
      <c r="BD38" s="35"/>
      <c r="BE38" s="35"/>
      <c r="BF38" s="35"/>
      <c r="BG38" s="35"/>
      <c r="BH38" s="35"/>
      <c r="BI38" s="35"/>
      <c r="BJ38" s="35"/>
      <c r="BK38" s="35"/>
      <c r="BL38" s="35"/>
      <c r="BM38" s="35">
        <f t="shared" si="11"/>
        <v>0</v>
      </c>
      <c r="BN38" s="54" t="s">
        <v>347</v>
      </c>
    </row>
    <row r="39" spans="1:67" hidden="1">
      <c r="A39" s="35" t="s">
        <v>54</v>
      </c>
      <c r="C39" s="35" t="s">
        <v>55</v>
      </c>
      <c r="D39" s="35"/>
      <c r="E39" s="64">
        <f t="shared" si="0"/>
        <v>0</v>
      </c>
      <c r="F39" s="64"/>
      <c r="G39" s="64"/>
      <c r="H39" s="64"/>
      <c r="I39" s="64"/>
      <c r="J39" s="64"/>
      <c r="K39" s="64">
        <f t="shared" si="1"/>
        <v>0</v>
      </c>
      <c r="L39" s="64"/>
      <c r="M39" s="64">
        <v>0</v>
      </c>
      <c r="N39" s="64"/>
      <c r="O39" s="64"/>
      <c r="P39" s="64"/>
      <c r="Q39" s="64"/>
      <c r="R39" s="64"/>
      <c r="S39" s="64">
        <v>0</v>
      </c>
      <c r="T39" s="64"/>
      <c r="U39" s="64"/>
      <c r="V39" s="64"/>
      <c r="W39" s="64">
        <f t="shared" si="12"/>
        <v>0</v>
      </c>
      <c r="X39" s="35"/>
      <c r="Y39" s="35" t="s">
        <v>54</v>
      </c>
      <c r="Z39" s="55"/>
      <c r="AA39" s="35" t="s">
        <v>55</v>
      </c>
      <c r="AB39" s="35"/>
      <c r="AC39" s="64">
        <v>0</v>
      </c>
      <c r="AD39" s="64"/>
      <c r="AE39" s="64">
        <v>0</v>
      </c>
      <c r="AF39" s="64"/>
      <c r="AG39" s="64">
        <v>0</v>
      </c>
      <c r="AH39" s="64"/>
      <c r="AI39" s="94">
        <f t="shared" si="10"/>
        <v>0</v>
      </c>
      <c r="AJ39" s="94"/>
      <c r="AK39" s="64"/>
      <c r="AL39" s="64"/>
      <c r="AM39" s="64">
        <v>0</v>
      </c>
      <c r="AN39" s="64"/>
      <c r="AO39" s="64">
        <v>0</v>
      </c>
      <c r="AP39" s="64"/>
      <c r="AQ39" s="64">
        <v>0</v>
      </c>
      <c r="AR39" s="64"/>
      <c r="AS39" s="94">
        <f t="shared" si="13"/>
        <v>0</v>
      </c>
      <c r="AT39" s="94"/>
      <c r="AU39" s="64">
        <v>0</v>
      </c>
      <c r="AV39" s="64"/>
      <c r="AW39" s="64">
        <v>0</v>
      </c>
      <c r="AX39" s="64"/>
      <c r="AY39" s="64">
        <f t="shared" si="4"/>
        <v>0</v>
      </c>
      <c r="AZ39" s="35"/>
      <c r="BA39" s="35" t="s">
        <v>54</v>
      </c>
      <c r="BB39" s="55"/>
      <c r="BC39" s="35" t="s">
        <v>55</v>
      </c>
      <c r="BD39" s="35"/>
      <c r="BE39" s="64"/>
      <c r="BF39" s="64"/>
      <c r="BG39" s="64"/>
      <c r="BH39" s="64"/>
      <c r="BI39" s="64"/>
      <c r="BJ39" s="64"/>
      <c r="BK39" s="64"/>
      <c r="BL39" s="64"/>
      <c r="BM39" s="64">
        <f t="shared" si="11"/>
        <v>0</v>
      </c>
      <c r="BN39" s="54" t="s">
        <v>347</v>
      </c>
    </row>
    <row r="40" spans="1:67" hidden="1">
      <c r="A40" s="35" t="s">
        <v>56</v>
      </c>
      <c r="C40" s="35" t="s">
        <v>57</v>
      </c>
      <c r="D40" s="35"/>
      <c r="E40" s="35">
        <f t="shared" si="0"/>
        <v>0</v>
      </c>
      <c r="F40" s="35"/>
      <c r="G40" s="35"/>
      <c r="H40" s="35"/>
      <c r="I40" s="35"/>
      <c r="J40" s="35"/>
      <c r="K40" s="35">
        <f t="shared" si="1"/>
        <v>0</v>
      </c>
      <c r="L40" s="35"/>
      <c r="M40" s="35">
        <v>0</v>
      </c>
      <c r="N40" s="35"/>
      <c r="O40" s="35"/>
      <c r="P40" s="35"/>
      <c r="Q40" s="35"/>
      <c r="R40" s="35"/>
      <c r="S40" s="35">
        <v>0</v>
      </c>
      <c r="T40" s="35"/>
      <c r="U40" s="35"/>
      <c r="V40" s="35"/>
      <c r="W40" s="35">
        <f t="shared" si="12"/>
        <v>0</v>
      </c>
      <c r="X40" s="35"/>
      <c r="Y40" s="35" t="s">
        <v>56</v>
      </c>
      <c r="Z40" s="55"/>
      <c r="AA40" s="35" t="s">
        <v>57</v>
      </c>
      <c r="AB40" s="35"/>
      <c r="AC40" s="35">
        <v>0</v>
      </c>
      <c r="AD40" s="35"/>
      <c r="AE40" s="35">
        <v>0</v>
      </c>
      <c r="AF40" s="35"/>
      <c r="AG40" s="35">
        <v>0</v>
      </c>
      <c r="AH40" s="35"/>
      <c r="AI40" s="45">
        <f t="shared" si="10"/>
        <v>0</v>
      </c>
      <c r="AJ40" s="45"/>
      <c r="AK40" s="35"/>
      <c r="AL40" s="35"/>
      <c r="AM40" s="35">
        <v>0</v>
      </c>
      <c r="AN40" s="35"/>
      <c r="AO40" s="35">
        <v>0</v>
      </c>
      <c r="AP40" s="35"/>
      <c r="AQ40" s="35">
        <v>0</v>
      </c>
      <c r="AR40" s="35"/>
      <c r="AS40" s="45">
        <f t="shared" si="13"/>
        <v>0</v>
      </c>
      <c r="AT40" s="45"/>
      <c r="AU40" s="35">
        <v>0</v>
      </c>
      <c r="AV40" s="35"/>
      <c r="AW40" s="35">
        <v>0</v>
      </c>
      <c r="AX40" s="35"/>
      <c r="AY40" s="35">
        <f t="shared" si="4"/>
        <v>0</v>
      </c>
      <c r="AZ40" s="35"/>
      <c r="BA40" s="35" t="s">
        <v>56</v>
      </c>
      <c r="BB40" s="55"/>
      <c r="BC40" s="35" t="s">
        <v>57</v>
      </c>
      <c r="BD40" s="35"/>
      <c r="BE40" s="35"/>
      <c r="BF40" s="35"/>
      <c r="BG40" s="35"/>
      <c r="BH40" s="35"/>
      <c r="BI40" s="35"/>
      <c r="BJ40" s="35"/>
      <c r="BK40" s="35"/>
      <c r="BL40" s="35"/>
      <c r="BM40" s="35">
        <f t="shared" si="11"/>
        <v>0</v>
      </c>
      <c r="BN40" s="54" t="s">
        <v>347</v>
      </c>
    </row>
    <row r="41" spans="1:67" hidden="1">
      <c r="A41" s="35" t="s">
        <v>58</v>
      </c>
      <c r="C41" s="35" t="s">
        <v>59</v>
      </c>
      <c r="D41" s="35"/>
      <c r="E41" s="35">
        <f t="shared" si="0"/>
        <v>0</v>
      </c>
      <c r="F41" s="35"/>
      <c r="G41" s="35"/>
      <c r="H41" s="35"/>
      <c r="I41" s="35"/>
      <c r="J41" s="35"/>
      <c r="K41" s="35">
        <f t="shared" si="1"/>
        <v>0</v>
      </c>
      <c r="L41" s="35"/>
      <c r="M41" s="35">
        <v>0</v>
      </c>
      <c r="N41" s="35"/>
      <c r="O41" s="35"/>
      <c r="P41" s="35"/>
      <c r="Q41" s="35"/>
      <c r="R41" s="35"/>
      <c r="S41" s="35">
        <v>0</v>
      </c>
      <c r="T41" s="35"/>
      <c r="U41" s="35"/>
      <c r="V41" s="35"/>
      <c r="W41" s="35">
        <f t="shared" si="12"/>
        <v>0</v>
      </c>
      <c r="X41" s="35"/>
      <c r="Y41" s="35" t="s">
        <v>58</v>
      </c>
      <c r="Z41" s="55"/>
      <c r="AA41" s="35" t="s">
        <v>59</v>
      </c>
      <c r="AB41" s="35"/>
      <c r="AC41" s="35">
        <v>0</v>
      </c>
      <c r="AD41" s="35"/>
      <c r="AE41" s="35">
        <v>0</v>
      </c>
      <c r="AF41" s="35"/>
      <c r="AG41" s="35">
        <v>0</v>
      </c>
      <c r="AH41" s="35"/>
      <c r="AI41" s="45">
        <f t="shared" si="10"/>
        <v>0</v>
      </c>
      <c r="AJ41" s="45"/>
      <c r="AK41" s="35"/>
      <c r="AL41" s="35"/>
      <c r="AM41" s="35">
        <v>0</v>
      </c>
      <c r="AN41" s="35"/>
      <c r="AO41" s="35">
        <v>0</v>
      </c>
      <c r="AP41" s="35"/>
      <c r="AQ41" s="35">
        <v>0</v>
      </c>
      <c r="AR41" s="35"/>
      <c r="AS41" s="45">
        <f t="shared" si="13"/>
        <v>0</v>
      </c>
      <c r="AT41" s="45"/>
      <c r="AU41" s="35">
        <v>0</v>
      </c>
      <c r="AV41" s="35"/>
      <c r="AW41" s="35">
        <v>0</v>
      </c>
      <c r="AX41" s="35"/>
      <c r="AY41" s="35">
        <f t="shared" si="4"/>
        <v>0</v>
      </c>
      <c r="AZ41" s="35"/>
      <c r="BA41" s="35" t="s">
        <v>58</v>
      </c>
      <c r="BB41" s="55"/>
      <c r="BC41" s="35" t="s">
        <v>59</v>
      </c>
      <c r="BD41" s="35"/>
      <c r="BE41" s="35"/>
      <c r="BF41" s="35"/>
      <c r="BG41" s="35"/>
      <c r="BH41" s="35"/>
      <c r="BI41" s="35"/>
      <c r="BJ41" s="35"/>
      <c r="BK41" s="35"/>
      <c r="BL41" s="35"/>
      <c r="BM41" s="35">
        <f t="shared" si="11"/>
        <v>0</v>
      </c>
      <c r="BN41" s="54" t="s">
        <v>347</v>
      </c>
    </row>
    <row r="42" spans="1:67" hidden="1">
      <c r="A42" s="44" t="s">
        <v>476</v>
      </c>
      <c r="C42" s="35" t="s">
        <v>15</v>
      </c>
      <c r="D42" s="35"/>
      <c r="E42" s="35">
        <f t="shared" si="0"/>
        <v>0</v>
      </c>
      <c r="F42" s="35"/>
      <c r="G42" s="35"/>
      <c r="H42" s="35"/>
      <c r="I42" s="35"/>
      <c r="J42" s="35"/>
      <c r="K42" s="35">
        <f t="shared" si="1"/>
        <v>0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f t="shared" si="12"/>
        <v>0</v>
      </c>
      <c r="X42" s="35"/>
      <c r="Y42" s="44" t="s">
        <v>62</v>
      </c>
      <c r="Z42" s="55"/>
      <c r="AA42" s="35" t="s">
        <v>15</v>
      </c>
      <c r="AB42" s="35"/>
      <c r="AC42" s="35"/>
      <c r="AD42" s="35"/>
      <c r="AE42" s="35"/>
      <c r="AF42" s="35"/>
      <c r="AG42" s="35"/>
      <c r="AH42" s="35"/>
      <c r="AI42" s="45">
        <f t="shared" si="10"/>
        <v>0</v>
      </c>
      <c r="AJ42" s="45"/>
      <c r="AK42" s="35"/>
      <c r="AL42" s="35"/>
      <c r="AM42" s="35"/>
      <c r="AN42" s="35"/>
      <c r="AO42" s="35"/>
      <c r="AP42" s="35"/>
      <c r="AQ42" s="35"/>
      <c r="AR42" s="35"/>
      <c r="AS42" s="45">
        <f t="shared" si="13"/>
        <v>0</v>
      </c>
      <c r="AT42" s="45"/>
      <c r="AU42" s="35">
        <v>0</v>
      </c>
      <c r="AV42" s="35"/>
      <c r="AW42" s="35">
        <v>0</v>
      </c>
      <c r="AX42" s="35"/>
      <c r="AY42" s="35">
        <f t="shared" si="4"/>
        <v>0</v>
      </c>
      <c r="AZ42" s="35"/>
      <c r="BA42" s="44" t="s">
        <v>62</v>
      </c>
      <c r="BB42" s="55"/>
      <c r="BC42" s="35" t="s">
        <v>15</v>
      </c>
      <c r="BD42" s="35"/>
      <c r="BE42" s="35"/>
      <c r="BF42" s="35"/>
      <c r="BG42" s="35"/>
      <c r="BH42" s="35"/>
      <c r="BI42" s="35"/>
      <c r="BJ42" s="35"/>
      <c r="BK42" s="35"/>
      <c r="BL42" s="35"/>
      <c r="BM42" s="35">
        <f t="shared" si="11"/>
        <v>0</v>
      </c>
      <c r="BN42" s="54" t="s">
        <v>347</v>
      </c>
    </row>
    <row r="43" spans="1:67" hidden="1">
      <c r="A43" s="35" t="s">
        <v>60</v>
      </c>
      <c r="C43" s="35" t="s">
        <v>61</v>
      </c>
      <c r="D43" s="35"/>
      <c r="E43" s="35">
        <f t="shared" si="0"/>
        <v>0</v>
      </c>
      <c r="F43" s="35"/>
      <c r="G43" s="35"/>
      <c r="H43" s="35"/>
      <c r="I43" s="35"/>
      <c r="J43" s="35"/>
      <c r="K43" s="35">
        <f t="shared" si="1"/>
        <v>0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>
        <f t="shared" si="12"/>
        <v>0</v>
      </c>
      <c r="X43" s="35"/>
      <c r="Y43" s="35" t="s">
        <v>60</v>
      </c>
      <c r="Z43" s="55"/>
      <c r="AA43" s="35" t="s">
        <v>61</v>
      </c>
      <c r="AB43" s="35"/>
      <c r="AC43" s="35"/>
      <c r="AD43" s="35"/>
      <c r="AE43" s="35"/>
      <c r="AF43" s="35"/>
      <c r="AG43" s="35"/>
      <c r="AH43" s="35"/>
      <c r="AI43" s="45">
        <f t="shared" si="10"/>
        <v>0</v>
      </c>
      <c r="AJ43" s="45"/>
      <c r="AK43" s="35"/>
      <c r="AL43" s="35"/>
      <c r="AM43" s="35"/>
      <c r="AN43" s="35"/>
      <c r="AO43" s="35"/>
      <c r="AP43" s="35"/>
      <c r="AQ43" s="35"/>
      <c r="AR43" s="35"/>
      <c r="AS43" s="45">
        <f t="shared" si="13"/>
        <v>0</v>
      </c>
      <c r="AT43" s="45"/>
      <c r="AU43" s="35">
        <v>0</v>
      </c>
      <c r="AV43" s="35"/>
      <c r="AW43" s="35">
        <v>0</v>
      </c>
      <c r="AX43" s="35"/>
      <c r="AY43" s="35">
        <f t="shared" si="4"/>
        <v>0</v>
      </c>
      <c r="AZ43" s="35"/>
      <c r="BA43" s="35" t="s">
        <v>60</v>
      </c>
      <c r="BB43" s="55"/>
      <c r="BC43" s="35" t="s">
        <v>61</v>
      </c>
      <c r="BD43" s="35"/>
      <c r="BE43" s="35"/>
      <c r="BF43" s="35"/>
      <c r="BG43" s="35"/>
      <c r="BH43" s="35"/>
      <c r="BI43" s="35"/>
      <c r="BJ43" s="35"/>
      <c r="BK43" s="35"/>
      <c r="BL43" s="35"/>
      <c r="BM43" s="35">
        <f t="shared" si="11"/>
        <v>0</v>
      </c>
      <c r="BN43" s="54" t="s">
        <v>347</v>
      </c>
    </row>
    <row r="44" spans="1:67" hidden="1">
      <c r="A44" s="44" t="s">
        <v>62</v>
      </c>
      <c r="C44" s="35" t="s">
        <v>15</v>
      </c>
      <c r="D44" s="35"/>
      <c r="E44" s="35">
        <f t="shared" si="0"/>
        <v>0</v>
      </c>
      <c r="F44" s="35"/>
      <c r="G44" s="35"/>
      <c r="H44" s="35"/>
      <c r="I44" s="35"/>
      <c r="J44" s="35"/>
      <c r="K44" s="35">
        <f t="shared" si="1"/>
        <v>0</v>
      </c>
      <c r="L44" s="35"/>
      <c r="M44" s="35">
        <v>0</v>
      </c>
      <c r="N44" s="35"/>
      <c r="O44" s="35"/>
      <c r="P44" s="35"/>
      <c r="Q44" s="35"/>
      <c r="R44" s="35"/>
      <c r="S44" s="35">
        <v>0</v>
      </c>
      <c r="T44" s="35"/>
      <c r="U44" s="35"/>
      <c r="V44" s="35"/>
      <c r="W44" s="35">
        <f t="shared" si="12"/>
        <v>0</v>
      </c>
      <c r="X44" s="35"/>
      <c r="Y44" s="44" t="s">
        <v>62</v>
      </c>
      <c r="Z44" s="55"/>
      <c r="AA44" s="35" t="s">
        <v>15</v>
      </c>
      <c r="AB44" s="35"/>
      <c r="AC44" s="35">
        <v>0</v>
      </c>
      <c r="AD44" s="35"/>
      <c r="AE44" s="35">
        <v>0</v>
      </c>
      <c r="AF44" s="35"/>
      <c r="AG44" s="35">
        <v>0</v>
      </c>
      <c r="AH44" s="35"/>
      <c r="AI44" s="45">
        <f t="shared" si="10"/>
        <v>0</v>
      </c>
      <c r="AJ44" s="45"/>
      <c r="AK44" s="35"/>
      <c r="AL44" s="35"/>
      <c r="AM44" s="35">
        <v>0</v>
      </c>
      <c r="AN44" s="35"/>
      <c r="AO44" s="35">
        <v>0</v>
      </c>
      <c r="AP44" s="35"/>
      <c r="AQ44" s="35">
        <v>0</v>
      </c>
      <c r="AR44" s="35"/>
      <c r="AS44" s="45">
        <f t="shared" si="13"/>
        <v>0</v>
      </c>
      <c r="AT44" s="45"/>
      <c r="AU44" s="35">
        <v>0</v>
      </c>
      <c r="AV44" s="35"/>
      <c r="AW44" s="35">
        <v>0</v>
      </c>
      <c r="AX44" s="35"/>
      <c r="AY44" s="35">
        <f t="shared" si="4"/>
        <v>0</v>
      </c>
      <c r="AZ44" s="35"/>
      <c r="BA44" s="44" t="s">
        <v>62</v>
      </c>
      <c r="BB44" s="55"/>
      <c r="BC44" s="35" t="s">
        <v>15</v>
      </c>
      <c r="BD44" s="35"/>
      <c r="BE44" s="35"/>
      <c r="BF44" s="35"/>
      <c r="BG44" s="35"/>
      <c r="BH44" s="35"/>
      <c r="BI44" s="35"/>
      <c r="BJ44" s="35"/>
      <c r="BK44" s="35"/>
      <c r="BL44" s="35"/>
      <c r="BM44" s="35">
        <f t="shared" si="11"/>
        <v>0</v>
      </c>
      <c r="BN44" s="54" t="s">
        <v>347</v>
      </c>
    </row>
    <row r="45" spans="1:67" hidden="1">
      <c r="A45" s="35" t="s">
        <v>485</v>
      </c>
      <c r="C45" s="35" t="s">
        <v>111</v>
      </c>
      <c r="D45" s="35"/>
      <c r="E45" s="35">
        <f t="shared" si="0"/>
        <v>0</v>
      </c>
      <c r="F45" s="35"/>
      <c r="G45" s="35"/>
      <c r="H45" s="35"/>
      <c r="I45" s="35"/>
      <c r="J45" s="35"/>
      <c r="K45" s="35">
        <f t="shared" si="1"/>
        <v>0</v>
      </c>
      <c r="L45" s="35"/>
      <c r="M45" s="35">
        <v>0</v>
      </c>
      <c r="N45" s="35"/>
      <c r="O45" s="35"/>
      <c r="P45" s="35"/>
      <c r="Q45" s="35"/>
      <c r="R45" s="35"/>
      <c r="S45" s="35">
        <v>0</v>
      </c>
      <c r="T45" s="35"/>
      <c r="U45" s="35"/>
      <c r="V45" s="35"/>
      <c r="W45" s="35">
        <f t="shared" si="12"/>
        <v>0</v>
      </c>
      <c r="X45" s="35"/>
      <c r="Y45" s="35" t="s">
        <v>485</v>
      </c>
      <c r="Z45" s="55"/>
      <c r="AA45" s="35" t="s">
        <v>111</v>
      </c>
      <c r="AB45" s="35"/>
      <c r="AC45" s="35">
        <v>0</v>
      </c>
      <c r="AD45" s="35"/>
      <c r="AE45" s="35">
        <v>0</v>
      </c>
      <c r="AF45" s="35"/>
      <c r="AG45" s="35">
        <v>0</v>
      </c>
      <c r="AH45" s="35"/>
      <c r="AI45" s="45">
        <f t="shared" si="10"/>
        <v>0</v>
      </c>
      <c r="AJ45" s="45"/>
      <c r="AK45" s="35"/>
      <c r="AL45" s="35"/>
      <c r="AM45" s="35">
        <v>0</v>
      </c>
      <c r="AN45" s="35"/>
      <c r="AO45" s="35">
        <v>0</v>
      </c>
      <c r="AP45" s="35"/>
      <c r="AQ45" s="35">
        <v>0</v>
      </c>
      <c r="AR45" s="35"/>
      <c r="AS45" s="45">
        <f t="shared" si="13"/>
        <v>0</v>
      </c>
      <c r="AT45" s="45"/>
      <c r="AU45" s="35">
        <v>0</v>
      </c>
      <c r="AV45" s="35"/>
      <c r="AW45" s="35">
        <v>0</v>
      </c>
      <c r="AX45" s="35"/>
      <c r="AY45" s="35">
        <f t="shared" si="4"/>
        <v>0</v>
      </c>
      <c r="AZ45" s="35"/>
      <c r="BA45" s="35" t="s">
        <v>485</v>
      </c>
      <c r="BB45" s="55"/>
      <c r="BC45" s="35" t="s">
        <v>111</v>
      </c>
      <c r="BD45" s="35"/>
      <c r="BE45" s="35"/>
      <c r="BF45" s="35"/>
      <c r="BG45" s="35"/>
      <c r="BH45" s="35"/>
      <c r="BI45" s="35"/>
      <c r="BJ45" s="35"/>
      <c r="BK45" s="35"/>
      <c r="BL45" s="35"/>
      <c r="BM45" s="35">
        <f t="shared" si="11"/>
        <v>0</v>
      </c>
      <c r="BN45" s="54" t="s">
        <v>347</v>
      </c>
    </row>
    <row r="46" spans="1:67" hidden="1">
      <c r="A46" s="35" t="s">
        <v>63</v>
      </c>
      <c r="C46" s="35" t="s">
        <v>64</v>
      </c>
      <c r="D46" s="35"/>
      <c r="E46" s="35">
        <f t="shared" si="0"/>
        <v>0</v>
      </c>
      <c r="F46" s="35"/>
      <c r="G46" s="35"/>
      <c r="H46" s="35"/>
      <c r="I46" s="35"/>
      <c r="J46" s="35"/>
      <c r="K46" s="35">
        <f t="shared" si="1"/>
        <v>0</v>
      </c>
      <c r="L46" s="35"/>
      <c r="M46" s="35">
        <v>0</v>
      </c>
      <c r="N46" s="35"/>
      <c r="O46" s="35"/>
      <c r="P46" s="35"/>
      <c r="Q46" s="35"/>
      <c r="R46" s="35"/>
      <c r="S46" s="35">
        <v>0</v>
      </c>
      <c r="T46" s="35"/>
      <c r="U46" s="35"/>
      <c r="V46" s="35"/>
      <c r="W46" s="35">
        <f t="shared" si="12"/>
        <v>0</v>
      </c>
      <c r="X46" s="35"/>
      <c r="Y46" s="35" t="s">
        <v>63</v>
      </c>
      <c r="Z46" s="55"/>
      <c r="AA46" s="35" t="s">
        <v>64</v>
      </c>
      <c r="AB46" s="35"/>
      <c r="AC46" s="35">
        <v>0</v>
      </c>
      <c r="AD46" s="35"/>
      <c r="AE46" s="35">
        <v>0</v>
      </c>
      <c r="AF46" s="35"/>
      <c r="AG46" s="35">
        <v>0</v>
      </c>
      <c r="AH46" s="35"/>
      <c r="AI46" s="45">
        <f t="shared" si="10"/>
        <v>0</v>
      </c>
      <c r="AJ46" s="45"/>
      <c r="AK46" s="35"/>
      <c r="AL46" s="35"/>
      <c r="AM46" s="35">
        <v>0</v>
      </c>
      <c r="AN46" s="35"/>
      <c r="AO46" s="35">
        <v>0</v>
      </c>
      <c r="AP46" s="35"/>
      <c r="AQ46" s="35">
        <v>0</v>
      </c>
      <c r="AR46" s="35"/>
      <c r="AS46" s="45">
        <f t="shared" si="13"/>
        <v>0</v>
      </c>
      <c r="AT46" s="45"/>
      <c r="AU46" s="35">
        <v>0</v>
      </c>
      <c r="AV46" s="35"/>
      <c r="AW46" s="35">
        <v>0</v>
      </c>
      <c r="AX46" s="35"/>
      <c r="AY46" s="35">
        <f t="shared" si="4"/>
        <v>0</v>
      </c>
      <c r="AZ46" s="35"/>
      <c r="BA46" s="35" t="s">
        <v>63</v>
      </c>
      <c r="BB46" s="55"/>
      <c r="BC46" s="35" t="s">
        <v>64</v>
      </c>
      <c r="BD46" s="35"/>
      <c r="BE46" s="35"/>
      <c r="BF46" s="35"/>
      <c r="BG46" s="35"/>
      <c r="BH46" s="35"/>
      <c r="BI46" s="35"/>
      <c r="BJ46" s="35"/>
      <c r="BK46" s="35"/>
      <c r="BL46" s="35"/>
      <c r="BM46" s="35">
        <f t="shared" si="11"/>
        <v>0</v>
      </c>
      <c r="BN46" s="54" t="s">
        <v>347</v>
      </c>
      <c r="BO46" s="55" t="s">
        <v>315</v>
      </c>
    </row>
    <row r="47" spans="1:67" hidden="1">
      <c r="A47" s="35" t="s">
        <v>65</v>
      </c>
      <c r="C47" s="35" t="s">
        <v>66</v>
      </c>
      <c r="D47" s="35"/>
      <c r="E47" s="35">
        <f t="shared" si="0"/>
        <v>0</v>
      </c>
      <c r="F47" s="35"/>
      <c r="G47" s="35"/>
      <c r="H47" s="35"/>
      <c r="I47" s="35"/>
      <c r="J47" s="35"/>
      <c r="K47" s="35">
        <f t="shared" si="1"/>
        <v>0</v>
      </c>
      <c r="L47" s="35"/>
      <c r="M47" s="35">
        <v>0</v>
      </c>
      <c r="N47" s="35"/>
      <c r="O47" s="35"/>
      <c r="P47" s="35"/>
      <c r="Q47" s="35"/>
      <c r="R47" s="35"/>
      <c r="S47" s="35">
        <v>0</v>
      </c>
      <c r="T47" s="35"/>
      <c r="U47" s="35"/>
      <c r="V47" s="35"/>
      <c r="W47" s="35">
        <f t="shared" si="12"/>
        <v>0</v>
      </c>
      <c r="X47" s="35"/>
      <c r="Y47" s="35" t="s">
        <v>65</v>
      </c>
      <c r="Z47" s="55"/>
      <c r="AA47" s="35" t="s">
        <v>66</v>
      </c>
      <c r="AB47" s="35"/>
      <c r="AC47" s="35">
        <v>0</v>
      </c>
      <c r="AD47" s="35"/>
      <c r="AE47" s="35">
        <v>0</v>
      </c>
      <c r="AF47" s="35"/>
      <c r="AG47" s="35">
        <v>0</v>
      </c>
      <c r="AH47" s="35"/>
      <c r="AI47" s="45">
        <f t="shared" si="10"/>
        <v>0</v>
      </c>
      <c r="AJ47" s="45"/>
      <c r="AK47" s="35"/>
      <c r="AL47" s="35"/>
      <c r="AM47" s="35">
        <v>0</v>
      </c>
      <c r="AN47" s="35"/>
      <c r="AO47" s="35">
        <v>0</v>
      </c>
      <c r="AP47" s="35"/>
      <c r="AQ47" s="35">
        <v>0</v>
      </c>
      <c r="AR47" s="35"/>
      <c r="AS47" s="45">
        <f t="shared" si="13"/>
        <v>0</v>
      </c>
      <c r="AT47" s="45"/>
      <c r="AU47" s="35">
        <v>0</v>
      </c>
      <c r="AV47" s="35"/>
      <c r="AW47" s="35">
        <v>0</v>
      </c>
      <c r="AX47" s="35"/>
      <c r="AY47" s="35">
        <f t="shared" si="4"/>
        <v>0</v>
      </c>
      <c r="AZ47" s="35"/>
      <c r="BA47" s="35" t="s">
        <v>65</v>
      </c>
      <c r="BB47" s="55"/>
      <c r="BC47" s="35" t="s">
        <v>66</v>
      </c>
      <c r="BD47" s="35"/>
      <c r="BE47" s="35"/>
      <c r="BF47" s="35"/>
      <c r="BG47" s="35"/>
      <c r="BH47" s="35"/>
      <c r="BI47" s="35"/>
      <c r="BJ47" s="35"/>
      <c r="BK47" s="35"/>
      <c r="BL47" s="35"/>
      <c r="BM47" s="35">
        <f t="shared" si="11"/>
        <v>0</v>
      </c>
      <c r="BN47" s="54" t="s">
        <v>347</v>
      </c>
    </row>
    <row r="48" spans="1:67" hidden="1">
      <c r="A48" s="35" t="s">
        <v>67</v>
      </c>
      <c r="C48" s="35" t="s">
        <v>375</v>
      </c>
      <c r="D48" s="35"/>
      <c r="E48" s="35">
        <f t="shared" si="0"/>
        <v>0</v>
      </c>
      <c r="F48" s="35"/>
      <c r="G48" s="35"/>
      <c r="H48" s="35"/>
      <c r="I48" s="35"/>
      <c r="J48" s="35"/>
      <c r="K48" s="35">
        <f t="shared" si="1"/>
        <v>0</v>
      </c>
      <c r="L48" s="35"/>
      <c r="M48" s="35">
        <v>0</v>
      </c>
      <c r="N48" s="35"/>
      <c r="O48" s="35"/>
      <c r="P48" s="35"/>
      <c r="Q48" s="35"/>
      <c r="R48" s="35"/>
      <c r="S48" s="35">
        <v>0</v>
      </c>
      <c r="T48" s="35"/>
      <c r="U48" s="35"/>
      <c r="V48" s="35"/>
      <c r="W48" s="35">
        <f t="shared" si="12"/>
        <v>0</v>
      </c>
      <c r="X48" s="35"/>
      <c r="Y48" s="35" t="s">
        <v>67</v>
      </c>
      <c r="Z48" s="55"/>
      <c r="AA48" s="35" t="s">
        <v>375</v>
      </c>
      <c r="AB48" s="35"/>
      <c r="AC48" s="35">
        <v>0</v>
      </c>
      <c r="AD48" s="35"/>
      <c r="AE48" s="35">
        <v>0</v>
      </c>
      <c r="AF48" s="35"/>
      <c r="AG48" s="35">
        <v>0</v>
      </c>
      <c r="AH48" s="35"/>
      <c r="AI48" s="45">
        <f t="shared" si="10"/>
        <v>0</v>
      </c>
      <c r="AJ48" s="45"/>
      <c r="AK48" s="35"/>
      <c r="AL48" s="35"/>
      <c r="AM48" s="35">
        <v>0</v>
      </c>
      <c r="AN48" s="35"/>
      <c r="AO48" s="35">
        <v>0</v>
      </c>
      <c r="AP48" s="35"/>
      <c r="AQ48" s="35">
        <v>0</v>
      </c>
      <c r="AR48" s="35"/>
      <c r="AS48" s="45">
        <f t="shared" si="13"/>
        <v>0</v>
      </c>
      <c r="AT48" s="45"/>
      <c r="AU48" s="35">
        <v>0</v>
      </c>
      <c r="AV48" s="35"/>
      <c r="AW48" s="35">
        <v>0</v>
      </c>
      <c r="AX48" s="35"/>
      <c r="AY48" s="35">
        <f t="shared" si="4"/>
        <v>0</v>
      </c>
      <c r="AZ48" s="35"/>
      <c r="BA48" s="35" t="s">
        <v>67</v>
      </c>
      <c r="BB48" s="55"/>
      <c r="BC48" s="35" t="s">
        <v>375</v>
      </c>
      <c r="BD48" s="35"/>
      <c r="BE48" s="35"/>
      <c r="BF48" s="35"/>
      <c r="BG48" s="35"/>
      <c r="BH48" s="35"/>
      <c r="BI48" s="35"/>
      <c r="BJ48" s="35"/>
      <c r="BK48" s="35"/>
      <c r="BL48" s="35"/>
      <c r="BM48" s="35">
        <f t="shared" si="11"/>
        <v>0</v>
      </c>
      <c r="BN48" s="54" t="s">
        <v>347</v>
      </c>
    </row>
    <row r="49" spans="1:67" hidden="1">
      <c r="A49" s="35" t="s">
        <v>68</v>
      </c>
      <c r="C49" s="35" t="s">
        <v>45</v>
      </c>
      <c r="D49" s="35"/>
      <c r="E49" s="35">
        <f t="shared" si="0"/>
        <v>0</v>
      </c>
      <c r="F49" s="35"/>
      <c r="G49" s="35"/>
      <c r="H49" s="35"/>
      <c r="I49" s="35"/>
      <c r="J49" s="35"/>
      <c r="K49" s="35">
        <f t="shared" si="1"/>
        <v>0</v>
      </c>
      <c r="L49" s="35"/>
      <c r="M49" s="35">
        <v>0</v>
      </c>
      <c r="N49" s="35"/>
      <c r="O49" s="35"/>
      <c r="P49" s="35"/>
      <c r="Q49" s="35"/>
      <c r="R49" s="35"/>
      <c r="S49" s="35">
        <v>0</v>
      </c>
      <c r="T49" s="35"/>
      <c r="U49" s="35"/>
      <c r="V49" s="35"/>
      <c r="W49" s="35">
        <f t="shared" si="12"/>
        <v>0</v>
      </c>
      <c r="X49" s="35"/>
      <c r="Y49" s="35" t="s">
        <v>68</v>
      </c>
      <c r="Z49" s="55"/>
      <c r="AA49" s="35" t="s">
        <v>45</v>
      </c>
      <c r="AB49" s="35"/>
      <c r="AC49" s="35">
        <v>0</v>
      </c>
      <c r="AD49" s="35"/>
      <c r="AE49" s="35">
        <v>0</v>
      </c>
      <c r="AF49" s="35"/>
      <c r="AG49" s="35">
        <v>0</v>
      </c>
      <c r="AH49" s="35"/>
      <c r="AI49" s="45">
        <f t="shared" si="10"/>
        <v>0</v>
      </c>
      <c r="AJ49" s="45"/>
      <c r="AK49" s="35"/>
      <c r="AL49" s="35"/>
      <c r="AM49" s="35">
        <v>0</v>
      </c>
      <c r="AN49" s="35"/>
      <c r="AO49" s="35">
        <v>0</v>
      </c>
      <c r="AP49" s="35"/>
      <c r="AQ49" s="35">
        <v>0</v>
      </c>
      <c r="AR49" s="35"/>
      <c r="AS49" s="45">
        <f t="shared" si="13"/>
        <v>0</v>
      </c>
      <c r="AT49" s="45"/>
      <c r="AU49" s="35">
        <v>0</v>
      </c>
      <c r="AV49" s="35"/>
      <c r="AW49" s="35">
        <v>0</v>
      </c>
      <c r="AX49" s="35"/>
      <c r="AY49" s="35">
        <f t="shared" si="4"/>
        <v>0</v>
      </c>
      <c r="AZ49" s="35"/>
      <c r="BA49" s="35" t="s">
        <v>68</v>
      </c>
      <c r="BB49" s="55"/>
      <c r="BC49" s="35" t="s">
        <v>45</v>
      </c>
      <c r="BD49" s="35"/>
      <c r="BE49" s="35"/>
      <c r="BF49" s="35"/>
      <c r="BG49" s="35"/>
      <c r="BH49" s="35"/>
      <c r="BI49" s="35"/>
      <c r="BJ49" s="35"/>
      <c r="BK49" s="35"/>
      <c r="BL49" s="35"/>
      <c r="BM49" s="35">
        <f t="shared" si="11"/>
        <v>0</v>
      </c>
      <c r="BN49" s="54" t="s">
        <v>347</v>
      </c>
    </row>
    <row r="50" spans="1:67" hidden="1">
      <c r="A50" s="35" t="s">
        <v>69</v>
      </c>
      <c r="C50" s="35" t="s">
        <v>70</v>
      </c>
      <c r="D50" s="35"/>
      <c r="E50" s="35">
        <f t="shared" si="0"/>
        <v>0</v>
      </c>
      <c r="F50" s="35"/>
      <c r="G50" s="35"/>
      <c r="H50" s="35"/>
      <c r="I50" s="35"/>
      <c r="J50" s="35"/>
      <c r="K50" s="35">
        <f t="shared" si="1"/>
        <v>0</v>
      </c>
      <c r="L50" s="35"/>
      <c r="M50" s="35">
        <v>0</v>
      </c>
      <c r="N50" s="35"/>
      <c r="O50" s="35"/>
      <c r="P50" s="35"/>
      <c r="Q50" s="35"/>
      <c r="R50" s="35"/>
      <c r="S50" s="35">
        <v>0</v>
      </c>
      <c r="T50" s="35"/>
      <c r="U50" s="35"/>
      <c r="V50" s="35"/>
      <c r="W50" s="35">
        <f t="shared" si="12"/>
        <v>0</v>
      </c>
      <c r="X50" s="35"/>
      <c r="Y50" s="35" t="s">
        <v>69</v>
      </c>
      <c r="Z50" s="55"/>
      <c r="AA50" s="35" t="s">
        <v>70</v>
      </c>
      <c r="AB50" s="35"/>
      <c r="AC50" s="35">
        <v>0</v>
      </c>
      <c r="AD50" s="35"/>
      <c r="AE50" s="35">
        <v>0</v>
      </c>
      <c r="AF50" s="35"/>
      <c r="AG50" s="35">
        <v>0</v>
      </c>
      <c r="AH50" s="35"/>
      <c r="AI50" s="45">
        <f t="shared" si="10"/>
        <v>0</v>
      </c>
      <c r="AJ50" s="45"/>
      <c r="AK50" s="35"/>
      <c r="AL50" s="35"/>
      <c r="AM50" s="35">
        <v>0</v>
      </c>
      <c r="AN50" s="35"/>
      <c r="AO50" s="35">
        <v>0</v>
      </c>
      <c r="AP50" s="35"/>
      <c r="AQ50" s="35">
        <v>0</v>
      </c>
      <c r="AR50" s="35"/>
      <c r="AS50" s="45">
        <f t="shared" si="13"/>
        <v>0</v>
      </c>
      <c r="AT50" s="45"/>
      <c r="AU50" s="35">
        <v>0</v>
      </c>
      <c r="AV50" s="35"/>
      <c r="AW50" s="35">
        <v>0</v>
      </c>
      <c r="AX50" s="35"/>
      <c r="AY50" s="35">
        <f t="shared" si="4"/>
        <v>0</v>
      </c>
      <c r="AZ50" s="35"/>
      <c r="BA50" s="35" t="s">
        <v>69</v>
      </c>
      <c r="BB50" s="55"/>
      <c r="BC50" s="35" t="s">
        <v>70</v>
      </c>
      <c r="BD50" s="35"/>
      <c r="BE50" s="35"/>
      <c r="BF50" s="35"/>
      <c r="BG50" s="35"/>
      <c r="BH50" s="35"/>
      <c r="BI50" s="35"/>
      <c r="BJ50" s="35"/>
      <c r="BK50" s="35"/>
      <c r="BL50" s="35"/>
      <c r="BM50" s="35">
        <f t="shared" si="11"/>
        <v>0</v>
      </c>
      <c r="BN50" s="54" t="s">
        <v>347</v>
      </c>
    </row>
    <row r="51" spans="1:67" hidden="1">
      <c r="A51" s="35" t="s">
        <v>71</v>
      </c>
      <c r="C51" s="35" t="s">
        <v>45</v>
      </c>
      <c r="D51" s="35"/>
      <c r="E51" s="35">
        <f t="shared" si="0"/>
        <v>0</v>
      </c>
      <c r="F51" s="35"/>
      <c r="G51" s="35"/>
      <c r="H51" s="35"/>
      <c r="I51" s="35"/>
      <c r="J51" s="35"/>
      <c r="K51" s="35">
        <f t="shared" si="1"/>
        <v>0</v>
      </c>
      <c r="L51" s="35"/>
      <c r="M51" s="35">
        <v>0</v>
      </c>
      <c r="N51" s="35"/>
      <c r="O51" s="35"/>
      <c r="P51" s="35"/>
      <c r="Q51" s="35"/>
      <c r="R51" s="35"/>
      <c r="S51" s="35">
        <v>0</v>
      </c>
      <c r="T51" s="35"/>
      <c r="U51" s="35"/>
      <c r="V51" s="35"/>
      <c r="W51" s="35">
        <f t="shared" si="12"/>
        <v>0</v>
      </c>
      <c r="X51" s="35"/>
      <c r="Y51" s="35" t="s">
        <v>71</v>
      </c>
      <c r="Z51" s="55"/>
      <c r="AA51" s="35" t="s">
        <v>45</v>
      </c>
      <c r="AB51" s="35"/>
      <c r="AC51" s="35">
        <v>0</v>
      </c>
      <c r="AD51" s="35"/>
      <c r="AE51" s="35">
        <v>0</v>
      </c>
      <c r="AF51" s="35"/>
      <c r="AG51" s="35">
        <v>0</v>
      </c>
      <c r="AH51" s="35"/>
      <c r="AI51" s="45">
        <f t="shared" si="10"/>
        <v>0</v>
      </c>
      <c r="AJ51" s="45"/>
      <c r="AK51" s="35"/>
      <c r="AL51" s="35"/>
      <c r="AM51" s="35">
        <v>0</v>
      </c>
      <c r="AN51" s="35"/>
      <c r="AO51" s="35">
        <v>0</v>
      </c>
      <c r="AP51" s="35"/>
      <c r="AQ51" s="35">
        <v>0</v>
      </c>
      <c r="AR51" s="35"/>
      <c r="AS51" s="45">
        <f t="shared" si="13"/>
        <v>0</v>
      </c>
      <c r="AT51" s="45"/>
      <c r="AU51" s="35">
        <v>0</v>
      </c>
      <c r="AV51" s="35"/>
      <c r="AW51" s="35">
        <v>0</v>
      </c>
      <c r="AX51" s="35"/>
      <c r="AY51" s="35">
        <f t="shared" si="4"/>
        <v>0</v>
      </c>
      <c r="AZ51" s="35"/>
      <c r="BA51" s="35" t="s">
        <v>71</v>
      </c>
      <c r="BB51" s="55"/>
      <c r="BC51" s="35" t="s">
        <v>45</v>
      </c>
      <c r="BD51" s="35"/>
      <c r="BE51" s="35"/>
      <c r="BF51" s="35"/>
      <c r="BG51" s="35"/>
      <c r="BH51" s="35"/>
      <c r="BI51" s="35"/>
      <c r="BJ51" s="35"/>
      <c r="BK51" s="35"/>
      <c r="BL51" s="35"/>
      <c r="BM51" s="35">
        <f t="shared" si="11"/>
        <v>0</v>
      </c>
      <c r="BN51" s="54" t="s">
        <v>347</v>
      </c>
    </row>
    <row r="52" spans="1:67" hidden="1">
      <c r="A52" s="35" t="s">
        <v>72</v>
      </c>
      <c r="C52" s="35" t="s">
        <v>66</v>
      </c>
      <c r="D52" s="35"/>
      <c r="E52" s="35">
        <f t="shared" si="0"/>
        <v>0</v>
      </c>
      <c r="F52" s="35"/>
      <c r="G52" s="35"/>
      <c r="H52" s="35"/>
      <c r="I52" s="35"/>
      <c r="J52" s="35"/>
      <c r="K52" s="35">
        <f t="shared" si="1"/>
        <v>0</v>
      </c>
      <c r="L52" s="35"/>
      <c r="M52" s="35">
        <v>0</v>
      </c>
      <c r="N52" s="35"/>
      <c r="O52" s="35"/>
      <c r="P52" s="35"/>
      <c r="Q52" s="35"/>
      <c r="R52" s="35"/>
      <c r="S52" s="35">
        <v>0</v>
      </c>
      <c r="T52" s="35"/>
      <c r="U52" s="35"/>
      <c r="V52" s="35"/>
      <c r="W52" s="35">
        <f t="shared" si="12"/>
        <v>0</v>
      </c>
      <c r="X52" s="35"/>
      <c r="Y52" s="35" t="s">
        <v>72</v>
      </c>
      <c r="Z52" s="55"/>
      <c r="AA52" s="35" t="s">
        <v>66</v>
      </c>
      <c r="AB52" s="35"/>
      <c r="AC52" s="35">
        <v>0</v>
      </c>
      <c r="AD52" s="35"/>
      <c r="AE52" s="35">
        <v>0</v>
      </c>
      <c r="AF52" s="35"/>
      <c r="AG52" s="35">
        <v>0</v>
      </c>
      <c r="AH52" s="35"/>
      <c r="AI52" s="45">
        <v>0</v>
      </c>
      <c r="AJ52" s="45"/>
      <c r="AK52" s="35"/>
      <c r="AL52" s="35"/>
      <c r="AM52" s="35">
        <v>0</v>
      </c>
      <c r="AN52" s="35"/>
      <c r="AO52" s="35">
        <v>0</v>
      </c>
      <c r="AP52" s="35"/>
      <c r="AQ52" s="35">
        <v>0</v>
      </c>
      <c r="AR52" s="35"/>
      <c r="AS52" s="45">
        <f t="shared" si="13"/>
        <v>0</v>
      </c>
      <c r="AT52" s="45"/>
      <c r="AU52" s="35">
        <v>0</v>
      </c>
      <c r="AV52" s="35"/>
      <c r="AW52" s="35">
        <v>0</v>
      </c>
      <c r="AX52" s="35"/>
      <c r="AY52" s="35">
        <f t="shared" si="4"/>
        <v>0</v>
      </c>
      <c r="AZ52" s="35"/>
      <c r="BA52" s="35" t="s">
        <v>72</v>
      </c>
      <c r="BB52" s="55"/>
      <c r="BC52" s="35" t="s">
        <v>66</v>
      </c>
      <c r="BD52" s="35"/>
      <c r="BE52" s="35"/>
      <c r="BF52" s="35"/>
      <c r="BG52" s="35"/>
      <c r="BH52" s="35"/>
      <c r="BI52" s="35"/>
      <c r="BJ52" s="35"/>
      <c r="BK52" s="35"/>
      <c r="BL52" s="35"/>
      <c r="BM52" s="35">
        <f t="shared" si="11"/>
        <v>0</v>
      </c>
      <c r="BN52" s="54" t="s">
        <v>347</v>
      </c>
    </row>
    <row r="53" spans="1:67" ht="12" hidden="1">
      <c r="A53" s="35" t="s">
        <v>73</v>
      </c>
      <c r="B53" s="55"/>
      <c r="C53" s="35" t="s">
        <v>27</v>
      </c>
      <c r="D53" s="35"/>
      <c r="E53" s="35">
        <f t="shared" si="0"/>
        <v>0</v>
      </c>
      <c r="F53" s="35"/>
      <c r="G53" s="35"/>
      <c r="H53" s="35"/>
      <c r="I53" s="35"/>
      <c r="J53" s="35"/>
      <c r="K53" s="35">
        <f t="shared" si="1"/>
        <v>0</v>
      </c>
      <c r="L53" s="35"/>
      <c r="M53" s="35">
        <v>0</v>
      </c>
      <c r="N53" s="35"/>
      <c r="O53" s="35"/>
      <c r="P53" s="35"/>
      <c r="Q53" s="35"/>
      <c r="R53" s="35"/>
      <c r="S53" s="35">
        <v>0</v>
      </c>
      <c r="T53" s="35"/>
      <c r="U53" s="35"/>
      <c r="V53" s="35"/>
      <c r="W53" s="35">
        <f t="shared" si="12"/>
        <v>0</v>
      </c>
      <c r="X53" s="35"/>
      <c r="Y53" s="35" t="s">
        <v>73</v>
      </c>
      <c r="Z53" s="55"/>
      <c r="AA53" s="35" t="s">
        <v>27</v>
      </c>
      <c r="AB53" s="35"/>
      <c r="AC53" s="35">
        <v>0</v>
      </c>
      <c r="AD53" s="35"/>
      <c r="AE53" s="35">
        <v>0</v>
      </c>
      <c r="AF53" s="35"/>
      <c r="AG53" s="35">
        <v>0</v>
      </c>
      <c r="AH53" s="35"/>
      <c r="AI53" s="45">
        <f t="shared" ref="AI53:AI65" si="14">+AC53-AE53-AG53</f>
        <v>0</v>
      </c>
      <c r="AJ53" s="45"/>
      <c r="AK53" s="35"/>
      <c r="AL53" s="35"/>
      <c r="AM53" s="35">
        <v>0</v>
      </c>
      <c r="AN53" s="35"/>
      <c r="AO53" s="35">
        <v>0</v>
      </c>
      <c r="AP53" s="35"/>
      <c r="AQ53" s="35">
        <v>0</v>
      </c>
      <c r="AR53" s="35"/>
      <c r="AS53" s="45">
        <f t="shared" si="13"/>
        <v>0</v>
      </c>
      <c r="AT53" s="45"/>
      <c r="AU53" s="35">
        <v>0</v>
      </c>
      <c r="AV53" s="35"/>
      <c r="AW53" s="35">
        <v>0</v>
      </c>
      <c r="AX53" s="35"/>
      <c r="AY53" s="35">
        <f t="shared" si="4"/>
        <v>0</v>
      </c>
      <c r="AZ53" s="35"/>
      <c r="BA53" s="35" t="s">
        <v>73</v>
      </c>
      <c r="BB53" s="55"/>
      <c r="BC53" s="35" t="s">
        <v>27</v>
      </c>
      <c r="BD53" s="35"/>
      <c r="BE53" s="35"/>
      <c r="BF53" s="35"/>
      <c r="BG53" s="35"/>
      <c r="BH53" s="35"/>
      <c r="BI53" s="35"/>
      <c r="BJ53" s="35"/>
      <c r="BK53" s="35"/>
      <c r="BL53" s="35"/>
      <c r="BM53" s="35">
        <f t="shared" si="11"/>
        <v>0</v>
      </c>
      <c r="BN53" s="54" t="s">
        <v>347</v>
      </c>
    </row>
    <row r="54" spans="1:67" hidden="1">
      <c r="A54" s="35" t="s">
        <v>74</v>
      </c>
      <c r="C54" s="35" t="s">
        <v>27</v>
      </c>
      <c r="D54" s="35"/>
      <c r="E54" s="35">
        <f t="shared" si="0"/>
        <v>0</v>
      </c>
      <c r="F54" s="35"/>
      <c r="G54" s="35"/>
      <c r="H54" s="35"/>
      <c r="I54" s="35"/>
      <c r="J54" s="35"/>
      <c r="K54" s="35">
        <f t="shared" si="1"/>
        <v>0</v>
      </c>
      <c r="L54" s="35"/>
      <c r="M54" s="35">
        <v>0</v>
      </c>
      <c r="N54" s="35"/>
      <c r="O54" s="35"/>
      <c r="P54" s="35"/>
      <c r="Q54" s="35"/>
      <c r="R54" s="35"/>
      <c r="S54" s="35">
        <v>0</v>
      </c>
      <c r="T54" s="35"/>
      <c r="U54" s="35"/>
      <c r="V54" s="35"/>
      <c r="W54" s="35">
        <f t="shared" si="12"/>
        <v>0</v>
      </c>
      <c r="X54" s="35"/>
      <c r="Y54" s="35" t="s">
        <v>74</v>
      </c>
      <c r="Z54" s="55"/>
      <c r="AA54" s="35" t="s">
        <v>27</v>
      </c>
      <c r="AB54" s="35"/>
      <c r="AC54" s="35">
        <v>0</v>
      </c>
      <c r="AD54" s="35"/>
      <c r="AE54" s="35">
        <v>0</v>
      </c>
      <c r="AF54" s="35"/>
      <c r="AG54" s="35">
        <v>0</v>
      </c>
      <c r="AH54" s="35"/>
      <c r="AI54" s="45">
        <f t="shared" si="14"/>
        <v>0</v>
      </c>
      <c r="AJ54" s="45"/>
      <c r="AK54" s="35"/>
      <c r="AL54" s="35"/>
      <c r="AM54" s="35">
        <v>0</v>
      </c>
      <c r="AN54" s="35"/>
      <c r="AO54" s="35">
        <v>0</v>
      </c>
      <c r="AP54" s="35"/>
      <c r="AQ54" s="35">
        <v>0</v>
      </c>
      <c r="AR54" s="35"/>
      <c r="AS54" s="45">
        <f t="shared" si="13"/>
        <v>0</v>
      </c>
      <c r="AT54" s="45"/>
      <c r="AU54" s="35">
        <v>0</v>
      </c>
      <c r="AV54" s="35"/>
      <c r="AW54" s="35">
        <v>0</v>
      </c>
      <c r="AX54" s="35"/>
      <c r="AY54" s="35">
        <f t="shared" si="4"/>
        <v>0</v>
      </c>
      <c r="AZ54" s="35"/>
      <c r="BA54" s="35" t="s">
        <v>74</v>
      </c>
      <c r="BB54" s="55"/>
      <c r="BC54" s="35" t="s">
        <v>27</v>
      </c>
      <c r="BD54" s="35"/>
      <c r="BE54" s="35"/>
      <c r="BF54" s="35"/>
      <c r="BG54" s="35"/>
      <c r="BH54" s="35"/>
      <c r="BI54" s="35"/>
      <c r="BJ54" s="35"/>
      <c r="BK54" s="35"/>
      <c r="BL54" s="35"/>
      <c r="BM54" s="35">
        <f t="shared" si="11"/>
        <v>0</v>
      </c>
      <c r="BN54" s="54" t="s">
        <v>347</v>
      </c>
    </row>
    <row r="55" spans="1:67" hidden="1">
      <c r="A55" s="35" t="s">
        <v>75</v>
      </c>
      <c r="C55" s="35" t="s">
        <v>76</v>
      </c>
      <c r="D55" s="35"/>
      <c r="E55" s="35">
        <f t="shared" si="0"/>
        <v>0</v>
      </c>
      <c r="F55" s="35"/>
      <c r="G55" s="35"/>
      <c r="H55" s="35"/>
      <c r="I55" s="35"/>
      <c r="J55" s="35"/>
      <c r="K55" s="35">
        <f t="shared" si="1"/>
        <v>0</v>
      </c>
      <c r="L55" s="35"/>
      <c r="M55" s="35">
        <v>0</v>
      </c>
      <c r="N55" s="35"/>
      <c r="O55" s="35"/>
      <c r="P55" s="35"/>
      <c r="Q55" s="35"/>
      <c r="R55" s="35"/>
      <c r="S55" s="35">
        <v>0</v>
      </c>
      <c r="T55" s="35"/>
      <c r="U55" s="35"/>
      <c r="V55" s="35"/>
      <c r="W55" s="35">
        <f t="shared" si="12"/>
        <v>0</v>
      </c>
      <c r="X55" s="35"/>
      <c r="Y55" s="35" t="s">
        <v>75</v>
      </c>
      <c r="Z55" s="55"/>
      <c r="AA55" s="35" t="s">
        <v>76</v>
      </c>
      <c r="AB55" s="35"/>
      <c r="AC55" s="35">
        <v>0</v>
      </c>
      <c r="AD55" s="35"/>
      <c r="AE55" s="35">
        <v>0</v>
      </c>
      <c r="AF55" s="35"/>
      <c r="AG55" s="35">
        <v>0</v>
      </c>
      <c r="AH55" s="35"/>
      <c r="AI55" s="45">
        <f t="shared" si="14"/>
        <v>0</v>
      </c>
      <c r="AJ55" s="45"/>
      <c r="AK55" s="35"/>
      <c r="AL55" s="35"/>
      <c r="AM55" s="35">
        <v>0</v>
      </c>
      <c r="AN55" s="35"/>
      <c r="AO55" s="35">
        <v>0</v>
      </c>
      <c r="AP55" s="35"/>
      <c r="AQ55" s="35">
        <v>0</v>
      </c>
      <c r="AR55" s="35"/>
      <c r="AS55" s="45">
        <f t="shared" si="13"/>
        <v>0</v>
      </c>
      <c r="AT55" s="45"/>
      <c r="AU55" s="35">
        <v>0</v>
      </c>
      <c r="AV55" s="35"/>
      <c r="AW55" s="35">
        <v>0</v>
      </c>
      <c r="AX55" s="35"/>
      <c r="AY55" s="35">
        <f t="shared" si="4"/>
        <v>0</v>
      </c>
      <c r="AZ55" s="35"/>
      <c r="BA55" s="35" t="s">
        <v>75</v>
      </c>
      <c r="BB55" s="55"/>
      <c r="BC55" s="35" t="s">
        <v>76</v>
      </c>
      <c r="BD55" s="35"/>
      <c r="BE55" s="35"/>
      <c r="BF55" s="35"/>
      <c r="BG55" s="35"/>
      <c r="BH55" s="35"/>
      <c r="BI55" s="35"/>
      <c r="BJ55" s="35"/>
      <c r="BK55" s="35"/>
      <c r="BL55" s="35"/>
      <c r="BM55" s="35">
        <f t="shared" si="11"/>
        <v>0</v>
      </c>
      <c r="BN55" s="54" t="s">
        <v>347</v>
      </c>
    </row>
    <row r="56" spans="1:67" hidden="1">
      <c r="A56" s="35" t="s">
        <v>94</v>
      </c>
      <c r="C56" s="35" t="s">
        <v>94</v>
      </c>
      <c r="D56" s="35"/>
      <c r="E56" s="35">
        <f t="shared" si="0"/>
        <v>0</v>
      </c>
      <c r="F56" s="35"/>
      <c r="G56" s="35"/>
      <c r="H56" s="35"/>
      <c r="I56" s="35"/>
      <c r="J56" s="35"/>
      <c r="K56" s="35">
        <f t="shared" si="1"/>
        <v>0</v>
      </c>
      <c r="L56" s="35"/>
      <c r="M56" s="35">
        <v>0</v>
      </c>
      <c r="N56" s="35"/>
      <c r="O56" s="35"/>
      <c r="P56" s="35"/>
      <c r="Q56" s="35"/>
      <c r="R56" s="35"/>
      <c r="S56" s="35">
        <v>0</v>
      </c>
      <c r="T56" s="35"/>
      <c r="U56" s="35"/>
      <c r="V56" s="35"/>
      <c r="W56" s="35">
        <f t="shared" si="12"/>
        <v>0</v>
      </c>
      <c r="X56" s="35"/>
      <c r="Y56" s="35" t="str">
        <f>+A56</f>
        <v>Columbiana</v>
      </c>
      <c r="Z56" s="55"/>
      <c r="AA56" s="35" t="s">
        <v>94</v>
      </c>
      <c r="AB56" s="35"/>
      <c r="AC56" s="35">
        <v>0</v>
      </c>
      <c r="AD56" s="35"/>
      <c r="AE56" s="35">
        <v>0</v>
      </c>
      <c r="AF56" s="35"/>
      <c r="AG56" s="35">
        <v>0</v>
      </c>
      <c r="AH56" s="35"/>
      <c r="AI56" s="45">
        <f t="shared" si="14"/>
        <v>0</v>
      </c>
      <c r="AJ56" s="45"/>
      <c r="AK56" s="35"/>
      <c r="AL56" s="35"/>
      <c r="AM56" s="35">
        <v>0</v>
      </c>
      <c r="AN56" s="35"/>
      <c r="AO56" s="35">
        <v>0</v>
      </c>
      <c r="AP56" s="35"/>
      <c r="AQ56" s="35">
        <v>0</v>
      </c>
      <c r="AR56" s="35"/>
      <c r="AS56" s="45">
        <f t="shared" si="13"/>
        <v>0</v>
      </c>
      <c r="AT56" s="45"/>
      <c r="AU56" s="35">
        <v>0</v>
      </c>
      <c r="AV56" s="35"/>
      <c r="AW56" s="35">
        <v>0</v>
      </c>
      <c r="AX56" s="35"/>
      <c r="AY56" s="35">
        <f t="shared" si="4"/>
        <v>0</v>
      </c>
      <c r="AZ56" s="35"/>
      <c r="BA56" s="35" t="str">
        <f>+Y56</f>
        <v>Columbiana</v>
      </c>
      <c r="BB56" s="55"/>
      <c r="BC56" s="35" t="s">
        <v>94</v>
      </c>
      <c r="BD56" s="35"/>
      <c r="BE56" s="35"/>
      <c r="BF56" s="35"/>
      <c r="BG56" s="35"/>
      <c r="BH56" s="35"/>
      <c r="BI56" s="35"/>
      <c r="BJ56" s="35"/>
      <c r="BK56" s="35"/>
      <c r="BL56" s="35"/>
      <c r="BM56" s="35">
        <f t="shared" si="11"/>
        <v>0</v>
      </c>
      <c r="BN56" s="54" t="s">
        <v>347</v>
      </c>
    </row>
    <row r="57" spans="1:67" hidden="1">
      <c r="A57" s="35" t="s">
        <v>77</v>
      </c>
      <c r="C57" s="35" t="s">
        <v>43</v>
      </c>
      <c r="D57" s="35"/>
      <c r="E57" s="35">
        <f t="shared" si="0"/>
        <v>0</v>
      </c>
      <c r="F57" s="35"/>
      <c r="G57" s="35"/>
      <c r="H57" s="35"/>
      <c r="I57" s="35"/>
      <c r="J57" s="35"/>
      <c r="K57" s="35">
        <f t="shared" si="1"/>
        <v>0</v>
      </c>
      <c r="L57" s="35"/>
      <c r="M57" s="35">
        <v>0</v>
      </c>
      <c r="N57" s="35"/>
      <c r="O57" s="35"/>
      <c r="P57" s="35"/>
      <c r="Q57" s="35"/>
      <c r="R57" s="35"/>
      <c r="S57" s="35">
        <v>0</v>
      </c>
      <c r="T57" s="35"/>
      <c r="U57" s="35"/>
      <c r="V57" s="35"/>
      <c r="W57" s="35">
        <f t="shared" si="12"/>
        <v>0</v>
      </c>
      <c r="X57" s="35"/>
      <c r="Y57" s="35" t="s">
        <v>77</v>
      </c>
      <c r="Z57" s="55"/>
      <c r="AA57" s="35" t="s">
        <v>43</v>
      </c>
      <c r="AB57" s="35"/>
      <c r="AC57" s="35">
        <v>0</v>
      </c>
      <c r="AD57" s="35"/>
      <c r="AE57" s="35">
        <v>0</v>
      </c>
      <c r="AF57" s="35"/>
      <c r="AG57" s="35">
        <v>0</v>
      </c>
      <c r="AH57" s="35"/>
      <c r="AI57" s="45">
        <f t="shared" si="14"/>
        <v>0</v>
      </c>
      <c r="AJ57" s="45"/>
      <c r="AK57" s="35"/>
      <c r="AL57" s="35"/>
      <c r="AM57" s="35">
        <v>0</v>
      </c>
      <c r="AN57" s="35"/>
      <c r="AO57" s="35">
        <v>0</v>
      </c>
      <c r="AP57" s="35"/>
      <c r="AQ57" s="35">
        <v>0</v>
      </c>
      <c r="AR57" s="35"/>
      <c r="AS57" s="45">
        <f t="shared" si="13"/>
        <v>0</v>
      </c>
      <c r="AT57" s="45"/>
      <c r="AU57" s="35">
        <v>0</v>
      </c>
      <c r="AV57" s="35"/>
      <c r="AW57" s="35">
        <v>0</v>
      </c>
      <c r="AX57" s="35"/>
      <c r="AY57" s="35">
        <f t="shared" si="4"/>
        <v>0</v>
      </c>
      <c r="AZ57" s="35"/>
      <c r="BA57" s="35" t="s">
        <v>77</v>
      </c>
      <c r="BB57" s="55"/>
      <c r="BC57" s="35" t="s">
        <v>43</v>
      </c>
      <c r="BD57" s="35"/>
      <c r="BE57" s="35"/>
      <c r="BF57" s="35"/>
      <c r="BG57" s="35"/>
      <c r="BH57" s="35"/>
      <c r="BI57" s="35"/>
      <c r="BJ57" s="35"/>
      <c r="BK57" s="35"/>
      <c r="BL57" s="35"/>
      <c r="BM57" s="35">
        <f t="shared" si="11"/>
        <v>0</v>
      </c>
      <c r="BN57" s="54" t="s">
        <v>347</v>
      </c>
    </row>
    <row r="58" spans="1:67" hidden="1">
      <c r="A58" s="35" t="s">
        <v>78</v>
      </c>
      <c r="C58" s="35" t="s">
        <v>19</v>
      </c>
      <c r="D58" s="35"/>
      <c r="E58" s="35">
        <f t="shared" si="0"/>
        <v>0</v>
      </c>
      <c r="F58" s="35"/>
      <c r="G58" s="35"/>
      <c r="H58" s="35"/>
      <c r="I58" s="35"/>
      <c r="J58" s="35"/>
      <c r="K58" s="35">
        <f t="shared" si="1"/>
        <v>0</v>
      </c>
      <c r="L58" s="35"/>
      <c r="M58" s="35">
        <v>0</v>
      </c>
      <c r="N58" s="35"/>
      <c r="O58" s="35"/>
      <c r="P58" s="35"/>
      <c r="Q58" s="35"/>
      <c r="R58" s="35"/>
      <c r="S58" s="35">
        <v>0</v>
      </c>
      <c r="T58" s="35"/>
      <c r="U58" s="35"/>
      <c r="V58" s="35"/>
      <c r="W58" s="35">
        <f t="shared" si="12"/>
        <v>0</v>
      </c>
      <c r="X58" s="35"/>
      <c r="Y58" s="35" t="s">
        <v>78</v>
      </c>
      <c r="Z58" s="55"/>
      <c r="AA58" s="35" t="s">
        <v>19</v>
      </c>
      <c r="AB58" s="35"/>
      <c r="AC58" s="35">
        <v>0</v>
      </c>
      <c r="AD58" s="35"/>
      <c r="AE58" s="35">
        <v>0</v>
      </c>
      <c r="AF58" s="35"/>
      <c r="AG58" s="35">
        <v>0</v>
      </c>
      <c r="AH58" s="35"/>
      <c r="AI58" s="45">
        <f t="shared" si="14"/>
        <v>0</v>
      </c>
      <c r="AJ58" s="45"/>
      <c r="AK58" s="35"/>
      <c r="AL58" s="35"/>
      <c r="AM58" s="35">
        <v>0</v>
      </c>
      <c r="AN58" s="35"/>
      <c r="AO58" s="35">
        <v>0</v>
      </c>
      <c r="AP58" s="35"/>
      <c r="AQ58" s="35">
        <v>0</v>
      </c>
      <c r="AR58" s="35"/>
      <c r="AS58" s="45">
        <f t="shared" si="13"/>
        <v>0</v>
      </c>
      <c r="AT58" s="45"/>
      <c r="AU58" s="35">
        <v>0</v>
      </c>
      <c r="AV58" s="35"/>
      <c r="AW58" s="35">
        <v>0</v>
      </c>
      <c r="AX58" s="35"/>
      <c r="AY58" s="35">
        <f t="shared" si="4"/>
        <v>0</v>
      </c>
      <c r="AZ58" s="35"/>
      <c r="BA58" s="35" t="s">
        <v>78</v>
      </c>
      <c r="BB58" s="55"/>
      <c r="BC58" s="35" t="s">
        <v>19</v>
      </c>
      <c r="BD58" s="35"/>
      <c r="BE58" s="35"/>
      <c r="BF58" s="35"/>
      <c r="BG58" s="35"/>
      <c r="BH58" s="35"/>
      <c r="BI58" s="35"/>
      <c r="BJ58" s="35"/>
      <c r="BK58" s="35"/>
      <c r="BL58" s="35"/>
      <c r="BM58" s="35">
        <f t="shared" si="11"/>
        <v>0</v>
      </c>
      <c r="BN58" s="54" t="s">
        <v>347</v>
      </c>
    </row>
    <row r="59" spans="1:67" hidden="1">
      <c r="A59" s="35" t="s">
        <v>79</v>
      </c>
      <c r="C59" s="35" t="s">
        <v>80</v>
      </c>
      <c r="D59" s="35"/>
      <c r="E59" s="35">
        <f t="shared" si="0"/>
        <v>0</v>
      </c>
      <c r="F59" s="35"/>
      <c r="G59" s="35"/>
      <c r="H59" s="35"/>
      <c r="I59" s="35"/>
      <c r="J59" s="35"/>
      <c r="K59" s="35">
        <f t="shared" si="1"/>
        <v>0</v>
      </c>
      <c r="L59" s="35"/>
      <c r="M59" s="35">
        <v>0</v>
      </c>
      <c r="N59" s="35"/>
      <c r="O59" s="35"/>
      <c r="P59" s="35"/>
      <c r="Q59" s="35"/>
      <c r="R59" s="35"/>
      <c r="S59" s="35">
        <v>0</v>
      </c>
      <c r="T59" s="35"/>
      <c r="U59" s="35"/>
      <c r="V59" s="35"/>
      <c r="W59" s="35">
        <f t="shared" si="12"/>
        <v>0</v>
      </c>
      <c r="X59" s="35"/>
      <c r="Y59" s="35" t="s">
        <v>79</v>
      </c>
      <c r="Z59" s="55"/>
      <c r="AA59" s="35" t="s">
        <v>80</v>
      </c>
      <c r="AB59" s="35"/>
      <c r="AC59" s="35">
        <v>0</v>
      </c>
      <c r="AD59" s="35"/>
      <c r="AE59" s="35">
        <v>0</v>
      </c>
      <c r="AF59" s="35"/>
      <c r="AG59" s="35">
        <v>0</v>
      </c>
      <c r="AH59" s="35"/>
      <c r="AI59" s="45">
        <f t="shared" si="14"/>
        <v>0</v>
      </c>
      <c r="AJ59" s="45"/>
      <c r="AK59" s="35"/>
      <c r="AL59" s="35"/>
      <c r="AM59" s="35">
        <v>0</v>
      </c>
      <c r="AN59" s="35"/>
      <c r="AO59" s="35">
        <v>0</v>
      </c>
      <c r="AP59" s="35"/>
      <c r="AQ59" s="35">
        <v>0</v>
      </c>
      <c r="AR59" s="35"/>
      <c r="AS59" s="45">
        <f t="shared" si="13"/>
        <v>0</v>
      </c>
      <c r="AT59" s="45"/>
      <c r="AU59" s="35">
        <v>0</v>
      </c>
      <c r="AV59" s="35"/>
      <c r="AW59" s="35">
        <v>0</v>
      </c>
      <c r="AX59" s="35"/>
      <c r="AY59" s="35">
        <f t="shared" si="4"/>
        <v>0</v>
      </c>
      <c r="AZ59" s="35"/>
      <c r="BA59" s="35" t="s">
        <v>79</v>
      </c>
      <c r="BB59" s="55"/>
      <c r="BC59" s="35" t="s">
        <v>80</v>
      </c>
      <c r="BD59" s="35"/>
      <c r="BE59" s="35"/>
      <c r="BF59" s="35"/>
      <c r="BG59" s="35"/>
      <c r="BH59" s="35"/>
      <c r="BI59" s="35"/>
      <c r="BJ59" s="35"/>
      <c r="BK59" s="35"/>
      <c r="BL59" s="35"/>
      <c r="BM59" s="35">
        <f t="shared" si="11"/>
        <v>0</v>
      </c>
      <c r="BN59" s="54" t="s">
        <v>347</v>
      </c>
    </row>
    <row r="60" spans="1:67">
      <c r="A60" s="35" t="s">
        <v>81</v>
      </c>
      <c r="C60" s="35" t="s">
        <v>81</v>
      </c>
      <c r="D60" s="35"/>
      <c r="E60" s="35">
        <f t="shared" si="0"/>
        <v>483484</v>
      </c>
      <c r="F60" s="35"/>
      <c r="G60" s="35">
        <v>0</v>
      </c>
      <c r="H60" s="35"/>
      <c r="I60" s="35">
        <v>483484</v>
      </c>
      <c r="J60" s="35"/>
      <c r="K60" s="35">
        <f t="shared" si="1"/>
        <v>0</v>
      </c>
      <c r="L60" s="35"/>
      <c r="M60" s="35">
        <v>0</v>
      </c>
      <c r="N60" s="35"/>
      <c r="O60" s="35">
        <v>0</v>
      </c>
      <c r="P60" s="35"/>
      <c r="Q60" s="35">
        <v>0</v>
      </c>
      <c r="R60" s="35"/>
      <c r="S60" s="35">
        <v>0</v>
      </c>
      <c r="T60" s="35"/>
      <c r="U60" s="35">
        <v>483484</v>
      </c>
      <c r="V60" s="35"/>
      <c r="W60" s="35">
        <f t="shared" si="12"/>
        <v>483484</v>
      </c>
      <c r="X60" s="35"/>
      <c r="Y60" s="35" t="s">
        <v>81</v>
      </c>
      <c r="Z60" s="55"/>
      <c r="AA60" s="35" t="s">
        <v>81</v>
      </c>
      <c r="AB60" s="35"/>
      <c r="AC60" s="35">
        <v>862505</v>
      </c>
      <c r="AD60" s="35"/>
      <c r="AE60" s="35">
        <v>712491</v>
      </c>
      <c r="AF60" s="35"/>
      <c r="AG60" s="35">
        <v>0</v>
      </c>
      <c r="AH60" s="35"/>
      <c r="AI60" s="45">
        <f t="shared" si="14"/>
        <v>150014</v>
      </c>
      <c r="AJ60" s="45"/>
      <c r="AK60" s="35">
        <v>0</v>
      </c>
      <c r="AL60" s="35"/>
      <c r="AM60" s="35">
        <v>0</v>
      </c>
      <c r="AN60" s="35"/>
      <c r="AO60" s="35">
        <v>0</v>
      </c>
      <c r="AP60" s="35"/>
      <c r="AQ60" s="35">
        <v>0</v>
      </c>
      <c r="AR60" s="35"/>
      <c r="AS60" s="45">
        <f t="shared" si="13"/>
        <v>150014</v>
      </c>
      <c r="AT60" s="45"/>
      <c r="AU60" s="35">
        <v>0</v>
      </c>
      <c r="AV60" s="35"/>
      <c r="AW60" s="35">
        <v>0</v>
      </c>
      <c r="AX60" s="35"/>
      <c r="AY60" s="35">
        <f t="shared" si="4"/>
        <v>483484</v>
      </c>
      <c r="AZ60" s="35"/>
      <c r="BA60" s="35" t="s">
        <v>81</v>
      </c>
      <c r="BB60" s="55"/>
      <c r="BC60" s="35" t="s">
        <v>81</v>
      </c>
      <c r="BD60" s="35"/>
      <c r="BE60" s="35">
        <v>0</v>
      </c>
      <c r="BF60" s="35"/>
      <c r="BG60" s="35">
        <v>0</v>
      </c>
      <c r="BH60" s="35"/>
      <c r="BI60" s="35">
        <v>0</v>
      </c>
      <c r="BJ60" s="35"/>
      <c r="BK60" s="35">
        <v>0</v>
      </c>
      <c r="BL60" s="35"/>
      <c r="BM60" s="35">
        <f t="shared" si="11"/>
        <v>0</v>
      </c>
      <c r="BN60" s="54" t="s">
        <v>347</v>
      </c>
    </row>
    <row r="61" spans="1:67">
      <c r="A61" s="35" t="s">
        <v>82</v>
      </c>
      <c r="C61" s="35" t="s">
        <v>13</v>
      </c>
      <c r="D61" s="35"/>
      <c r="E61" s="35">
        <f t="shared" si="0"/>
        <v>1781053</v>
      </c>
      <c r="F61" s="35"/>
      <c r="G61" s="35">
        <v>1123079</v>
      </c>
      <c r="H61" s="35"/>
      <c r="I61" s="35">
        <v>2904132</v>
      </c>
      <c r="J61" s="35"/>
      <c r="K61" s="35">
        <f t="shared" si="1"/>
        <v>515477</v>
      </c>
      <c r="L61" s="35"/>
      <c r="M61" s="35">
        <v>555728</v>
      </c>
      <c r="N61" s="35"/>
      <c r="O61" s="35">
        <v>1071205</v>
      </c>
      <c r="P61" s="35"/>
      <c r="Q61" s="35">
        <v>892988</v>
      </c>
      <c r="R61" s="35"/>
      <c r="S61" s="35">
        <v>0</v>
      </c>
      <c r="T61" s="35"/>
      <c r="U61" s="35">
        <v>939939</v>
      </c>
      <c r="V61" s="35"/>
      <c r="W61" s="35">
        <f t="shared" si="12"/>
        <v>1832927</v>
      </c>
      <c r="X61" s="35"/>
      <c r="Y61" s="35" t="s">
        <v>82</v>
      </c>
      <c r="Z61" s="55"/>
      <c r="AA61" s="35" t="s">
        <v>13</v>
      </c>
      <c r="AB61" s="35"/>
      <c r="AC61" s="35">
        <v>3632910</v>
      </c>
      <c r="AD61" s="35"/>
      <c r="AE61" s="35">
        <v>3009526</v>
      </c>
      <c r="AF61" s="35"/>
      <c r="AG61" s="35">
        <v>0</v>
      </c>
      <c r="AH61" s="35"/>
      <c r="AI61" s="45">
        <f t="shared" si="14"/>
        <v>623384</v>
      </c>
      <c r="AJ61" s="45"/>
      <c r="AK61" s="35">
        <v>47083</v>
      </c>
      <c r="AL61" s="35"/>
      <c r="AM61" s="35">
        <v>0</v>
      </c>
      <c r="AN61" s="35"/>
      <c r="AO61" s="35">
        <v>0</v>
      </c>
      <c r="AP61" s="35"/>
      <c r="AQ61" s="35">
        <v>0</v>
      </c>
      <c r="AR61" s="35"/>
      <c r="AS61" s="45">
        <f t="shared" si="13"/>
        <v>670467</v>
      </c>
      <c r="AT61" s="45"/>
      <c r="AU61" s="35">
        <v>0</v>
      </c>
      <c r="AV61" s="35"/>
      <c r="AW61" s="35">
        <v>0</v>
      </c>
      <c r="AX61" s="35"/>
      <c r="AY61" s="35">
        <f t="shared" si="4"/>
        <v>1265576</v>
      </c>
      <c r="AZ61" s="35"/>
      <c r="BA61" s="35" t="s">
        <v>82</v>
      </c>
      <c r="BB61" s="55"/>
      <c r="BC61" s="35" t="s">
        <v>13</v>
      </c>
      <c r="BD61" s="35"/>
      <c r="BE61" s="35">
        <v>0</v>
      </c>
      <c r="BF61" s="35"/>
      <c r="BG61" s="35">
        <v>0</v>
      </c>
      <c r="BH61" s="35"/>
      <c r="BI61" s="35">
        <v>0</v>
      </c>
      <c r="BJ61" s="35"/>
      <c r="BK61" s="35">
        <f>108682+299653+256075</f>
        <v>664410</v>
      </c>
      <c r="BL61" s="35"/>
      <c r="BM61" s="35">
        <f t="shared" si="11"/>
        <v>664410</v>
      </c>
      <c r="BN61" s="54" t="s">
        <v>347</v>
      </c>
    </row>
    <row r="62" spans="1:67" hidden="1">
      <c r="A62" s="35" t="s">
        <v>83</v>
      </c>
      <c r="C62" s="35" t="s">
        <v>66</v>
      </c>
      <c r="D62" s="35"/>
      <c r="E62" s="35">
        <f t="shared" si="0"/>
        <v>0</v>
      </c>
      <c r="F62" s="35"/>
      <c r="G62" s="35">
        <v>0</v>
      </c>
      <c r="H62" s="35"/>
      <c r="I62" s="35">
        <v>0</v>
      </c>
      <c r="J62" s="35"/>
      <c r="K62" s="35">
        <f t="shared" si="1"/>
        <v>0</v>
      </c>
      <c r="L62" s="35"/>
      <c r="M62" s="35">
        <v>0</v>
      </c>
      <c r="N62" s="35"/>
      <c r="O62" s="35">
        <v>0</v>
      </c>
      <c r="P62" s="35"/>
      <c r="Q62" s="35">
        <v>0</v>
      </c>
      <c r="R62" s="35"/>
      <c r="S62" s="35">
        <v>0</v>
      </c>
      <c r="T62" s="35"/>
      <c r="U62" s="35">
        <v>0</v>
      </c>
      <c r="V62" s="35"/>
      <c r="W62" s="35">
        <f t="shared" si="12"/>
        <v>0</v>
      </c>
      <c r="X62" s="35"/>
      <c r="Y62" s="35" t="s">
        <v>83</v>
      </c>
      <c r="Z62" s="55"/>
      <c r="AA62" s="35" t="s">
        <v>66</v>
      </c>
      <c r="AB62" s="35"/>
      <c r="AC62" s="35">
        <v>0</v>
      </c>
      <c r="AD62" s="35"/>
      <c r="AE62" s="35">
        <v>0</v>
      </c>
      <c r="AF62" s="35"/>
      <c r="AG62" s="35">
        <v>0</v>
      </c>
      <c r="AH62" s="35"/>
      <c r="AI62" s="45">
        <f t="shared" si="14"/>
        <v>0</v>
      </c>
      <c r="AJ62" s="45"/>
      <c r="AK62" s="35">
        <v>0</v>
      </c>
      <c r="AL62" s="35"/>
      <c r="AM62" s="35">
        <v>0</v>
      </c>
      <c r="AN62" s="35"/>
      <c r="AO62" s="35">
        <v>0</v>
      </c>
      <c r="AP62" s="35"/>
      <c r="AQ62" s="35">
        <v>0</v>
      </c>
      <c r="AR62" s="35"/>
      <c r="AS62" s="45">
        <f t="shared" si="13"/>
        <v>0</v>
      </c>
      <c r="AT62" s="45"/>
      <c r="AU62" s="35">
        <v>0</v>
      </c>
      <c r="AV62" s="35"/>
      <c r="AW62" s="35">
        <v>0</v>
      </c>
      <c r="AX62" s="35"/>
      <c r="AY62" s="35">
        <f t="shared" si="4"/>
        <v>0</v>
      </c>
      <c r="AZ62" s="35"/>
      <c r="BA62" s="35" t="s">
        <v>83</v>
      </c>
      <c r="BB62" s="55"/>
      <c r="BC62" s="35" t="s">
        <v>66</v>
      </c>
      <c r="BD62" s="35"/>
      <c r="BE62" s="35">
        <v>0</v>
      </c>
      <c r="BF62" s="35"/>
      <c r="BG62" s="35">
        <v>0</v>
      </c>
      <c r="BH62" s="35"/>
      <c r="BI62" s="35">
        <v>0</v>
      </c>
      <c r="BJ62" s="35"/>
      <c r="BK62" s="35">
        <v>0</v>
      </c>
      <c r="BL62" s="35"/>
      <c r="BM62" s="35">
        <f t="shared" si="11"/>
        <v>0</v>
      </c>
      <c r="BN62" s="54" t="s">
        <v>347</v>
      </c>
    </row>
    <row r="63" spans="1:67">
      <c r="A63" s="35" t="s">
        <v>84</v>
      </c>
      <c r="C63" s="35" t="s">
        <v>45</v>
      </c>
      <c r="D63" s="35"/>
      <c r="E63" s="35">
        <f t="shared" si="0"/>
        <v>43561</v>
      </c>
      <c r="F63" s="35"/>
      <c r="G63" s="35">
        <v>15178</v>
      </c>
      <c r="H63" s="35"/>
      <c r="I63" s="35">
        <v>58739</v>
      </c>
      <c r="J63" s="35"/>
      <c r="K63" s="35">
        <f t="shared" si="1"/>
        <v>11135</v>
      </c>
      <c r="L63" s="35"/>
      <c r="M63" s="35">
        <v>0</v>
      </c>
      <c r="N63" s="35"/>
      <c r="O63" s="35">
        <v>11135</v>
      </c>
      <c r="P63" s="35"/>
      <c r="Q63" s="35">
        <v>15178</v>
      </c>
      <c r="R63" s="35"/>
      <c r="S63" s="35">
        <v>0</v>
      </c>
      <c r="T63" s="35"/>
      <c r="U63" s="35">
        <v>-67744</v>
      </c>
      <c r="V63" s="35"/>
      <c r="W63" s="35">
        <f t="shared" si="12"/>
        <v>-52566</v>
      </c>
      <c r="X63" s="35"/>
      <c r="Y63" s="35" t="s">
        <v>84</v>
      </c>
      <c r="Z63" s="55"/>
      <c r="AA63" s="35" t="s">
        <v>45</v>
      </c>
      <c r="AB63" s="35"/>
      <c r="AC63" s="35">
        <v>336293</v>
      </c>
      <c r="AD63" s="35"/>
      <c r="AE63" s="35">
        <v>323557</v>
      </c>
      <c r="AF63" s="35"/>
      <c r="AG63" s="35">
        <v>5311</v>
      </c>
      <c r="AH63" s="35"/>
      <c r="AI63" s="45">
        <f t="shared" si="14"/>
        <v>7425</v>
      </c>
      <c r="AJ63" s="45"/>
      <c r="AK63" s="35">
        <v>0</v>
      </c>
      <c r="AL63" s="35"/>
      <c r="AM63" s="35">
        <v>0</v>
      </c>
      <c r="AN63" s="35"/>
      <c r="AO63" s="35">
        <v>0</v>
      </c>
      <c r="AP63" s="35"/>
      <c r="AQ63" s="35">
        <v>0</v>
      </c>
      <c r="AR63" s="35"/>
      <c r="AS63" s="45">
        <f t="shared" si="13"/>
        <v>7425</v>
      </c>
      <c r="AT63" s="45"/>
      <c r="AU63" s="35">
        <v>0</v>
      </c>
      <c r="AV63" s="35"/>
      <c r="AW63" s="35">
        <v>0</v>
      </c>
      <c r="AX63" s="35"/>
      <c r="AY63" s="35">
        <f t="shared" si="4"/>
        <v>32426</v>
      </c>
      <c r="AZ63" s="35"/>
      <c r="BA63" s="35" t="s">
        <v>84</v>
      </c>
      <c r="BB63" s="55"/>
      <c r="BC63" s="35" t="s">
        <v>45</v>
      </c>
      <c r="BD63" s="35"/>
      <c r="BE63" s="35">
        <v>0</v>
      </c>
      <c r="BF63" s="35"/>
      <c r="BG63" s="35">
        <v>0</v>
      </c>
      <c r="BH63" s="35"/>
      <c r="BI63" s="35">
        <v>0</v>
      </c>
      <c r="BJ63" s="35"/>
      <c r="BK63" s="35">
        <v>0</v>
      </c>
      <c r="BL63" s="35"/>
      <c r="BM63" s="35">
        <f t="shared" si="11"/>
        <v>0</v>
      </c>
      <c r="BN63" s="54" t="s">
        <v>347</v>
      </c>
      <c r="BO63" s="55" t="s">
        <v>371</v>
      </c>
    </row>
    <row r="64" spans="1:67" hidden="1">
      <c r="A64" s="35" t="s">
        <v>85</v>
      </c>
      <c r="C64" s="35" t="s">
        <v>85</v>
      </c>
      <c r="D64" s="35"/>
      <c r="E64" s="35">
        <f t="shared" si="0"/>
        <v>0</v>
      </c>
      <c r="F64" s="35"/>
      <c r="G64" s="35">
        <v>0</v>
      </c>
      <c r="H64" s="35"/>
      <c r="I64" s="35">
        <v>0</v>
      </c>
      <c r="J64" s="35"/>
      <c r="K64" s="35">
        <f t="shared" si="1"/>
        <v>0</v>
      </c>
      <c r="L64" s="35"/>
      <c r="M64" s="35">
        <v>0</v>
      </c>
      <c r="N64" s="35"/>
      <c r="O64" s="35">
        <v>0</v>
      </c>
      <c r="P64" s="35"/>
      <c r="Q64" s="35">
        <v>0</v>
      </c>
      <c r="R64" s="35"/>
      <c r="S64" s="35">
        <v>0</v>
      </c>
      <c r="T64" s="35"/>
      <c r="U64" s="35">
        <v>0</v>
      </c>
      <c r="V64" s="35"/>
      <c r="W64" s="35">
        <f t="shared" si="12"/>
        <v>0</v>
      </c>
      <c r="X64" s="35"/>
      <c r="Y64" s="35" t="s">
        <v>85</v>
      </c>
      <c r="Z64" s="55"/>
      <c r="AA64" s="35" t="s">
        <v>85</v>
      </c>
      <c r="AB64" s="35"/>
      <c r="AC64" s="35">
        <v>0</v>
      </c>
      <c r="AD64" s="35"/>
      <c r="AE64" s="35">
        <v>0</v>
      </c>
      <c r="AF64" s="35"/>
      <c r="AG64" s="35">
        <v>0</v>
      </c>
      <c r="AH64" s="35"/>
      <c r="AI64" s="45">
        <f t="shared" si="14"/>
        <v>0</v>
      </c>
      <c r="AJ64" s="45"/>
      <c r="AK64" s="35">
        <v>0</v>
      </c>
      <c r="AL64" s="35"/>
      <c r="AM64" s="35">
        <v>0</v>
      </c>
      <c r="AN64" s="35"/>
      <c r="AO64" s="35">
        <v>0</v>
      </c>
      <c r="AP64" s="35"/>
      <c r="AQ64" s="35">
        <v>0</v>
      </c>
      <c r="AR64" s="35"/>
      <c r="AS64" s="45">
        <f t="shared" si="13"/>
        <v>0</v>
      </c>
      <c r="AT64" s="45"/>
      <c r="AU64" s="35">
        <v>0</v>
      </c>
      <c r="AV64" s="35"/>
      <c r="AW64" s="35">
        <v>0</v>
      </c>
      <c r="AX64" s="35"/>
      <c r="AY64" s="35">
        <f t="shared" si="4"/>
        <v>0</v>
      </c>
      <c r="AZ64" s="35"/>
      <c r="BA64" s="35" t="s">
        <v>85</v>
      </c>
      <c r="BB64" s="55"/>
      <c r="BC64" s="35" t="s">
        <v>85</v>
      </c>
      <c r="BD64" s="35"/>
      <c r="BE64" s="35">
        <v>0</v>
      </c>
      <c r="BF64" s="35"/>
      <c r="BG64" s="35">
        <v>0</v>
      </c>
      <c r="BH64" s="35"/>
      <c r="BI64" s="35">
        <v>0</v>
      </c>
      <c r="BJ64" s="35"/>
      <c r="BK64" s="35">
        <v>0</v>
      </c>
      <c r="BL64" s="35"/>
      <c r="BM64" s="35">
        <f t="shared" si="11"/>
        <v>0</v>
      </c>
      <c r="BN64" s="54" t="s">
        <v>347</v>
      </c>
    </row>
    <row r="65" spans="1:67">
      <c r="A65" s="35" t="s">
        <v>86</v>
      </c>
      <c r="C65" s="35" t="s">
        <v>86</v>
      </c>
      <c r="D65" s="35"/>
      <c r="E65" s="35">
        <f t="shared" si="0"/>
        <v>997861</v>
      </c>
      <c r="F65" s="35"/>
      <c r="G65" s="35">
        <v>629223</v>
      </c>
      <c r="H65" s="35"/>
      <c r="I65" s="35">
        <v>1627084</v>
      </c>
      <c r="J65" s="35"/>
      <c r="K65" s="35">
        <f t="shared" si="1"/>
        <v>184361</v>
      </c>
      <c r="L65" s="35"/>
      <c r="M65" s="35">
        <v>603908</v>
      </c>
      <c r="N65" s="35"/>
      <c r="O65" s="35">
        <v>788269</v>
      </c>
      <c r="P65" s="35"/>
      <c r="Q65" s="35">
        <v>279223</v>
      </c>
      <c r="R65" s="35"/>
      <c r="S65" s="35">
        <v>0</v>
      </c>
      <c r="T65" s="35"/>
      <c r="U65" s="35">
        <v>559592</v>
      </c>
      <c r="V65" s="35"/>
      <c r="W65" s="35">
        <f t="shared" si="12"/>
        <v>838815</v>
      </c>
      <c r="X65" s="35"/>
      <c r="Y65" s="35" t="s">
        <v>86</v>
      </c>
      <c r="Z65" s="55"/>
      <c r="AA65" s="35" t="s">
        <v>86</v>
      </c>
      <c r="AB65" s="35"/>
      <c r="AC65" s="35">
        <v>2845841</v>
      </c>
      <c r="AD65" s="35"/>
      <c r="AE65" s="35">
        <f>2449053-154181</f>
        <v>2294872</v>
      </c>
      <c r="AF65" s="35"/>
      <c r="AG65" s="35">
        <v>154181</v>
      </c>
      <c r="AH65" s="35"/>
      <c r="AI65" s="45">
        <f t="shared" si="14"/>
        <v>396788</v>
      </c>
      <c r="AJ65" s="45"/>
      <c r="AK65" s="35">
        <v>-7079</v>
      </c>
      <c r="AL65" s="35"/>
      <c r="AM65" s="35">
        <v>0</v>
      </c>
      <c r="AN65" s="35"/>
      <c r="AO65" s="35">
        <v>0</v>
      </c>
      <c r="AP65" s="35"/>
      <c r="AQ65" s="35">
        <v>0</v>
      </c>
      <c r="AR65" s="35"/>
      <c r="AS65" s="45">
        <f t="shared" si="13"/>
        <v>389709</v>
      </c>
      <c r="AT65" s="45"/>
      <c r="AU65" s="35">
        <v>0</v>
      </c>
      <c r="AV65" s="35"/>
      <c r="AW65" s="35">
        <v>0</v>
      </c>
      <c r="AX65" s="35"/>
      <c r="AY65" s="35">
        <f t="shared" si="4"/>
        <v>813500</v>
      </c>
      <c r="AZ65" s="35"/>
      <c r="BA65" s="35" t="s">
        <v>86</v>
      </c>
      <c r="BB65" s="55"/>
      <c r="BC65" s="35" t="s">
        <v>86</v>
      </c>
      <c r="BD65" s="35"/>
      <c r="BE65" s="35">
        <f>305000+45000</f>
        <v>350000</v>
      </c>
      <c r="BF65" s="35"/>
      <c r="BG65" s="35">
        <v>0</v>
      </c>
      <c r="BH65" s="35"/>
      <c r="BI65" s="35">
        <v>0</v>
      </c>
      <c r="BJ65" s="35"/>
      <c r="BK65" s="35">
        <f>29831+5000+245000</f>
        <v>279831</v>
      </c>
      <c r="BL65" s="35"/>
      <c r="BM65" s="35">
        <f t="shared" si="11"/>
        <v>629831</v>
      </c>
      <c r="BN65" s="54" t="s">
        <v>347</v>
      </c>
    </row>
    <row r="66" spans="1:67" s="90" customFormat="1" ht="12" hidden="1">
      <c r="A66" s="64" t="s">
        <v>87</v>
      </c>
      <c r="C66" s="64" t="s">
        <v>88</v>
      </c>
      <c r="D66" s="64"/>
      <c r="E66" s="64">
        <f t="shared" si="0"/>
        <v>0</v>
      </c>
      <c r="F66" s="64"/>
      <c r="G66" s="35">
        <v>0</v>
      </c>
      <c r="H66" s="35"/>
      <c r="I66" s="35">
        <v>0</v>
      </c>
      <c r="J66" s="64"/>
      <c r="K66" s="64">
        <f t="shared" si="1"/>
        <v>0</v>
      </c>
      <c r="L66" s="64"/>
      <c r="M66" s="35">
        <v>0</v>
      </c>
      <c r="N66" s="35"/>
      <c r="O66" s="35">
        <v>0</v>
      </c>
      <c r="P66" s="35"/>
      <c r="Q66" s="35">
        <v>0</v>
      </c>
      <c r="R66" s="35"/>
      <c r="S66" s="35">
        <v>0</v>
      </c>
      <c r="T66" s="35"/>
      <c r="U66" s="35">
        <v>0</v>
      </c>
      <c r="V66" s="64"/>
      <c r="W66" s="64">
        <f t="shared" si="12"/>
        <v>0</v>
      </c>
      <c r="X66" s="64"/>
      <c r="Y66" s="64" t="s">
        <v>87</v>
      </c>
      <c r="AA66" s="64" t="s">
        <v>88</v>
      </c>
      <c r="AB66" s="64"/>
      <c r="AC66" s="35">
        <v>0</v>
      </c>
      <c r="AD66" s="35"/>
      <c r="AE66" s="35">
        <v>0</v>
      </c>
      <c r="AF66" s="35"/>
      <c r="AG66" s="35">
        <v>0</v>
      </c>
      <c r="AH66" s="64"/>
      <c r="AI66" s="94">
        <f t="shared" ref="AI66:AI77" si="15">+AC66-AE66-AG66</f>
        <v>0</v>
      </c>
      <c r="AJ66" s="94"/>
      <c r="AK66" s="35">
        <v>0</v>
      </c>
      <c r="AL66" s="35"/>
      <c r="AM66" s="35">
        <v>0</v>
      </c>
      <c r="AN66" s="35"/>
      <c r="AO66" s="35">
        <v>0</v>
      </c>
      <c r="AP66" s="35"/>
      <c r="AQ66" s="35">
        <v>0</v>
      </c>
      <c r="AR66" s="64"/>
      <c r="AS66" s="94">
        <f t="shared" si="13"/>
        <v>0</v>
      </c>
      <c r="AT66" s="94"/>
      <c r="AU66" s="64">
        <v>0</v>
      </c>
      <c r="AV66" s="64"/>
      <c r="AW66" s="64">
        <v>0</v>
      </c>
      <c r="AX66" s="64"/>
      <c r="AY66" s="64">
        <f t="shared" si="4"/>
        <v>0</v>
      </c>
      <c r="AZ66" s="64"/>
      <c r="BA66" s="64" t="s">
        <v>87</v>
      </c>
      <c r="BC66" s="64" t="s">
        <v>88</v>
      </c>
      <c r="BD66" s="64"/>
      <c r="BE66" s="35">
        <v>0</v>
      </c>
      <c r="BF66" s="35"/>
      <c r="BG66" s="35">
        <v>0</v>
      </c>
      <c r="BH66" s="35"/>
      <c r="BI66" s="35">
        <v>0</v>
      </c>
      <c r="BJ66" s="35"/>
      <c r="BK66" s="35">
        <v>0</v>
      </c>
      <c r="BL66" s="64"/>
      <c r="BM66" s="64">
        <f t="shared" si="11"/>
        <v>0</v>
      </c>
      <c r="BN66" s="91" t="s">
        <v>347</v>
      </c>
    </row>
    <row r="67" spans="1:67" hidden="1">
      <c r="A67" s="35" t="s">
        <v>394</v>
      </c>
      <c r="C67" s="35" t="s">
        <v>89</v>
      </c>
      <c r="D67" s="35"/>
      <c r="E67" s="35">
        <f t="shared" si="0"/>
        <v>0</v>
      </c>
      <c r="F67" s="35"/>
      <c r="G67" s="35">
        <v>0</v>
      </c>
      <c r="H67" s="35"/>
      <c r="I67" s="35">
        <v>0</v>
      </c>
      <c r="J67" s="35"/>
      <c r="K67" s="35">
        <f t="shared" si="1"/>
        <v>0</v>
      </c>
      <c r="L67" s="35"/>
      <c r="M67" s="35">
        <v>0</v>
      </c>
      <c r="N67" s="35"/>
      <c r="O67" s="35">
        <v>0</v>
      </c>
      <c r="P67" s="35"/>
      <c r="Q67" s="35">
        <v>0</v>
      </c>
      <c r="R67" s="35"/>
      <c r="S67" s="35">
        <v>0</v>
      </c>
      <c r="T67" s="35"/>
      <c r="U67" s="35">
        <v>0</v>
      </c>
      <c r="V67" s="35"/>
      <c r="W67" s="35">
        <f t="shared" si="12"/>
        <v>0</v>
      </c>
      <c r="X67" s="35"/>
      <c r="Y67" s="35" t="s">
        <v>394</v>
      </c>
      <c r="Z67" s="55"/>
      <c r="AA67" s="35" t="s">
        <v>89</v>
      </c>
      <c r="AB67" s="35"/>
      <c r="AC67" s="35">
        <v>0</v>
      </c>
      <c r="AD67" s="35"/>
      <c r="AE67" s="35">
        <v>0</v>
      </c>
      <c r="AF67" s="35"/>
      <c r="AG67" s="35">
        <v>0</v>
      </c>
      <c r="AH67" s="35"/>
      <c r="AI67" s="45">
        <f t="shared" si="15"/>
        <v>0</v>
      </c>
      <c r="AJ67" s="45"/>
      <c r="AK67" s="35">
        <v>0</v>
      </c>
      <c r="AL67" s="35"/>
      <c r="AM67" s="35">
        <v>0</v>
      </c>
      <c r="AN67" s="35"/>
      <c r="AO67" s="35">
        <v>0</v>
      </c>
      <c r="AP67" s="35"/>
      <c r="AQ67" s="35">
        <v>0</v>
      </c>
      <c r="AR67" s="35"/>
      <c r="AS67" s="45">
        <f t="shared" si="13"/>
        <v>0</v>
      </c>
      <c r="AT67" s="45"/>
      <c r="AU67" s="35">
        <v>0</v>
      </c>
      <c r="AV67" s="35"/>
      <c r="AW67" s="35">
        <v>0</v>
      </c>
      <c r="AX67" s="35"/>
      <c r="AY67" s="35">
        <f t="shared" si="4"/>
        <v>0</v>
      </c>
      <c r="AZ67" s="35"/>
      <c r="BA67" s="35" t="s">
        <v>394</v>
      </c>
      <c r="BB67" s="55"/>
      <c r="BC67" s="35" t="s">
        <v>89</v>
      </c>
      <c r="BD67" s="35"/>
      <c r="BE67" s="35">
        <v>0</v>
      </c>
      <c r="BF67" s="35"/>
      <c r="BG67" s="35">
        <v>0</v>
      </c>
      <c r="BH67" s="35"/>
      <c r="BI67" s="35">
        <v>0</v>
      </c>
      <c r="BJ67" s="35"/>
      <c r="BK67" s="35">
        <v>0</v>
      </c>
      <c r="BL67" s="35"/>
      <c r="BM67" s="35">
        <f t="shared" si="11"/>
        <v>0</v>
      </c>
      <c r="BN67" s="54" t="s">
        <v>347</v>
      </c>
      <c r="BO67" s="55" t="s">
        <v>315</v>
      </c>
    </row>
    <row r="68" spans="1:67" hidden="1">
      <c r="A68" s="35" t="s">
        <v>90</v>
      </c>
      <c r="C68" s="35" t="s">
        <v>43</v>
      </c>
      <c r="D68" s="35"/>
      <c r="E68" s="35">
        <f t="shared" si="0"/>
        <v>0</v>
      </c>
      <c r="F68" s="35"/>
      <c r="G68" s="35">
        <v>0</v>
      </c>
      <c r="H68" s="35"/>
      <c r="I68" s="35">
        <v>0</v>
      </c>
      <c r="J68" s="35"/>
      <c r="K68" s="35">
        <f t="shared" si="1"/>
        <v>0</v>
      </c>
      <c r="L68" s="35"/>
      <c r="M68" s="35">
        <v>0</v>
      </c>
      <c r="N68" s="35"/>
      <c r="O68" s="35">
        <v>0</v>
      </c>
      <c r="P68" s="35"/>
      <c r="Q68" s="35">
        <v>0</v>
      </c>
      <c r="R68" s="35"/>
      <c r="S68" s="35">
        <v>0</v>
      </c>
      <c r="T68" s="35"/>
      <c r="U68" s="35">
        <v>0</v>
      </c>
      <c r="V68" s="35"/>
      <c r="W68" s="35">
        <f t="shared" si="12"/>
        <v>0</v>
      </c>
      <c r="X68" s="35"/>
      <c r="Y68" s="35" t="s">
        <v>90</v>
      </c>
      <c r="Z68" s="55"/>
      <c r="AA68" s="35" t="s">
        <v>43</v>
      </c>
      <c r="AB68" s="35"/>
      <c r="AC68" s="35">
        <v>0</v>
      </c>
      <c r="AD68" s="35"/>
      <c r="AE68" s="35">
        <v>0</v>
      </c>
      <c r="AF68" s="35"/>
      <c r="AG68" s="35">
        <v>0</v>
      </c>
      <c r="AH68" s="35"/>
      <c r="AI68" s="45">
        <f t="shared" si="15"/>
        <v>0</v>
      </c>
      <c r="AJ68" s="45"/>
      <c r="AK68" s="35">
        <v>0</v>
      </c>
      <c r="AL68" s="35"/>
      <c r="AM68" s="35">
        <v>0</v>
      </c>
      <c r="AN68" s="35"/>
      <c r="AO68" s="35">
        <v>0</v>
      </c>
      <c r="AP68" s="35"/>
      <c r="AQ68" s="35">
        <v>0</v>
      </c>
      <c r="AR68" s="35"/>
      <c r="AS68" s="45">
        <f t="shared" si="13"/>
        <v>0</v>
      </c>
      <c r="AT68" s="45"/>
      <c r="AU68" s="35">
        <v>0</v>
      </c>
      <c r="AV68" s="35"/>
      <c r="AW68" s="35">
        <v>0</v>
      </c>
      <c r="AX68" s="35"/>
      <c r="AY68" s="35">
        <f t="shared" si="4"/>
        <v>0</v>
      </c>
      <c r="AZ68" s="35"/>
      <c r="BA68" s="35" t="s">
        <v>90</v>
      </c>
      <c r="BB68" s="55"/>
      <c r="BC68" s="35" t="s">
        <v>43</v>
      </c>
      <c r="BD68" s="35"/>
      <c r="BE68" s="35">
        <v>0</v>
      </c>
      <c r="BF68" s="35"/>
      <c r="BG68" s="35">
        <v>0</v>
      </c>
      <c r="BH68" s="35"/>
      <c r="BI68" s="35">
        <v>0</v>
      </c>
      <c r="BJ68" s="35"/>
      <c r="BK68" s="35">
        <v>0</v>
      </c>
      <c r="BL68" s="35"/>
      <c r="BM68" s="35">
        <f t="shared" si="11"/>
        <v>0</v>
      </c>
      <c r="BN68" s="54" t="s">
        <v>347</v>
      </c>
    </row>
    <row r="69" spans="1:67" hidden="1">
      <c r="A69" s="35" t="s">
        <v>93</v>
      </c>
      <c r="C69" s="35" t="s">
        <v>94</v>
      </c>
      <c r="D69" s="35"/>
      <c r="E69" s="35">
        <f t="shared" si="0"/>
        <v>0</v>
      </c>
      <c r="F69" s="35"/>
      <c r="G69" s="35">
        <v>0</v>
      </c>
      <c r="H69" s="35"/>
      <c r="I69" s="35">
        <v>0</v>
      </c>
      <c r="J69" s="35"/>
      <c r="K69" s="35">
        <f t="shared" si="1"/>
        <v>0</v>
      </c>
      <c r="L69" s="35"/>
      <c r="M69" s="35">
        <v>0</v>
      </c>
      <c r="N69" s="35"/>
      <c r="O69" s="35">
        <v>0</v>
      </c>
      <c r="P69" s="35"/>
      <c r="Q69" s="35">
        <v>0</v>
      </c>
      <c r="R69" s="35"/>
      <c r="S69" s="35">
        <v>0</v>
      </c>
      <c r="T69" s="35"/>
      <c r="U69" s="35">
        <v>0</v>
      </c>
      <c r="V69" s="35"/>
      <c r="W69" s="35">
        <f t="shared" si="12"/>
        <v>0</v>
      </c>
      <c r="X69" s="35"/>
      <c r="Y69" s="35" t="s">
        <v>93</v>
      </c>
      <c r="Z69" s="55"/>
      <c r="AA69" s="35" t="s">
        <v>94</v>
      </c>
      <c r="AB69" s="35"/>
      <c r="AC69" s="35">
        <v>0</v>
      </c>
      <c r="AD69" s="35"/>
      <c r="AE69" s="35">
        <v>0</v>
      </c>
      <c r="AF69" s="35"/>
      <c r="AG69" s="35">
        <v>0</v>
      </c>
      <c r="AH69" s="35"/>
      <c r="AI69" s="45">
        <f t="shared" si="15"/>
        <v>0</v>
      </c>
      <c r="AJ69" s="45"/>
      <c r="AK69" s="35">
        <v>0</v>
      </c>
      <c r="AL69" s="35"/>
      <c r="AM69" s="35">
        <v>0</v>
      </c>
      <c r="AN69" s="35"/>
      <c r="AO69" s="35">
        <v>0</v>
      </c>
      <c r="AP69" s="35"/>
      <c r="AQ69" s="35">
        <v>0</v>
      </c>
      <c r="AR69" s="35"/>
      <c r="AS69" s="45">
        <f t="shared" si="13"/>
        <v>0</v>
      </c>
      <c r="AT69" s="45"/>
      <c r="AU69" s="35">
        <v>0</v>
      </c>
      <c r="AV69" s="35"/>
      <c r="AW69" s="35">
        <v>0</v>
      </c>
      <c r="AX69" s="35"/>
      <c r="AY69" s="35">
        <f t="shared" si="4"/>
        <v>0</v>
      </c>
      <c r="AZ69" s="35"/>
      <c r="BA69" s="35" t="s">
        <v>93</v>
      </c>
      <c r="BB69" s="55"/>
      <c r="BC69" s="35" t="s">
        <v>94</v>
      </c>
      <c r="BD69" s="35"/>
      <c r="BE69" s="35">
        <v>0</v>
      </c>
      <c r="BF69" s="35"/>
      <c r="BG69" s="35">
        <v>0</v>
      </c>
      <c r="BH69" s="35"/>
      <c r="BI69" s="35">
        <v>0</v>
      </c>
      <c r="BJ69" s="35"/>
      <c r="BK69" s="35">
        <v>0</v>
      </c>
      <c r="BL69" s="35"/>
      <c r="BM69" s="35">
        <f t="shared" si="11"/>
        <v>0</v>
      </c>
      <c r="BN69" s="54" t="s">
        <v>347</v>
      </c>
    </row>
    <row r="70" spans="1:67" hidden="1">
      <c r="A70" s="35" t="s">
        <v>95</v>
      </c>
      <c r="C70" s="35" t="s">
        <v>94</v>
      </c>
      <c r="D70" s="35"/>
      <c r="E70" s="35">
        <f t="shared" si="0"/>
        <v>0</v>
      </c>
      <c r="F70" s="35"/>
      <c r="G70" s="35">
        <v>0</v>
      </c>
      <c r="H70" s="35"/>
      <c r="I70" s="35">
        <v>0</v>
      </c>
      <c r="J70" s="35"/>
      <c r="K70" s="35">
        <f t="shared" si="1"/>
        <v>0</v>
      </c>
      <c r="L70" s="35"/>
      <c r="M70" s="35">
        <v>0</v>
      </c>
      <c r="N70" s="35"/>
      <c r="O70" s="35">
        <v>0</v>
      </c>
      <c r="P70" s="35"/>
      <c r="Q70" s="35">
        <v>0</v>
      </c>
      <c r="R70" s="35"/>
      <c r="S70" s="35">
        <v>0</v>
      </c>
      <c r="T70" s="35"/>
      <c r="U70" s="35">
        <v>0</v>
      </c>
      <c r="V70" s="35"/>
      <c r="W70" s="35">
        <f t="shared" si="12"/>
        <v>0</v>
      </c>
      <c r="X70" s="35"/>
      <c r="Y70" s="35" t="s">
        <v>95</v>
      </c>
      <c r="Z70" s="55"/>
      <c r="AA70" s="35" t="s">
        <v>94</v>
      </c>
      <c r="AB70" s="35"/>
      <c r="AC70" s="35">
        <v>0</v>
      </c>
      <c r="AD70" s="35"/>
      <c r="AE70" s="35">
        <v>0</v>
      </c>
      <c r="AF70" s="35"/>
      <c r="AG70" s="35">
        <v>0</v>
      </c>
      <c r="AH70" s="35"/>
      <c r="AI70" s="45">
        <f t="shared" si="15"/>
        <v>0</v>
      </c>
      <c r="AJ70" s="45"/>
      <c r="AK70" s="35">
        <v>0</v>
      </c>
      <c r="AL70" s="35"/>
      <c r="AM70" s="35">
        <v>0</v>
      </c>
      <c r="AN70" s="35"/>
      <c r="AO70" s="35">
        <v>0</v>
      </c>
      <c r="AP70" s="35"/>
      <c r="AQ70" s="35">
        <v>0</v>
      </c>
      <c r="AR70" s="35"/>
      <c r="AS70" s="45">
        <f t="shared" si="13"/>
        <v>0</v>
      </c>
      <c r="AT70" s="45"/>
      <c r="AU70" s="35">
        <v>0</v>
      </c>
      <c r="AV70" s="35"/>
      <c r="AW70" s="35">
        <v>0</v>
      </c>
      <c r="AX70" s="35"/>
      <c r="AY70" s="35">
        <f t="shared" si="4"/>
        <v>0</v>
      </c>
      <c r="AZ70" s="35"/>
      <c r="BA70" s="35" t="s">
        <v>95</v>
      </c>
      <c r="BB70" s="55"/>
      <c r="BC70" s="35" t="s">
        <v>94</v>
      </c>
      <c r="BD70" s="35"/>
      <c r="BE70" s="35">
        <v>0</v>
      </c>
      <c r="BF70" s="35"/>
      <c r="BG70" s="35">
        <v>0</v>
      </c>
      <c r="BH70" s="35"/>
      <c r="BI70" s="35">
        <v>0</v>
      </c>
      <c r="BJ70" s="35"/>
      <c r="BK70" s="35">
        <v>0</v>
      </c>
      <c r="BL70" s="35"/>
      <c r="BM70" s="35">
        <f t="shared" si="11"/>
        <v>0</v>
      </c>
      <c r="BN70" s="54" t="s">
        <v>347</v>
      </c>
    </row>
    <row r="71" spans="1:67" hidden="1">
      <c r="A71" s="35" t="s">
        <v>91</v>
      </c>
      <c r="C71" s="35" t="s">
        <v>92</v>
      </c>
      <c r="D71" s="35"/>
      <c r="E71" s="35">
        <f t="shared" si="0"/>
        <v>0</v>
      </c>
      <c r="F71" s="35"/>
      <c r="G71" s="35">
        <v>0</v>
      </c>
      <c r="H71" s="35"/>
      <c r="I71" s="35">
        <v>0</v>
      </c>
      <c r="J71" s="35"/>
      <c r="K71" s="35">
        <f t="shared" si="1"/>
        <v>0</v>
      </c>
      <c r="L71" s="35"/>
      <c r="M71" s="35">
        <v>0</v>
      </c>
      <c r="N71" s="35"/>
      <c r="O71" s="35">
        <v>0</v>
      </c>
      <c r="P71" s="35"/>
      <c r="Q71" s="35">
        <v>0</v>
      </c>
      <c r="R71" s="35"/>
      <c r="S71" s="35">
        <v>0</v>
      </c>
      <c r="T71" s="35"/>
      <c r="U71" s="35">
        <v>0</v>
      </c>
      <c r="V71" s="35"/>
      <c r="W71" s="35">
        <f t="shared" si="12"/>
        <v>0</v>
      </c>
      <c r="X71" s="35"/>
      <c r="Y71" s="35" t="s">
        <v>91</v>
      </c>
      <c r="Z71" s="55"/>
      <c r="AA71" s="35" t="s">
        <v>92</v>
      </c>
      <c r="AB71" s="35"/>
      <c r="AC71" s="35">
        <v>0</v>
      </c>
      <c r="AD71" s="35"/>
      <c r="AE71" s="35">
        <v>0</v>
      </c>
      <c r="AF71" s="35"/>
      <c r="AG71" s="35">
        <v>0</v>
      </c>
      <c r="AH71" s="35"/>
      <c r="AI71" s="45">
        <f t="shared" si="15"/>
        <v>0</v>
      </c>
      <c r="AJ71" s="45"/>
      <c r="AK71" s="35">
        <v>0</v>
      </c>
      <c r="AL71" s="35"/>
      <c r="AM71" s="35">
        <v>0</v>
      </c>
      <c r="AN71" s="35"/>
      <c r="AO71" s="35">
        <v>0</v>
      </c>
      <c r="AP71" s="35"/>
      <c r="AQ71" s="35">
        <v>0</v>
      </c>
      <c r="AR71" s="35"/>
      <c r="AS71" s="45">
        <f t="shared" si="13"/>
        <v>0</v>
      </c>
      <c r="AT71" s="45"/>
      <c r="AU71" s="35">
        <v>0</v>
      </c>
      <c r="AV71" s="35"/>
      <c r="AW71" s="35">
        <v>0</v>
      </c>
      <c r="AX71" s="35"/>
      <c r="AY71" s="35">
        <f t="shared" si="4"/>
        <v>0</v>
      </c>
      <c r="AZ71" s="35"/>
      <c r="BA71" s="35" t="s">
        <v>91</v>
      </c>
      <c r="BB71" s="55"/>
      <c r="BC71" s="35" t="s">
        <v>92</v>
      </c>
      <c r="BD71" s="35"/>
      <c r="BE71" s="35">
        <v>0</v>
      </c>
      <c r="BF71" s="35"/>
      <c r="BG71" s="35">
        <v>0</v>
      </c>
      <c r="BH71" s="35"/>
      <c r="BI71" s="35">
        <v>0</v>
      </c>
      <c r="BJ71" s="35"/>
      <c r="BK71" s="35">
        <v>0</v>
      </c>
      <c r="BL71" s="35"/>
      <c r="BM71" s="35">
        <f t="shared" si="11"/>
        <v>0</v>
      </c>
      <c r="BN71" s="54" t="s">
        <v>347</v>
      </c>
    </row>
    <row r="72" spans="1:67">
      <c r="A72" s="35" t="s">
        <v>96</v>
      </c>
      <c r="C72" s="35" t="s">
        <v>97</v>
      </c>
      <c r="D72" s="35"/>
      <c r="E72" s="35">
        <f t="shared" si="0"/>
        <v>223872</v>
      </c>
      <c r="F72" s="35"/>
      <c r="G72" s="35">
        <v>19337</v>
      </c>
      <c r="H72" s="35"/>
      <c r="I72" s="35">
        <v>243209</v>
      </c>
      <c r="J72" s="35"/>
      <c r="K72" s="35">
        <f t="shared" si="1"/>
        <v>44658</v>
      </c>
      <c r="L72" s="35"/>
      <c r="M72" s="35">
        <v>13658</v>
      </c>
      <c r="N72" s="35"/>
      <c r="O72" s="35">
        <v>58316</v>
      </c>
      <c r="P72" s="35"/>
      <c r="Q72" s="35">
        <v>19337</v>
      </c>
      <c r="R72" s="35"/>
      <c r="S72" s="35">
        <v>0</v>
      </c>
      <c r="T72" s="35"/>
      <c r="U72" s="35">
        <v>165556</v>
      </c>
      <c r="V72" s="35"/>
      <c r="W72" s="35">
        <f t="shared" si="12"/>
        <v>184893</v>
      </c>
      <c r="X72" s="35"/>
      <c r="Y72" s="35" t="s">
        <v>96</v>
      </c>
      <c r="Z72" s="55"/>
      <c r="AA72" s="35" t="s">
        <v>97</v>
      </c>
      <c r="AB72" s="35"/>
      <c r="AC72" s="35">
        <v>589867</v>
      </c>
      <c r="AD72" s="35"/>
      <c r="AE72" s="35">
        <v>601201</v>
      </c>
      <c r="AF72" s="35"/>
      <c r="AG72" s="35">
        <v>0</v>
      </c>
      <c r="AH72" s="35"/>
      <c r="AI72" s="45">
        <f t="shared" si="15"/>
        <v>-11334</v>
      </c>
      <c r="AJ72" s="45"/>
      <c r="AK72" s="35">
        <v>0</v>
      </c>
      <c r="AL72" s="35"/>
      <c r="AM72" s="35">
        <v>0</v>
      </c>
      <c r="AN72" s="35"/>
      <c r="AO72" s="35">
        <v>0</v>
      </c>
      <c r="AP72" s="35"/>
      <c r="AQ72" s="35">
        <v>0</v>
      </c>
      <c r="AR72" s="35"/>
      <c r="AS72" s="45">
        <f t="shared" si="13"/>
        <v>-11334</v>
      </c>
      <c r="AT72" s="45"/>
      <c r="AU72" s="35">
        <v>0</v>
      </c>
      <c r="AV72" s="35"/>
      <c r="AW72" s="35">
        <v>0</v>
      </c>
      <c r="AX72" s="35"/>
      <c r="AY72" s="35">
        <f t="shared" si="4"/>
        <v>179214</v>
      </c>
      <c r="AZ72" s="35"/>
      <c r="BA72" s="35" t="s">
        <v>96</v>
      </c>
      <c r="BB72" s="55"/>
      <c r="BC72" s="35" t="s">
        <v>97</v>
      </c>
      <c r="BD72" s="35"/>
      <c r="BE72" s="35">
        <v>0</v>
      </c>
      <c r="BF72" s="35"/>
      <c r="BG72" s="35">
        <v>0</v>
      </c>
      <c r="BH72" s="35"/>
      <c r="BI72" s="35">
        <v>0</v>
      </c>
      <c r="BJ72" s="35"/>
      <c r="BK72" s="35">
        <v>13658</v>
      </c>
      <c r="BL72" s="35"/>
      <c r="BM72" s="35">
        <f t="shared" si="11"/>
        <v>13658</v>
      </c>
      <c r="BN72" s="54" t="s">
        <v>347</v>
      </c>
    </row>
    <row r="73" spans="1:67">
      <c r="A73" s="35" t="s">
        <v>98</v>
      </c>
      <c r="C73" s="35" t="s">
        <v>17</v>
      </c>
      <c r="D73" s="35"/>
      <c r="E73" s="35">
        <f t="shared" si="0"/>
        <v>1321027</v>
      </c>
      <c r="F73" s="35"/>
      <c r="G73" s="35">
        <v>506504</v>
      </c>
      <c r="H73" s="35"/>
      <c r="I73" s="35">
        <v>1827531</v>
      </c>
      <c r="J73" s="35"/>
      <c r="K73" s="35">
        <f t="shared" si="1"/>
        <v>259541</v>
      </c>
      <c r="L73" s="35"/>
      <c r="M73" s="35">
        <v>211492</v>
      </c>
      <c r="N73" s="35"/>
      <c r="O73" s="35">
        <v>471033</v>
      </c>
      <c r="P73" s="35"/>
      <c r="Q73" s="35">
        <v>506504</v>
      </c>
      <c r="R73" s="35"/>
      <c r="S73" s="35">
        <v>0</v>
      </c>
      <c r="T73" s="35"/>
      <c r="U73" s="35">
        <v>849994</v>
      </c>
      <c r="V73" s="35"/>
      <c r="W73" s="35">
        <f t="shared" si="12"/>
        <v>1356498</v>
      </c>
      <c r="X73" s="35"/>
      <c r="Y73" s="35" t="s">
        <v>98</v>
      </c>
      <c r="Z73" s="55"/>
      <c r="AA73" s="35" t="s">
        <v>17</v>
      </c>
      <c r="AB73" s="35"/>
      <c r="AC73" s="35">
        <v>3919683</v>
      </c>
      <c r="AD73" s="35"/>
      <c r="AE73" s="35">
        <f>3371347-112626</f>
        <v>3258721</v>
      </c>
      <c r="AF73" s="35"/>
      <c r="AG73" s="35">
        <v>112626</v>
      </c>
      <c r="AH73" s="35"/>
      <c r="AI73" s="45">
        <f t="shared" si="15"/>
        <v>548336</v>
      </c>
      <c r="AJ73" s="45"/>
      <c r="AK73" s="35">
        <v>4499</v>
      </c>
      <c r="AL73" s="35"/>
      <c r="AM73" s="35">
        <v>0</v>
      </c>
      <c r="AN73" s="35"/>
      <c r="AO73" s="35">
        <v>0</v>
      </c>
      <c r="AP73" s="35"/>
      <c r="AQ73" s="35">
        <v>0</v>
      </c>
      <c r="AR73" s="35"/>
      <c r="AS73" s="45">
        <f t="shared" si="13"/>
        <v>552835</v>
      </c>
      <c r="AT73" s="45"/>
      <c r="AU73" s="35">
        <v>0</v>
      </c>
      <c r="AV73" s="35"/>
      <c r="AW73" s="35">
        <v>0</v>
      </c>
      <c r="AX73" s="35"/>
      <c r="AY73" s="35">
        <f t="shared" si="4"/>
        <v>1061486</v>
      </c>
      <c r="AZ73" s="35"/>
      <c r="BA73" s="35" t="s">
        <v>98</v>
      </c>
      <c r="BB73" s="55"/>
      <c r="BC73" s="35" t="s">
        <v>17</v>
      </c>
      <c r="BD73" s="35"/>
      <c r="BE73" s="35">
        <v>0</v>
      </c>
      <c r="BF73" s="35"/>
      <c r="BG73" s="35">
        <v>0</v>
      </c>
      <c r="BH73" s="35"/>
      <c r="BI73" s="35">
        <v>0</v>
      </c>
      <c r="BJ73" s="35"/>
      <c r="BK73" s="35">
        <v>211492</v>
      </c>
      <c r="BL73" s="35"/>
      <c r="BM73" s="35">
        <f t="shared" si="11"/>
        <v>211492</v>
      </c>
      <c r="BN73" s="54" t="s">
        <v>347</v>
      </c>
    </row>
    <row r="74" spans="1:67">
      <c r="A74" s="35" t="s">
        <v>99</v>
      </c>
      <c r="C74" s="35" t="s">
        <v>66</v>
      </c>
      <c r="D74" s="35"/>
      <c r="E74" s="35">
        <f t="shared" si="0"/>
        <v>614939</v>
      </c>
      <c r="F74" s="35"/>
      <c r="G74" s="35">
        <v>100517</v>
      </c>
      <c r="H74" s="35"/>
      <c r="I74" s="35">
        <v>715456</v>
      </c>
      <c r="J74" s="35"/>
      <c r="K74" s="35">
        <f t="shared" si="1"/>
        <v>71192</v>
      </c>
      <c r="L74" s="35"/>
      <c r="M74" s="35">
        <v>0</v>
      </c>
      <c r="N74" s="35"/>
      <c r="O74" s="35">
        <v>71192</v>
      </c>
      <c r="P74" s="35"/>
      <c r="Q74" s="35">
        <v>100517</v>
      </c>
      <c r="R74" s="35"/>
      <c r="S74" s="35">
        <v>0</v>
      </c>
      <c r="T74" s="35"/>
      <c r="U74" s="35">
        <v>540747</v>
      </c>
      <c r="V74" s="35"/>
      <c r="W74" s="35">
        <f t="shared" ref="W74:W105" si="16">SUM(Q74:U74)</f>
        <v>641264</v>
      </c>
      <c r="X74" s="35"/>
      <c r="Y74" s="35" t="s">
        <v>99</v>
      </c>
      <c r="Z74" s="55"/>
      <c r="AA74" s="35" t="s">
        <v>66</v>
      </c>
      <c r="AB74" s="35"/>
      <c r="AC74" s="35">
        <v>701561</v>
      </c>
      <c r="AD74" s="35"/>
      <c r="AE74" s="35">
        <f>717760-7400</f>
        <v>710360</v>
      </c>
      <c r="AF74" s="35"/>
      <c r="AG74" s="35">
        <v>7400</v>
      </c>
      <c r="AH74" s="35"/>
      <c r="AI74" s="45">
        <f t="shared" si="15"/>
        <v>-16199</v>
      </c>
      <c r="AJ74" s="45"/>
      <c r="AK74" s="35">
        <v>0</v>
      </c>
      <c r="AL74" s="35"/>
      <c r="AM74" s="35">
        <v>0</v>
      </c>
      <c r="AN74" s="35"/>
      <c r="AO74" s="35">
        <v>0</v>
      </c>
      <c r="AP74" s="35"/>
      <c r="AQ74" s="35">
        <v>0</v>
      </c>
      <c r="AR74" s="35"/>
      <c r="AS74" s="45">
        <f t="shared" si="13"/>
        <v>-16199</v>
      </c>
      <c r="AT74" s="45"/>
      <c r="AU74" s="35">
        <v>0</v>
      </c>
      <c r="AV74" s="35"/>
      <c r="AW74" s="35">
        <v>0</v>
      </c>
      <c r="AX74" s="35"/>
      <c r="AY74" s="35">
        <f t="shared" si="4"/>
        <v>543747</v>
      </c>
      <c r="AZ74" s="35"/>
      <c r="BA74" s="35" t="s">
        <v>99</v>
      </c>
      <c r="BB74" s="55"/>
      <c r="BC74" s="35" t="s">
        <v>66</v>
      </c>
      <c r="BD74" s="35"/>
      <c r="BE74" s="35">
        <v>0</v>
      </c>
      <c r="BF74" s="35"/>
      <c r="BG74" s="35">
        <v>0</v>
      </c>
      <c r="BH74" s="35"/>
      <c r="BI74" s="35">
        <v>0</v>
      </c>
      <c r="BJ74" s="35"/>
      <c r="BK74" s="35">
        <v>0</v>
      </c>
      <c r="BL74" s="35"/>
      <c r="BM74" s="35">
        <f t="shared" si="11"/>
        <v>0</v>
      </c>
      <c r="BN74" s="54" t="s">
        <v>347</v>
      </c>
    </row>
    <row r="75" spans="1:67" hidden="1">
      <c r="A75" s="35" t="s">
        <v>100</v>
      </c>
      <c r="C75" s="35" t="s">
        <v>27</v>
      </c>
      <c r="D75" s="35"/>
      <c r="E75" s="35">
        <f t="shared" ref="E75:E138" si="17">I75-G75</f>
        <v>0</v>
      </c>
      <c r="F75" s="35"/>
      <c r="G75" s="35">
        <v>0</v>
      </c>
      <c r="H75" s="35"/>
      <c r="I75" s="35">
        <v>0</v>
      </c>
      <c r="J75" s="35"/>
      <c r="K75" s="35">
        <f t="shared" ref="K75:K138" si="18">O75-M75</f>
        <v>0</v>
      </c>
      <c r="L75" s="35"/>
      <c r="M75" s="35">
        <v>0</v>
      </c>
      <c r="N75" s="35"/>
      <c r="O75" s="35">
        <v>0</v>
      </c>
      <c r="P75" s="35"/>
      <c r="Q75" s="35">
        <v>0</v>
      </c>
      <c r="R75" s="35"/>
      <c r="S75" s="35">
        <v>0</v>
      </c>
      <c r="T75" s="35"/>
      <c r="U75" s="35">
        <v>0</v>
      </c>
      <c r="V75" s="35"/>
      <c r="W75" s="35">
        <f t="shared" si="16"/>
        <v>0</v>
      </c>
      <c r="X75" s="35"/>
      <c r="Y75" s="35" t="s">
        <v>100</v>
      </c>
      <c r="Z75" s="55"/>
      <c r="AA75" s="35" t="s">
        <v>27</v>
      </c>
      <c r="AB75" s="35"/>
      <c r="AC75" s="35">
        <v>0</v>
      </c>
      <c r="AD75" s="35"/>
      <c r="AE75" s="35">
        <v>0</v>
      </c>
      <c r="AF75" s="35"/>
      <c r="AG75" s="35">
        <v>0</v>
      </c>
      <c r="AH75" s="35"/>
      <c r="AI75" s="45">
        <f t="shared" si="15"/>
        <v>0</v>
      </c>
      <c r="AJ75" s="45"/>
      <c r="AK75" s="35">
        <v>0</v>
      </c>
      <c r="AL75" s="35"/>
      <c r="AM75" s="35">
        <v>0</v>
      </c>
      <c r="AN75" s="35"/>
      <c r="AO75" s="35">
        <v>0</v>
      </c>
      <c r="AP75" s="35"/>
      <c r="AQ75" s="35">
        <v>0</v>
      </c>
      <c r="AR75" s="35"/>
      <c r="AS75" s="45">
        <f t="shared" si="13"/>
        <v>0</v>
      </c>
      <c r="AT75" s="45"/>
      <c r="AU75" s="35">
        <v>0</v>
      </c>
      <c r="AV75" s="35"/>
      <c r="AW75" s="35">
        <v>0</v>
      </c>
      <c r="AX75" s="35"/>
      <c r="AY75" s="35">
        <f t="shared" ref="AY75:AY107" si="19">+E75-K75</f>
        <v>0</v>
      </c>
      <c r="AZ75" s="35"/>
      <c r="BA75" s="35" t="s">
        <v>100</v>
      </c>
      <c r="BB75" s="55"/>
      <c r="BC75" s="35" t="s">
        <v>27</v>
      </c>
      <c r="BD75" s="35"/>
      <c r="BE75" s="35">
        <v>0</v>
      </c>
      <c r="BF75" s="35"/>
      <c r="BG75" s="35">
        <v>0</v>
      </c>
      <c r="BH75" s="35"/>
      <c r="BI75" s="35">
        <v>0</v>
      </c>
      <c r="BJ75" s="35"/>
      <c r="BK75" s="35">
        <v>0</v>
      </c>
      <c r="BL75" s="35"/>
      <c r="BM75" s="35">
        <f t="shared" si="11"/>
        <v>0</v>
      </c>
      <c r="BN75" s="54" t="s">
        <v>347</v>
      </c>
    </row>
    <row r="76" spans="1:67">
      <c r="A76" s="35" t="s">
        <v>101</v>
      </c>
      <c r="C76" s="35" t="s">
        <v>30</v>
      </c>
      <c r="D76" s="35"/>
      <c r="E76" s="35">
        <f t="shared" si="17"/>
        <v>1023656</v>
      </c>
      <c r="F76" s="35"/>
      <c r="G76" s="35">
        <v>210246</v>
      </c>
      <c r="H76" s="35"/>
      <c r="I76" s="35">
        <v>1233902</v>
      </c>
      <c r="J76" s="35"/>
      <c r="K76" s="35">
        <f t="shared" si="18"/>
        <v>373851</v>
      </c>
      <c r="L76" s="35"/>
      <c r="M76" s="35">
        <v>341986</v>
      </c>
      <c r="N76" s="35"/>
      <c r="O76" s="35">
        <v>715837</v>
      </c>
      <c r="P76" s="35"/>
      <c r="Q76" s="35">
        <v>210246</v>
      </c>
      <c r="R76" s="35"/>
      <c r="S76" s="35">
        <v>0</v>
      </c>
      <c r="T76" s="35"/>
      <c r="U76" s="35">
        <v>307009</v>
      </c>
      <c r="V76" s="35"/>
      <c r="W76" s="35">
        <f t="shared" si="16"/>
        <v>517255</v>
      </c>
      <c r="X76" s="35"/>
      <c r="Y76" s="35" t="s">
        <v>101</v>
      </c>
      <c r="Z76" s="55"/>
      <c r="AA76" s="35" t="s">
        <v>30</v>
      </c>
      <c r="AB76" s="35"/>
      <c r="AC76" s="35">
        <v>2482526</v>
      </c>
      <c r="AD76" s="35"/>
      <c r="AE76" s="35">
        <f>2705284-41677</f>
        <v>2663607</v>
      </c>
      <c r="AF76" s="35"/>
      <c r="AG76" s="35">
        <v>41677</v>
      </c>
      <c r="AH76" s="35"/>
      <c r="AI76" s="45">
        <f t="shared" si="15"/>
        <v>-222758</v>
      </c>
      <c r="AJ76" s="45"/>
      <c r="AK76" s="35">
        <v>0</v>
      </c>
      <c r="AL76" s="35"/>
      <c r="AM76" s="35">
        <v>0</v>
      </c>
      <c r="AN76" s="35"/>
      <c r="AO76" s="35">
        <v>0</v>
      </c>
      <c r="AP76" s="35"/>
      <c r="AQ76" s="35">
        <v>0</v>
      </c>
      <c r="AR76" s="35"/>
      <c r="AS76" s="45">
        <f t="shared" si="13"/>
        <v>-222758</v>
      </c>
      <c r="AT76" s="45"/>
      <c r="AU76" s="35">
        <v>0</v>
      </c>
      <c r="AV76" s="35"/>
      <c r="AW76" s="35">
        <v>0</v>
      </c>
      <c r="AX76" s="35"/>
      <c r="AY76" s="35">
        <f t="shared" si="19"/>
        <v>649805</v>
      </c>
      <c r="AZ76" s="35"/>
      <c r="BA76" s="35" t="s">
        <v>101</v>
      </c>
      <c r="BB76" s="55"/>
      <c r="BC76" s="35" t="s">
        <v>30</v>
      </c>
      <c r="BD76" s="35"/>
      <c r="BE76" s="35">
        <v>0</v>
      </c>
      <c r="BF76" s="35"/>
      <c r="BG76" s="35">
        <v>0</v>
      </c>
      <c r="BH76" s="35"/>
      <c r="BI76" s="35">
        <v>0</v>
      </c>
      <c r="BJ76" s="35"/>
      <c r="BK76" s="35">
        <v>341976</v>
      </c>
      <c r="BL76" s="35"/>
      <c r="BM76" s="35">
        <f t="shared" si="11"/>
        <v>341976</v>
      </c>
      <c r="BN76" s="54" t="s">
        <v>347</v>
      </c>
    </row>
    <row r="77" spans="1:67">
      <c r="A77" s="35" t="s">
        <v>102</v>
      </c>
      <c r="C77" s="35" t="s">
        <v>103</v>
      </c>
      <c r="D77" s="35"/>
      <c r="E77" s="35">
        <f t="shared" si="17"/>
        <v>235190</v>
      </c>
      <c r="F77" s="35"/>
      <c r="G77" s="35">
        <v>0</v>
      </c>
      <c r="H77" s="35"/>
      <c r="I77" s="35">
        <v>235190</v>
      </c>
      <c r="J77" s="35"/>
      <c r="K77" s="35">
        <f t="shared" si="18"/>
        <v>3516</v>
      </c>
      <c r="L77" s="35"/>
      <c r="M77" s="35">
        <v>171</v>
      </c>
      <c r="N77" s="35"/>
      <c r="O77" s="35">
        <v>3687</v>
      </c>
      <c r="P77" s="35"/>
      <c r="Q77" s="35">
        <v>0</v>
      </c>
      <c r="R77" s="35"/>
      <c r="S77" s="35">
        <v>0</v>
      </c>
      <c r="T77" s="35"/>
      <c r="U77" s="35">
        <v>231503</v>
      </c>
      <c r="V77" s="35"/>
      <c r="W77" s="35">
        <f t="shared" si="16"/>
        <v>231503</v>
      </c>
      <c r="X77" s="35"/>
      <c r="Y77" s="35" t="s">
        <v>102</v>
      </c>
      <c r="Z77" s="55"/>
      <c r="AA77" s="35" t="s">
        <v>103</v>
      </c>
      <c r="AB77" s="35"/>
      <c r="AC77" s="35">
        <v>1774420</v>
      </c>
      <c r="AD77" s="35"/>
      <c r="AE77" s="35">
        <v>2373306</v>
      </c>
      <c r="AF77" s="35"/>
      <c r="AG77" s="35">
        <v>0</v>
      </c>
      <c r="AH77" s="35"/>
      <c r="AI77" s="45">
        <f t="shared" si="15"/>
        <v>-598886</v>
      </c>
      <c r="AJ77" s="45"/>
      <c r="AK77" s="35">
        <v>33290</v>
      </c>
      <c r="AL77" s="35"/>
      <c r="AM77" s="35">
        <v>460000</v>
      </c>
      <c r="AN77" s="35"/>
      <c r="AO77" s="35">
        <v>0</v>
      </c>
      <c r="AP77" s="35"/>
      <c r="AQ77" s="35">
        <v>0</v>
      </c>
      <c r="AR77" s="35"/>
      <c r="AS77" s="45">
        <f t="shared" si="13"/>
        <v>-105596</v>
      </c>
      <c r="AT77" s="45"/>
      <c r="AU77" s="35">
        <v>0</v>
      </c>
      <c r="AV77" s="35"/>
      <c r="AW77" s="35">
        <v>0</v>
      </c>
      <c r="AX77" s="35"/>
      <c r="AY77" s="35">
        <f t="shared" si="19"/>
        <v>231674</v>
      </c>
      <c r="AZ77" s="35"/>
      <c r="BA77" s="35" t="s">
        <v>102</v>
      </c>
      <c r="BB77" s="55"/>
      <c r="BC77" s="35" t="s">
        <v>103</v>
      </c>
      <c r="BD77" s="35"/>
      <c r="BE77" s="35">
        <v>0</v>
      </c>
      <c r="BF77" s="35"/>
      <c r="BG77" s="35">
        <v>0</v>
      </c>
      <c r="BH77" s="35"/>
      <c r="BI77" s="35">
        <v>0</v>
      </c>
      <c r="BJ77" s="35"/>
      <c r="BK77" s="35">
        <f>171+1097</f>
        <v>1268</v>
      </c>
      <c r="BL77" s="35"/>
      <c r="BM77" s="35">
        <f t="shared" si="11"/>
        <v>1268</v>
      </c>
      <c r="BN77" s="54" t="s">
        <v>347</v>
      </c>
    </row>
    <row r="78" spans="1:67" hidden="1">
      <c r="A78" s="35" t="s">
        <v>104</v>
      </c>
      <c r="C78" s="35" t="s">
        <v>13</v>
      </c>
      <c r="D78" s="35"/>
      <c r="E78" s="35">
        <f t="shared" si="17"/>
        <v>0</v>
      </c>
      <c r="F78" s="35"/>
      <c r="G78" s="35">
        <v>0</v>
      </c>
      <c r="H78" s="35"/>
      <c r="I78" s="35">
        <v>0</v>
      </c>
      <c r="J78" s="35"/>
      <c r="K78" s="35">
        <f t="shared" si="18"/>
        <v>0</v>
      </c>
      <c r="L78" s="35"/>
      <c r="M78" s="35">
        <v>0</v>
      </c>
      <c r="N78" s="35"/>
      <c r="O78" s="35">
        <v>0</v>
      </c>
      <c r="P78" s="35"/>
      <c r="Q78" s="35">
        <v>0</v>
      </c>
      <c r="R78" s="35"/>
      <c r="S78" s="35">
        <v>0</v>
      </c>
      <c r="T78" s="35"/>
      <c r="U78" s="35">
        <v>0</v>
      </c>
      <c r="V78" s="35"/>
      <c r="W78" s="35">
        <f t="shared" si="16"/>
        <v>0</v>
      </c>
      <c r="X78" s="35"/>
      <c r="Y78" s="35" t="s">
        <v>104</v>
      </c>
      <c r="Z78" s="55"/>
      <c r="AA78" s="35" t="s">
        <v>13</v>
      </c>
      <c r="AB78" s="35"/>
      <c r="AC78" s="35">
        <v>0</v>
      </c>
      <c r="AD78" s="35"/>
      <c r="AE78" s="35">
        <v>0</v>
      </c>
      <c r="AF78" s="35"/>
      <c r="AG78" s="35">
        <v>0</v>
      </c>
      <c r="AH78" s="35"/>
      <c r="AI78" s="45">
        <f t="shared" ref="AI78:AI84" si="20">+AC78-AE78-AG78</f>
        <v>0</v>
      </c>
      <c r="AJ78" s="45"/>
      <c r="AK78" s="35">
        <v>0</v>
      </c>
      <c r="AL78" s="35"/>
      <c r="AM78" s="35">
        <v>0</v>
      </c>
      <c r="AN78" s="35"/>
      <c r="AO78" s="35">
        <v>0</v>
      </c>
      <c r="AP78" s="35"/>
      <c r="AQ78" s="35">
        <v>0</v>
      </c>
      <c r="AR78" s="35"/>
      <c r="AS78" s="45">
        <f t="shared" si="13"/>
        <v>0</v>
      </c>
      <c r="AT78" s="45"/>
      <c r="AU78" s="35">
        <v>0</v>
      </c>
      <c r="AV78" s="35"/>
      <c r="AW78" s="35">
        <v>0</v>
      </c>
      <c r="AX78" s="35"/>
      <c r="AY78" s="35">
        <f t="shared" si="19"/>
        <v>0</v>
      </c>
      <c r="AZ78" s="35"/>
      <c r="BA78" s="35" t="s">
        <v>104</v>
      </c>
      <c r="BB78" s="55"/>
      <c r="BC78" s="35" t="s">
        <v>13</v>
      </c>
      <c r="BD78" s="35"/>
      <c r="BE78" s="35">
        <v>0</v>
      </c>
      <c r="BF78" s="35"/>
      <c r="BG78" s="35">
        <v>0</v>
      </c>
      <c r="BH78" s="35"/>
      <c r="BI78" s="35">
        <v>0</v>
      </c>
      <c r="BJ78" s="35"/>
      <c r="BK78" s="35">
        <v>0</v>
      </c>
      <c r="BL78" s="35"/>
      <c r="BM78" s="35">
        <f t="shared" si="11"/>
        <v>0</v>
      </c>
      <c r="BN78" s="54" t="s">
        <v>347</v>
      </c>
    </row>
    <row r="79" spans="1:67" hidden="1">
      <c r="A79" s="35" t="s">
        <v>105</v>
      </c>
      <c r="C79" s="35" t="s">
        <v>27</v>
      </c>
      <c r="D79" s="35"/>
      <c r="E79" s="35">
        <f t="shared" si="17"/>
        <v>0</v>
      </c>
      <c r="F79" s="35"/>
      <c r="G79" s="35">
        <v>0</v>
      </c>
      <c r="H79" s="35"/>
      <c r="I79" s="35">
        <v>0</v>
      </c>
      <c r="J79" s="35"/>
      <c r="K79" s="35">
        <f t="shared" si="18"/>
        <v>0</v>
      </c>
      <c r="L79" s="35"/>
      <c r="M79" s="35">
        <v>0</v>
      </c>
      <c r="N79" s="35"/>
      <c r="O79" s="35">
        <v>0</v>
      </c>
      <c r="P79" s="35"/>
      <c r="Q79" s="35">
        <v>0</v>
      </c>
      <c r="R79" s="35"/>
      <c r="S79" s="35">
        <v>0</v>
      </c>
      <c r="T79" s="35"/>
      <c r="U79" s="35">
        <v>0</v>
      </c>
      <c r="V79" s="35"/>
      <c r="W79" s="35">
        <f t="shared" si="16"/>
        <v>0</v>
      </c>
      <c r="X79" s="35"/>
      <c r="Y79" s="35" t="s">
        <v>105</v>
      </c>
      <c r="Z79" s="55"/>
      <c r="AA79" s="35" t="s">
        <v>27</v>
      </c>
      <c r="AB79" s="35"/>
      <c r="AC79" s="35">
        <v>0</v>
      </c>
      <c r="AD79" s="35"/>
      <c r="AE79" s="35">
        <v>0</v>
      </c>
      <c r="AF79" s="35"/>
      <c r="AG79" s="35">
        <v>0</v>
      </c>
      <c r="AH79" s="35"/>
      <c r="AI79" s="45">
        <f t="shared" si="20"/>
        <v>0</v>
      </c>
      <c r="AJ79" s="45"/>
      <c r="AK79" s="35">
        <v>0</v>
      </c>
      <c r="AL79" s="35"/>
      <c r="AM79" s="35">
        <v>0</v>
      </c>
      <c r="AN79" s="35"/>
      <c r="AO79" s="35">
        <v>0</v>
      </c>
      <c r="AP79" s="35"/>
      <c r="AQ79" s="35">
        <v>0</v>
      </c>
      <c r="AR79" s="35"/>
      <c r="AS79" s="45">
        <f t="shared" si="13"/>
        <v>0</v>
      </c>
      <c r="AT79" s="45"/>
      <c r="AU79" s="35">
        <v>0</v>
      </c>
      <c r="AV79" s="35"/>
      <c r="AW79" s="35">
        <v>0</v>
      </c>
      <c r="AX79" s="35"/>
      <c r="AY79" s="35">
        <f t="shared" si="19"/>
        <v>0</v>
      </c>
      <c r="AZ79" s="35"/>
      <c r="BA79" s="35" t="s">
        <v>105</v>
      </c>
      <c r="BB79" s="55"/>
      <c r="BC79" s="35" t="s">
        <v>27</v>
      </c>
      <c r="BD79" s="35"/>
      <c r="BE79" s="35">
        <v>0</v>
      </c>
      <c r="BF79" s="35"/>
      <c r="BG79" s="35">
        <v>0</v>
      </c>
      <c r="BH79" s="35"/>
      <c r="BI79" s="35">
        <v>0</v>
      </c>
      <c r="BJ79" s="35"/>
      <c r="BK79" s="35">
        <v>0</v>
      </c>
      <c r="BL79" s="35"/>
      <c r="BM79" s="35">
        <f t="shared" si="11"/>
        <v>0</v>
      </c>
      <c r="BN79" s="54" t="s">
        <v>347</v>
      </c>
    </row>
    <row r="80" spans="1:67" hidden="1">
      <c r="A80" s="35" t="s">
        <v>106</v>
      </c>
      <c r="C80" s="35" t="s">
        <v>107</v>
      </c>
      <c r="D80" s="35"/>
      <c r="E80" s="35">
        <f t="shared" si="17"/>
        <v>0</v>
      </c>
      <c r="F80" s="35"/>
      <c r="G80" s="35">
        <v>0</v>
      </c>
      <c r="H80" s="35"/>
      <c r="I80" s="35">
        <v>0</v>
      </c>
      <c r="J80" s="35"/>
      <c r="K80" s="35">
        <f t="shared" si="18"/>
        <v>0</v>
      </c>
      <c r="L80" s="35"/>
      <c r="M80" s="35">
        <v>0</v>
      </c>
      <c r="N80" s="35"/>
      <c r="O80" s="35">
        <v>0</v>
      </c>
      <c r="P80" s="35"/>
      <c r="Q80" s="35">
        <v>0</v>
      </c>
      <c r="R80" s="35"/>
      <c r="S80" s="35">
        <v>0</v>
      </c>
      <c r="T80" s="35"/>
      <c r="U80" s="35">
        <v>0</v>
      </c>
      <c r="V80" s="35"/>
      <c r="W80" s="35">
        <f t="shared" si="16"/>
        <v>0</v>
      </c>
      <c r="X80" s="35"/>
      <c r="Y80" s="35" t="s">
        <v>106</v>
      </c>
      <c r="Z80" s="55"/>
      <c r="AA80" s="35" t="s">
        <v>107</v>
      </c>
      <c r="AB80" s="35"/>
      <c r="AC80" s="35">
        <v>0</v>
      </c>
      <c r="AD80" s="35"/>
      <c r="AE80" s="35">
        <v>0</v>
      </c>
      <c r="AF80" s="35"/>
      <c r="AG80" s="35">
        <v>0</v>
      </c>
      <c r="AH80" s="35"/>
      <c r="AI80" s="45">
        <f t="shared" si="20"/>
        <v>0</v>
      </c>
      <c r="AJ80" s="45"/>
      <c r="AK80" s="35">
        <v>0</v>
      </c>
      <c r="AL80" s="35"/>
      <c r="AM80" s="35">
        <v>0</v>
      </c>
      <c r="AN80" s="35"/>
      <c r="AO80" s="35">
        <v>0</v>
      </c>
      <c r="AP80" s="35"/>
      <c r="AQ80" s="35">
        <v>0</v>
      </c>
      <c r="AR80" s="35"/>
      <c r="AS80" s="45">
        <f t="shared" si="13"/>
        <v>0</v>
      </c>
      <c r="AT80" s="45"/>
      <c r="AU80" s="35">
        <v>0</v>
      </c>
      <c r="AV80" s="35"/>
      <c r="AW80" s="35">
        <v>0</v>
      </c>
      <c r="AX80" s="35"/>
      <c r="AY80" s="35">
        <f t="shared" si="19"/>
        <v>0</v>
      </c>
      <c r="AZ80" s="35"/>
      <c r="BA80" s="35" t="s">
        <v>106</v>
      </c>
      <c r="BB80" s="55"/>
      <c r="BC80" s="35" t="s">
        <v>107</v>
      </c>
      <c r="BD80" s="35"/>
      <c r="BE80" s="35">
        <v>0</v>
      </c>
      <c r="BF80" s="35"/>
      <c r="BG80" s="35">
        <v>0</v>
      </c>
      <c r="BH80" s="35"/>
      <c r="BI80" s="35">
        <v>0</v>
      </c>
      <c r="BJ80" s="35"/>
      <c r="BK80" s="35">
        <v>0</v>
      </c>
      <c r="BL80" s="35"/>
      <c r="BM80" s="35">
        <f t="shared" si="11"/>
        <v>0</v>
      </c>
      <c r="BN80" s="54" t="s">
        <v>347</v>
      </c>
    </row>
    <row r="81" spans="1:67" hidden="1">
      <c r="A81" s="35" t="s">
        <v>108</v>
      </c>
      <c r="C81" s="35" t="s">
        <v>45</v>
      </c>
      <c r="D81" s="35"/>
      <c r="E81" s="35">
        <f t="shared" si="17"/>
        <v>0</v>
      </c>
      <c r="F81" s="35"/>
      <c r="G81" s="35">
        <v>0</v>
      </c>
      <c r="H81" s="35"/>
      <c r="I81" s="35">
        <v>0</v>
      </c>
      <c r="J81" s="35"/>
      <c r="K81" s="35">
        <f t="shared" si="18"/>
        <v>0</v>
      </c>
      <c r="L81" s="35"/>
      <c r="M81" s="35">
        <v>0</v>
      </c>
      <c r="N81" s="35"/>
      <c r="O81" s="35">
        <v>0</v>
      </c>
      <c r="P81" s="35"/>
      <c r="Q81" s="35">
        <v>0</v>
      </c>
      <c r="R81" s="35"/>
      <c r="S81" s="35">
        <v>0</v>
      </c>
      <c r="T81" s="35"/>
      <c r="U81" s="35">
        <v>0</v>
      </c>
      <c r="V81" s="35"/>
      <c r="W81" s="35">
        <f t="shared" si="16"/>
        <v>0</v>
      </c>
      <c r="X81" s="35"/>
      <c r="Y81" s="35" t="s">
        <v>108</v>
      </c>
      <c r="Z81" s="55"/>
      <c r="AA81" s="35" t="s">
        <v>45</v>
      </c>
      <c r="AB81" s="35"/>
      <c r="AC81" s="35">
        <v>0</v>
      </c>
      <c r="AD81" s="35"/>
      <c r="AE81" s="35">
        <v>0</v>
      </c>
      <c r="AF81" s="35"/>
      <c r="AG81" s="35">
        <v>0</v>
      </c>
      <c r="AH81" s="35"/>
      <c r="AI81" s="45">
        <f t="shared" si="20"/>
        <v>0</v>
      </c>
      <c r="AJ81" s="45"/>
      <c r="AK81" s="35">
        <v>0</v>
      </c>
      <c r="AL81" s="35"/>
      <c r="AM81" s="35">
        <v>0</v>
      </c>
      <c r="AN81" s="35"/>
      <c r="AO81" s="35">
        <v>0</v>
      </c>
      <c r="AP81" s="35"/>
      <c r="AQ81" s="35">
        <v>0</v>
      </c>
      <c r="AR81" s="35"/>
      <c r="AS81" s="45">
        <f t="shared" si="13"/>
        <v>0</v>
      </c>
      <c r="AT81" s="45"/>
      <c r="AU81" s="35">
        <v>0</v>
      </c>
      <c r="AV81" s="35"/>
      <c r="AW81" s="35">
        <v>0</v>
      </c>
      <c r="AX81" s="35"/>
      <c r="AY81" s="35">
        <f t="shared" si="19"/>
        <v>0</v>
      </c>
      <c r="AZ81" s="35"/>
      <c r="BA81" s="35" t="s">
        <v>108</v>
      </c>
      <c r="BB81" s="55"/>
      <c r="BC81" s="35" t="s">
        <v>45</v>
      </c>
      <c r="BD81" s="35"/>
      <c r="BE81" s="35">
        <v>0</v>
      </c>
      <c r="BF81" s="35"/>
      <c r="BG81" s="35">
        <v>0</v>
      </c>
      <c r="BH81" s="35"/>
      <c r="BI81" s="35">
        <v>0</v>
      </c>
      <c r="BJ81" s="35"/>
      <c r="BK81" s="35">
        <v>0</v>
      </c>
      <c r="BL81" s="35"/>
      <c r="BM81" s="35">
        <f t="shared" si="11"/>
        <v>0</v>
      </c>
      <c r="BN81" s="54" t="s">
        <v>347</v>
      </c>
    </row>
    <row r="82" spans="1:67" hidden="1">
      <c r="A82" s="35" t="s">
        <v>109</v>
      </c>
      <c r="C82" s="35" t="s">
        <v>110</v>
      </c>
      <c r="D82" s="35"/>
      <c r="E82" s="35">
        <f t="shared" si="17"/>
        <v>0</v>
      </c>
      <c r="F82" s="35"/>
      <c r="G82" s="35">
        <v>0</v>
      </c>
      <c r="H82" s="35"/>
      <c r="I82" s="35">
        <v>0</v>
      </c>
      <c r="J82" s="35"/>
      <c r="K82" s="35">
        <f t="shared" si="18"/>
        <v>0</v>
      </c>
      <c r="L82" s="35"/>
      <c r="M82" s="35">
        <v>0</v>
      </c>
      <c r="N82" s="35"/>
      <c r="O82" s="35">
        <v>0</v>
      </c>
      <c r="P82" s="35"/>
      <c r="Q82" s="35">
        <v>0</v>
      </c>
      <c r="R82" s="35"/>
      <c r="S82" s="35">
        <v>0</v>
      </c>
      <c r="T82" s="35"/>
      <c r="U82" s="35">
        <v>0</v>
      </c>
      <c r="V82" s="35"/>
      <c r="W82" s="35">
        <f t="shared" si="16"/>
        <v>0</v>
      </c>
      <c r="X82" s="35"/>
      <c r="Y82" s="35" t="s">
        <v>109</v>
      </c>
      <c r="Z82" s="55"/>
      <c r="AA82" s="35" t="s">
        <v>110</v>
      </c>
      <c r="AB82" s="35"/>
      <c r="AC82" s="35">
        <v>0</v>
      </c>
      <c r="AD82" s="35"/>
      <c r="AE82" s="35">
        <v>0</v>
      </c>
      <c r="AF82" s="35"/>
      <c r="AG82" s="35">
        <v>0</v>
      </c>
      <c r="AH82" s="35"/>
      <c r="AI82" s="45">
        <f t="shared" si="20"/>
        <v>0</v>
      </c>
      <c r="AJ82" s="45"/>
      <c r="AK82" s="35">
        <v>0</v>
      </c>
      <c r="AL82" s="35"/>
      <c r="AM82" s="35">
        <v>0</v>
      </c>
      <c r="AN82" s="35"/>
      <c r="AO82" s="35">
        <v>0</v>
      </c>
      <c r="AP82" s="35"/>
      <c r="AQ82" s="35">
        <v>0</v>
      </c>
      <c r="AR82" s="35"/>
      <c r="AS82" s="45">
        <f t="shared" si="13"/>
        <v>0</v>
      </c>
      <c r="AT82" s="45"/>
      <c r="AU82" s="35">
        <v>0</v>
      </c>
      <c r="AV82" s="35"/>
      <c r="AW82" s="35">
        <v>0</v>
      </c>
      <c r="AX82" s="35"/>
      <c r="AY82" s="35">
        <f t="shared" si="19"/>
        <v>0</v>
      </c>
      <c r="AZ82" s="35"/>
      <c r="BA82" s="35" t="s">
        <v>109</v>
      </c>
      <c r="BB82" s="55"/>
      <c r="BC82" s="35" t="s">
        <v>110</v>
      </c>
      <c r="BD82" s="35"/>
      <c r="BE82" s="35">
        <v>0</v>
      </c>
      <c r="BF82" s="35"/>
      <c r="BG82" s="35">
        <v>0</v>
      </c>
      <c r="BH82" s="35"/>
      <c r="BI82" s="35">
        <v>0</v>
      </c>
      <c r="BJ82" s="35"/>
      <c r="BK82" s="35">
        <v>0</v>
      </c>
      <c r="BL82" s="35"/>
      <c r="BM82" s="35">
        <f t="shared" si="11"/>
        <v>0</v>
      </c>
      <c r="BN82" s="54" t="s">
        <v>347</v>
      </c>
    </row>
    <row r="83" spans="1:67">
      <c r="A83" s="35" t="s">
        <v>43</v>
      </c>
      <c r="C83" s="35" t="s">
        <v>111</v>
      </c>
      <c r="D83" s="35"/>
      <c r="E83" s="35">
        <f t="shared" si="17"/>
        <v>204420</v>
      </c>
      <c r="F83" s="35"/>
      <c r="G83" s="35">
        <v>0</v>
      </c>
      <c r="H83" s="35"/>
      <c r="I83" s="35">
        <v>204420</v>
      </c>
      <c r="J83" s="35"/>
      <c r="K83" s="35">
        <f t="shared" si="18"/>
        <v>5076</v>
      </c>
      <c r="L83" s="35"/>
      <c r="M83" s="35">
        <v>0</v>
      </c>
      <c r="N83" s="35"/>
      <c r="O83" s="35">
        <v>5076</v>
      </c>
      <c r="P83" s="35"/>
      <c r="Q83" s="35">
        <v>0</v>
      </c>
      <c r="R83" s="35"/>
      <c r="S83" s="35">
        <v>0</v>
      </c>
      <c r="T83" s="35"/>
      <c r="U83" s="35">
        <v>199344</v>
      </c>
      <c r="V83" s="35"/>
      <c r="W83" s="35">
        <f t="shared" si="16"/>
        <v>199344</v>
      </c>
      <c r="X83" s="35"/>
      <c r="Y83" s="35" t="s">
        <v>43</v>
      </c>
      <c r="Z83" s="55"/>
      <c r="AA83" s="35" t="s">
        <v>111</v>
      </c>
      <c r="AB83" s="35"/>
      <c r="AC83" s="35">
        <v>673260</v>
      </c>
      <c r="AD83" s="35"/>
      <c r="AE83" s="35">
        <v>684648</v>
      </c>
      <c r="AF83" s="35"/>
      <c r="AG83" s="35">
        <v>0</v>
      </c>
      <c r="AH83" s="35"/>
      <c r="AI83" s="45">
        <f t="shared" si="20"/>
        <v>-11388</v>
      </c>
      <c r="AJ83" s="45"/>
      <c r="AK83" s="35">
        <v>257</v>
      </c>
      <c r="AL83" s="35"/>
      <c r="AM83" s="35">
        <v>0</v>
      </c>
      <c r="AN83" s="35"/>
      <c r="AO83" s="35">
        <v>0</v>
      </c>
      <c r="AP83" s="35"/>
      <c r="AQ83" s="35">
        <v>0</v>
      </c>
      <c r="AR83" s="35"/>
      <c r="AS83" s="45">
        <f t="shared" si="13"/>
        <v>-11131</v>
      </c>
      <c r="AT83" s="45"/>
      <c r="AU83" s="35">
        <v>0</v>
      </c>
      <c r="AV83" s="35"/>
      <c r="AW83" s="35">
        <v>0</v>
      </c>
      <c r="AX83" s="35"/>
      <c r="AY83" s="35">
        <f t="shared" si="19"/>
        <v>199344</v>
      </c>
      <c r="AZ83" s="35"/>
      <c r="BA83" s="35" t="s">
        <v>43</v>
      </c>
      <c r="BB83" s="55"/>
      <c r="BC83" s="35" t="s">
        <v>111</v>
      </c>
      <c r="BD83" s="35"/>
      <c r="BE83" s="35">
        <v>0</v>
      </c>
      <c r="BF83" s="35"/>
      <c r="BG83" s="35">
        <v>0</v>
      </c>
      <c r="BH83" s="35"/>
      <c r="BI83" s="35">
        <v>0</v>
      </c>
      <c r="BJ83" s="35"/>
      <c r="BK83" s="35">
        <v>0</v>
      </c>
      <c r="BL83" s="35"/>
      <c r="BM83" s="35">
        <f t="shared" si="11"/>
        <v>0</v>
      </c>
      <c r="BN83" s="54" t="s">
        <v>347</v>
      </c>
    </row>
    <row r="84" spans="1:67" hidden="1">
      <c r="A84" s="35" t="s">
        <v>112</v>
      </c>
      <c r="C84" s="35" t="s">
        <v>76</v>
      </c>
      <c r="D84" s="35"/>
      <c r="E84" s="35">
        <f t="shared" si="17"/>
        <v>0</v>
      </c>
      <c r="F84" s="35"/>
      <c r="G84" s="35">
        <v>0</v>
      </c>
      <c r="H84" s="35"/>
      <c r="I84" s="35">
        <v>0</v>
      </c>
      <c r="J84" s="35"/>
      <c r="K84" s="35">
        <f t="shared" si="18"/>
        <v>0</v>
      </c>
      <c r="L84" s="35"/>
      <c r="M84" s="35">
        <v>0</v>
      </c>
      <c r="N84" s="35"/>
      <c r="O84" s="35">
        <v>0</v>
      </c>
      <c r="P84" s="35"/>
      <c r="Q84" s="35">
        <v>0</v>
      </c>
      <c r="R84" s="35"/>
      <c r="S84" s="35">
        <v>0</v>
      </c>
      <c r="T84" s="35"/>
      <c r="U84" s="35">
        <v>0</v>
      </c>
      <c r="V84" s="35"/>
      <c r="W84" s="35">
        <f t="shared" si="16"/>
        <v>0</v>
      </c>
      <c r="X84" s="35"/>
      <c r="Y84" s="35" t="s">
        <v>112</v>
      </c>
      <c r="Z84" s="55"/>
      <c r="AA84" s="35" t="s">
        <v>76</v>
      </c>
      <c r="AB84" s="35"/>
      <c r="AC84" s="35">
        <v>0</v>
      </c>
      <c r="AD84" s="35"/>
      <c r="AE84" s="35">
        <v>0</v>
      </c>
      <c r="AF84" s="35"/>
      <c r="AG84" s="35">
        <v>0</v>
      </c>
      <c r="AH84" s="35"/>
      <c r="AI84" s="45">
        <f t="shared" si="20"/>
        <v>0</v>
      </c>
      <c r="AJ84" s="45"/>
      <c r="AK84" s="35">
        <v>0</v>
      </c>
      <c r="AL84" s="35"/>
      <c r="AM84" s="35">
        <v>0</v>
      </c>
      <c r="AN84" s="35"/>
      <c r="AO84" s="35">
        <v>0</v>
      </c>
      <c r="AP84" s="35"/>
      <c r="AQ84" s="35">
        <v>0</v>
      </c>
      <c r="AR84" s="35"/>
      <c r="AS84" s="45">
        <f t="shared" si="13"/>
        <v>0</v>
      </c>
      <c r="AT84" s="45"/>
      <c r="AU84" s="35">
        <v>0</v>
      </c>
      <c r="AV84" s="35"/>
      <c r="AW84" s="35">
        <v>0</v>
      </c>
      <c r="AX84" s="35"/>
      <c r="AY84" s="35">
        <f t="shared" si="19"/>
        <v>0</v>
      </c>
      <c r="AZ84" s="35"/>
      <c r="BA84" s="35" t="s">
        <v>112</v>
      </c>
      <c r="BB84" s="55"/>
      <c r="BC84" s="35" t="s">
        <v>76</v>
      </c>
      <c r="BD84" s="35"/>
      <c r="BE84" s="35">
        <v>0</v>
      </c>
      <c r="BF84" s="35"/>
      <c r="BG84" s="35">
        <v>0</v>
      </c>
      <c r="BH84" s="35"/>
      <c r="BI84" s="35">
        <v>0</v>
      </c>
      <c r="BJ84" s="35"/>
      <c r="BK84" s="35">
        <v>0</v>
      </c>
      <c r="BL84" s="35"/>
      <c r="BM84" s="35">
        <f t="shared" si="11"/>
        <v>0</v>
      </c>
      <c r="BN84" s="54" t="s">
        <v>347</v>
      </c>
    </row>
    <row r="85" spans="1:67" hidden="1">
      <c r="A85" s="35" t="s">
        <v>113</v>
      </c>
      <c r="C85" s="35" t="s">
        <v>43</v>
      </c>
      <c r="D85" s="35"/>
      <c r="E85" s="35">
        <f t="shared" si="17"/>
        <v>0</v>
      </c>
      <c r="F85" s="35"/>
      <c r="G85" s="35">
        <v>0</v>
      </c>
      <c r="H85" s="35"/>
      <c r="I85" s="35">
        <v>0</v>
      </c>
      <c r="J85" s="35"/>
      <c r="K85" s="35">
        <f t="shared" si="18"/>
        <v>0</v>
      </c>
      <c r="L85" s="35"/>
      <c r="M85" s="35">
        <v>0</v>
      </c>
      <c r="N85" s="35"/>
      <c r="O85" s="35">
        <v>0</v>
      </c>
      <c r="P85" s="35"/>
      <c r="Q85" s="35">
        <v>0</v>
      </c>
      <c r="R85" s="35"/>
      <c r="S85" s="35">
        <v>0</v>
      </c>
      <c r="T85" s="35"/>
      <c r="U85" s="35">
        <v>0</v>
      </c>
      <c r="V85" s="35"/>
      <c r="W85" s="35">
        <f t="shared" si="16"/>
        <v>0</v>
      </c>
      <c r="X85" s="35"/>
      <c r="Y85" s="35" t="s">
        <v>113</v>
      </c>
      <c r="Z85" s="55"/>
      <c r="AA85" s="35" t="s">
        <v>43</v>
      </c>
      <c r="AB85" s="35"/>
      <c r="AC85" s="35">
        <v>0</v>
      </c>
      <c r="AD85" s="35"/>
      <c r="AE85" s="35">
        <v>0</v>
      </c>
      <c r="AF85" s="35"/>
      <c r="AG85" s="35">
        <v>0</v>
      </c>
      <c r="AH85" s="35"/>
      <c r="AI85" s="45">
        <v>0</v>
      </c>
      <c r="AJ85" s="45"/>
      <c r="AK85" s="35">
        <v>0</v>
      </c>
      <c r="AL85" s="35"/>
      <c r="AM85" s="35">
        <v>0</v>
      </c>
      <c r="AN85" s="35"/>
      <c r="AO85" s="35">
        <v>0</v>
      </c>
      <c r="AP85" s="35"/>
      <c r="AQ85" s="35">
        <v>0</v>
      </c>
      <c r="AR85" s="35"/>
      <c r="AS85" s="45">
        <f t="shared" si="13"/>
        <v>0</v>
      </c>
      <c r="AT85" s="45"/>
      <c r="AU85" s="35">
        <v>0</v>
      </c>
      <c r="AV85" s="35"/>
      <c r="AW85" s="35">
        <v>0</v>
      </c>
      <c r="AX85" s="35"/>
      <c r="AY85" s="35">
        <f t="shared" si="19"/>
        <v>0</v>
      </c>
      <c r="AZ85" s="35"/>
      <c r="BA85" s="35" t="s">
        <v>113</v>
      </c>
      <c r="BB85" s="55"/>
      <c r="BC85" s="35" t="s">
        <v>43</v>
      </c>
      <c r="BD85" s="35"/>
      <c r="BE85" s="35">
        <v>0</v>
      </c>
      <c r="BF85" s="35"/>
      <c r="BG85" s="35">
        <v>0</v>
      </c>
      <c r="BH85" s="35"/>
      <c r="BI85" s="35">
        <v>0</v>
      </c>
      <c r="BJ85" s="35"/>
      <c r="BK85" s="35">
        <v>0</v>
      </c>
      <c r="BL85" s="35"/>
      <c r="BM85" s="35">
        <f t="shared" si="11"/>
        <v>0</v>
      </c>
      <c r="BN85" s="54" t="s">
        <v>347</v>
      </c>
    </row>
    <row r="86" spans="1:67" hidden="1">
      <c r="A86" s="44" t="s">
        <v>489</v>
      </c>
      <c r="C86" s="35" t="s">
        <v>57</v>
      </c>
      <c r="D86" s="35"/>
      <c r="E86" s="35">
        <f>I86-G86</f>
        <v>0</v>
      </c>
      <c r="F86" s="35"/>
      <c r="G86" s="35">
        <v>0</v>
      </c>
      <c r="H86" s="35"/>
      <c r="I86" s="35">
        <v>0</v>
      </c>
      <c r="J86" s="35"/>
      <c r="K86" s="35">
        <f>O86-M86</f>
        <v>0</v>
      </c>
      <c r="L86" s="35"/>
      <c r="M86" s="35">
        <v>0</v>
      </c>
      <c r="N86" s="35"/>
      <c r="O86" s="35">
        <v>0</v>
      </c>
      <c r="P86" s="35"/>
      <c r="Q86" s="35">
        <v>0</v>
      </c>
      <c r="R86" s="35"/>
      <c r="S86" s="35">
        <v>0</v>
      </c>
      <c r="T86" s="35"/>
      <c r="U86" s="35">
        <v>0</v>
      </c>
      <c r="V86" s="35"/>
      <c r="W86" s="35">
        <f>SUM(Q86:U86)</f>
        <v>0</v>
      </c>
      <c r="X86" s="35"/>
      <c r="Y86" s="44" t="s">
        <v>489</v>
      </c>
      <c r="Z86" s="55"/>
      <c r="AA86" s="35" t="s">
        <v>57</v>
      </c>
      <c r="AB86" s="35"/>
      <c r="AC86" s="35">
        <v>0</v>
      </c>
      <c r="AD86" s="35"/>
      <c r="AE86" s="35">
        <v>0</v>
      </c>
      <c r="AF86" s="35"/>
      <c r="AG86" s="35">
        <v>0</v>
      </c>
      <c r="AH86" s="35"/>
      <c r="AI86" s="45">
        <f>+AC86-AE86-AG86</f>
        <v>0</v>
      </c>
      <c r="AJ86" s="45"/>
      <c r="AK86" s="35">
        <v>0</v>
      </c>
      <c r="AL86" s="35"/>
      <c r="AM86" s="35">
        <v>0</v>
      </c>
      <c r="AN86" s="35"/>
      <c r="AO86" s="35">
        <v>0</v>
      </c>
      <c r="AP86" s="35"/>
      <c r="AQ86" s="35">
        <v>0</v>
      </c>
      <c r="AR86" s="35"/>
      <c r="AS86" s="45">
        <f>+AI86+AK86+AM86-AO86+AQ86</f>
        <v>0</v>
      </c>
      <c r="AT86" s="45"/>
      <c r="AU86" s="35">
        <v>0</v>
      </c>
      <c r="AV86" s="35"/>
      <c r="AW86" s="35">
        <v>0</v>
      </c>
      <c r="AX86" s="35"/>
      <c r="AY86" s="35">
        <f>+E86-K86</f>
        <v>0</v>
      </c>
      <c r="AZ86" s="35"/>
      <c r="BA86" s="44" t="s">
        <v>489</v>
      </c>
      <c r="BB86" s="55"/>
      <c r="BC86" s="35" t="s">
        <v>57</v>
      </c>
      <c r="BD86" s="35"/>
      <c r="BE86" s="35">
        <v>0</v>
      </c>
      <c r="BF86" s="35"/>
      <c r="BG86" s="35">
        <v>0</v>
      </c>
      <c r="BH86" s="35"/>
      <c r="BI86" s="35">
        <v>0</v>
      </c>
      <c r="BJ86" s="35"/>
      <c r="BK86" s="35">
        <v>0</v>
      </c>
      <c r="BL86" s="35"/>
      <c r="BM86" s="35">
        <f>SUM(BE86:BK86)</f>
        <v>0</v>
      </c>
      <c r="BN86" s="54" t="s">
        <v>347</v>
      </c>
      <c r="BO86" s="55" t="s">
        <v>315</v>
      </c>
    </row>
    <row r="87" spans="1:67" hidden="1">
      <c r="A87" s="35" t="s">
        <v>114</v>
      </c>
      <c r="C87" s="35" t="s">
        <v>27</v>
      </c>
      <c r="D87" s="35"/>
      <c r="E87" s="35">
        <f t="shared" si="17"/>
        <v>0</v>
      </c>
      <c r="F87" s="35"/>
      <c r="G87" s="35">
        <v>0</v>
      </c>
      <c r="H87" s="35"/>
      <c r="I87" s="35">
        <v>0</v>
      </c>
      <c r="J87" s="35"/>
      <c r="K87" s="35">
        <f t="shared" si="18"/>
        <v>0</v>
      </c>
      <c r="L87" s="35"/>
      <c r="M87" s="35">
        <v>0</v>
      </c>
      <c r="N87" s="35"/>
      <c r="O87" s="35">
        <v>0</v>
      </c>
      <c r="P87" s="35"/>
      <c r="Q87" s="35">
        <v>0</v>
      </c>
      <c r="R87" s="35"/>
      <c r="S87" s="35">
        <v>0</v>
      </c>
      <c r="T87" s="35"/>
      <c r="U87" s="35">
        <v>0</v>
      </c>
      <c r="V87" s="35"/>
      <c r="W87" s="35">
        <f t="shared" si="16"/>
        <v>0</v>
      </c>
      <c r="X87" s="35"/>
      <c r="Y87" s="35" t="s">
        <v>114</v>
      </c>
      <c r="Z87" s="55"/>
      <c r="AA87" s="35" t="s">
        <v>27</v>
      </c>
      <c r="AB87" s="35"/>
      <c r="AC87" s="35">
        <v>0</v>
      </c>
      <c r="AD87" s="35"/>
      <c r="AE87" s="35">
        <v>0</v>
      </c>
      <c r="AF87" s="35"/>
      <c r="AG87" s="35">
        <v>0</v>
      </c>
      <c r="AH87" s="35"/>
      <c r="AI87" s="45">
        <f t="shared" ref="AI87:AI103" si="21">+AC87-AE87-AG87</f>
        <v>0</v>
      </c>
      <c r="AJ87" s="45"/>
      <c r="AK87" s="35">
        <v>0</v>
      </c>
      <c r="AL87" s="35"/>
      <c r="AM87" s="35">
        <v>0</v>
      </c>
      <c r="AN87" s="35"/>
      <c r="AO87" s="35">
        <v>0</v>
      </c>
      <c r="AP87" s="35"/>
      <c r="AQ87" s="35">
        <v>0</v>
      </c>
      <c r="AR87" s="35"/>
      <c r="AS87" s="45">
        <f t="shared" si="13"/>
        <v>0</v>
      </c>
      <c r="AT87" s="45"/>
      <c r="AU87" s="35">
        <v>0</v>
      </c>
      <c r="AV87" s="35"/>
      <c r="AW87" s="35">
        <v>0</v>
      </c>
      <c r="AX87" s="35"/>
      <c r="AY87" s="35">
        <f t="shared" si="19"/>
        <v>0</v>
      </c>
      <c r="AZ87" s="35"/>
      <c r="BA87" s="35" t="s">
        <v>114</v>
      </c>
      <c r="BB87" s="55"/>
      <c r="BC87" s="35" t="s">
        <v>27</v>
      </c>
      <c r="BD87" s="35"/>
      <c r="BE87" s="35">
        <v>0</v>
      </c>
      <c r="BF87" s="35"/>
      <c r="BG87" s="35">
        <v>0</v>
      </c>
      <c r="BH87" s="35"/>
      <c r="BI87" s="35">
        <v>0</v>
      </c>
      <c r="BJ87" s="35"/>
      <c r="BK87" s="35">
        <v>0</v>
      </c>
      <c r="BL87" s="35"/>
      <c r="BM87" s="35">
        <f t="shared" si="11"/>
        <v>0</v>
      </c>
      <c r="BN87" s="54" t="s">
        <v>347</v>
      </c>
    </row>
    <row r="88" spans="1:67" hidden="1">
      <c r="A88" s="35" t="s">
        <v>115</v>
      </c>
      <c r="C88" s="35" t="s">
        <v>19</v>
      </c>
      <c r="D88" s="35"/>
      <c r="E88" s="35">
        <f t="shared" si="17"/>
        <v>0</v>
      </c>
      <c r="F88" s="35"/>
      <c r="G88" s="35">
        <v>0</v>
      </c>
      <c r="H88" s="35"/>
      <c r="I88" s="35">
        <v>0</v>
      </c>
      <c r="J88" s="35"/>
      <c r="K88" s="35">
        <f t="shared" si="18"/>
        <v>0</v>
      </c>
      <c r="L88" s="35"/>
      <c r="M88" s="35">
        <v>0</v>
      </c>
      <c r="N88" s="35"/>
      <c r="O88" s="35">
        <v>0</v>
      </c>
      <c r="P88" s="35"/>
      <c r="Q88" s="35">
        <v>0</v>
      </c>
      <c r="R88" s="35"/>
      <c r="S88" s="35">
        <v>0</v>
      </c>
      <c r="T88" s="35"/>
      <c r="U88" s="35">
        <v>0</v>
      </c>
      <c r="V88" s="35"/>
      <c r="W88" s="35">
        <f t="shared" si="16"/>
        <v>0</v>
      </c>
      <c r="X88" s="35"/>
      <c r="Y88" s="35" t="s">
        <v>115</v>
      </c>
      <c r="Z88" s="55"/>
      <c r="AA88" s="35" t="s">
        <v>19</v>
      </c>
      <c r="AB88" s="35"/>
      <c r="AC88" s="35">
        <v>0</v>
      </c>
      <c r="AD88" s="35"/>
      <c r="AE88" s="35">
        <v>0</v>
      </c>
      <c r="AF88" s="35"/>
      <c r="AG88" s="35">
        <v>0</v>
      </c>
      <c r="AH88" s="35"/>
      <c r="AI88" s="45">
        <f t="shared" si="21"/>
        <v>0</v>
      </c>
      <c r="AJ88" s="45"/>
      <c r="AK88" s="35">
        <v>0</v>
      </c>
      <c r="AL88" s="35"/>
      <c r="AM88" s="35">
        <v>0</v>
      </c>
      <c r="AN88" s="35"/>
      <c r="AO88" s="35">
        <v>0</v>
      </c>
      <c r="AP88" s="35"/>
      <c r="AQ88" s="35">
        <v>0</v>
      </c>
      <c r="AR88" s="35"/>
      <c r="AS88" s="45">
        <f t="shared" si="13"/>
        <v>0</v>
      </c>
      <c r="AT88" s="45"/>
      <c r="AU88" s="35">
        <v>0</v>
      </c>
      <c r="AV88" s="35"/>
      <c r="AW88" s="35">
        <v>0</v>
      </c>
      <c r="AX88" s="35"/>
      <c r="AY88" s="35">
        <f t="shared" si="19"/>
        <v>0</v>
      </c>
      <c r="AZ88" s="35"/>
      <c r="BA88" s="35" t="s">
        <v>115</v>
      </c>
      <c r="BB88" s="55"/>
      <c r="BC88" s="35" t="s">
        <v>19</v>
      </c>
      <c r="BD88" s="35"/>
      <c r="BE88" s="35">
        <v>0</v>
      </c>
      <c r="BF88" s="35"/>
      <c r="BG88" s="35">
        <v>0</v>
      </c>
      <c r="BH88" s="35"/>
      <c r="BI88" s="35">
        <v>0</v>
      </c>
      <c r="BJ88" s="35"/>
      <c r="BK88" s="35">
        <v>0</v>
      </c>
      <c r="BL88" s="35"/>
      <c r="BM88" s="35">
        <f t="shared" si="11"/>
        <v>0</v>
      </c>
      <c r="BN88" s="54" t="s">
        <v>347</v>
      </c>
    </row>
    <row r="89" spans="1:67" hidden="1">
      <c r="A89" s="35" t="s">
        <v>116</v>
      </c>
      <c r="C89" s="35" t="s">
        <v>80</v>
      </c>
      <c r="D89" s="35"/>
      <c r="E89" s="35">
        <f t="shared" si="17"/>
        <v>0</v>
      </c>
      <c r="F89" s="35"/>
      <c r="G89" s="35">
        <v>0</v>
      </c>
      <c r="H89" s="35"/>
      <c r="I89" s="35">
        <v>0</v>
      </c>
      <c r="J89" s="35"/>
      <c r="K89" s="35">
        <f t="shared" si="18"/>
        <v>0</v>
      </c>
      <c r="L89" s="35"/>
      <c r="M89" s="35">
        <v>0</v>
      </c>
      <c r="N89" s="35"/>
      <c r="O89" s="35">
        <v>0</v>
      </c>
      <c r="P89" s="35"/>
      <c r="Q89" s="35">
        <v>0</v>
      </c>
      <c r="R89" s="35"/>
      <c r="S89" s="35">
        <v>0</v>
      </c>
      <c r="T89" s="35"/>
      <c r="U89" s="35">
        <v>0</v>
      </c>
      <c r="V89" s="35"/>
      <c r="W89" s="35">
        <f t="shared" si="16"/>
        <v>0</v>
      </c>
      <c r="X89" s="35"/>
      <c r="Y89" s="35" t="s">
        <v>116</v>
      </c>
      <c r="Z89" s="55"/>
      <c r="AA89" s="35" t="s">
        <v>80</v>
      </c>
      <c r="AB89" s="35"/>
      <c r="AC89" s="35">
        <v>0</v>
      </c>
      <c r="AD89" s="35"/>
      <c r="AE89" s="35">
        <v>0</v>
      </c>
      <c r="AF89" s="35"/>
      <c r="AG89" s="35">
        <v>0</v>
      </c>
      <c r="AH89" s="35"/>
      <c r="AI89" s="45">
        <f t="shared" si="21"/>
        <v>0</v>
      </c>
      <c r="AJ89" s="45"/>
      <c r="AK89" s="35">
        <v>0</v>
      </c>
      <c r="AL89" s="35"/>
      <c r="AM89" s="35">
        <v>0</v>
      </c>
      <c r="AN89" s="35"/>
      <c r="AO89" s="35">
        <v>0</v>
      </c>
      <c r="AP89" s="35"/>
      <c r="AQ89" s="35">
        <v>0</v>
      </c>
      <c r="AR89" s="35"/>
      <c r="AS89" s="45">
        <f t="shared" si="13"/>
        <v>0</v>
      </c>
      <c r="AT89" s="45"/>
      <c r="AU89" s="35">
        <v>0</v>
      </c>
      <c r="AV89" s="35"/>
      <c r="AW89" s="35">
        <v>0</v>
      </c>
      <c r="AX89" s="35"/>
      <c r="AY89" s="35">
        <f t="shared" si="19"/>
        <v>0</v>
      </c>
      <c r="AZ89" s="35"/>
      <c r="BA89" s="35" t="s">
        <v>116</v>
      </c>
      <c r="BB89" s="55"/>
      <c r="BC89" s="35" t="s">
        <v>80</v>
      </c>
      <c r="BD89" s="35"/>
      <c r="BE89" s="35">
        <v>0</v>
      </c>
      <c r="BF89" s="35"/>
      <c r="BG89" s="35">
        <v>0</v>
      </c>
      <c r="BH89" s="35"/>
      <c r="BI89" s="35">
        <v>0</v>
      </c>
      <c r="BJ89" s="35"/>
      <c r="BK89" s="35">
        <v>0</v>
      </c>
      <c r="BL89" s="35"/>
      <c r="BM89" s="35">
        <f t="shared" si="11"/>
        <v>0</v>
      </c>
      <c r="BN89" s="54" t="s">
        <v>347</v>
      </c>
    </row>
    <row r="90" spans="1:67" hidden="1">
      <c r="A90" s="44" t="s">
        <v>117</v>
      </c>
      <c r="C90" s="35" t="s">
        <v>43</v>
      </c>
      <c r="D90" s="35"/>
      <c r="E90" s="35">
        <f t="shared" si="17"/>
        <v>0</v>
      </c>
      <c r="F90" s="35"/>
      <c r="G90" s="35">
        <v>0</v>
      </c>
      <c r="H90" s="35"/>
      <c r="I90" s="35">
        <v>0</v>
      </c>
      <c r="J90" s="35"/>
      <c r="K90" s="35">
        <f t="shared" si="18"/>
        <v>0</v>
      </c>
      <c r="L90" s="35"/>
      <c r="M90" s="35">
        <v>0</v>
      </c>
      <c r="N90" s="35"/>
      <c r="O90" s="35">
        <v>0</v>
      </c>
      <c r="P90" s="35"/>
      <c r="Q90" s="35">
        <v>0</v>
      </c>
      <c r="R90" s="35"/>
      <c r="S90" s="35">
        <v>0</v>
      </c>
      <c r="T90" s="35"/>
      <c r="U90" s="35">
        <v>0</v>
      </c>
      <c r="V90" s="35"/>
      <c r="W90" s="35">
        <f t="shared" si="16"/>
        <v>0</v>
      </c>
      <c r="X90" s="35"/>
      <c r="Y90" s="44" t="s">
        <v>117</v>
      </c>
      <c r="Z90" s="55"/>
      <c r="AA90" s="35" t="s">
        <v>43</v>
      </c>
      <c r="AB90" s="35"/>
      <c r="AC90" s="35">
        <v>0</v>
      </c>
      <c r="AD90" s="35"/>
      <c r="AE90" s="35">
        <v>0</v>
      </c>
      <c r="AF90" s="35"/>
      <c r="AG90" s="35">
        <v>0</v>
      </c>
      <c r="AH90" s="35"/>
      <c r="AI90" s="45">
        <f t="shared" si="21"/>
        <v>0</v>
      </c>
      <c r="AJ90" s="45"/>
      <c r="AK90" s="35">
        <v>0</v>
      </c>
      <c r="AL90" s="35"/>
      <c r="AM90" s="35">
        <v>0</v>
      </c>
      <c r="AN90" s="35"/>
      <c r="AO90" s="35">
        <v>0</v>
      </c>
      <c r="AP90" s="35"/>
      <c r="AQ90" s="35">
        <v>0</v>
      </c>
      <c r="AR90" s="35"/>
      <c r="AS90" s="45">
        <f t="shared" si="13"/>
        <v>0</v>
      </c>
      <c r="AT90" s="45"/>
      <c r="AU90" s="35">
        <v>0</v>
      </c>
      <c r="AV90" s="35"/>
      <c r="AW90" s="35">
        <v>0</v>
      </c>
      <c r="AX90" s="35"/>
      <c r="AY90" s="35">
        <f t="shared" si="19"/>
        <v>0</v>
      </c>
      <c r="AZ90" s="35"/>
      <c r="BA90" s="44" t="s">
        <v>117</v>
      </c>
      <c r="BB90" s="55"/>
      <c r="BC90" s="35" t="s">
        <v>43</v>
      </c>
      <c r="BD90" s="35"/>
      <c r="BE90" s="35">
        <v>0</v>
      </c>
      <c r="BF90" s="35"/>
      <c r="BG90" s="35">
        <v>0</v>
      </c>
      <c r="BH90" s="35"/>
      <c r="BI90" s="35">
        <v>0</v>
      </c>
      <c r="BJ90" s="35"/>
      <c r="BK90" s="35">
        <v>0</v>
      </c>
      <c r="BL90" s="35"/>
      <c r="BM90" s="35">
        <f t="shared" si="11"/>
        <v>0</v>
      </c>
      <c r="BN90" s="54" t="s">
        <v>347</v>
      </c>
    </row>
    <row r="91" spans="1:67" hidden="1">
      <c r="A91" s="35" t="s">
        <v>118</v>
      </c>
      <c r="C91" s="35" t="s">
        <v>13</v>
      </c>
      <c r="D91" s="35"/>
      <c r="E91" s="35">
        <f t="shared" si="17"/>
        <v>0</v>
      </c>
      <c r="F91" s="35"/>
      <c r="G91" s="35">
        <v>0</v>
      </c>
      <c r="H91" s="35"/>
      <c r="I91" s="35">
        <v>0</v>
      </c>
      <c r="J91" s="35"/>
      <c r="K91" s="35">
        <f t="shared" si="18"/>
        <v>0</v>
      </c>
      <c r="L91" s="35"/>
      <c r="M91" s="35">
        <v>0</v>
      </c>
      <c r="N91" s="35"/>
      <c r="O91" s="35">
        <v>0</v>
      </c>
      <c r="P91" s="35"/>
      <c r="Q91" s="35">
        <v>0</v>
      </c>
      <c r="R91" s="35"/>
      <c r="S91" s="35">
        <v>0</v>
      </c>
      <c r="T91" s="35"/>
      <c r="U91" s="35">
        <v>0</v>
      </c>
      <c r="V91" s="35"/>
      <c r="W91" s="35">
        <f t="shared" si="16"/>
        <v>0</v>
      </c>
      <c r="X91" s="35"/>
      <c r="Y91" s="35" t="s">
        <v>118</v>
      </c>
      <c r="Z91" s="55"/>
      <c r="AA91" s="35" t="s">
        <v>13</v>
      </c>
      <c r="AB91" s="35"/>
      <c r="AC91" s="35">
        <v>0</v>
      </c>
      <c r="AD91" s="35"/>
      <c r="AE91" s="35">
        <v>0</v>
      </c>
      <c r="AF91" s="35"/>
      <c r="AG91" s="35">
        <v>0</v>
      </c>
      <c r="AH91" s="35"/>
      <c r="AI91" s="45">
        <f t="shared" si="21"/>
        <v>0</v>
      </c>
      <c r="AJ91" s="45"/>
      <c r="AK91" s="35">
        <v>0</v>
      </c>
      <c r="AL91" s="35"/>
      <c r="AM91" s="35">
        <v>0</v>
      </c>
      <c r="AN91" s="35"/>
      <c r="AO91" s="35">
        <v>0</v>
      </c>
      <c r="AP91" s="35"/>
      <c r="AQ91" s="35">
        <v>0</v>
      </c>
      <c r="AR91" s="35"/>
      <c r="AS91" s="45">
        <f t="shared" si="13"/>
        <v>0</v>
      </c>
      <c r="AT91" s="45"/>
      <c r="AU91" s="35">
        <v>0</v>
      </c>
      <c r="AV91" s="35"/>
      <c r="AW91" s="35">
        <v>0</v>
      </c>
      <c r="AX91" s="35"/>
      <c r="AY91" s="35">
        <f t="shared" si="19"/>
        <v>0</v>
      </c>
      <c r="AZ91" s="35"/>
      <c r="BA91" s="35" t="s">
        <v>118</v>
      </c>
      <c r="BB91" s="55"/>
      <c r="BC91" s="35" t="s">
        <v>13</v>
      </c>
      <c r="BD91" s="35"/>
      <c r="BE91" s="35">
        <v>0</v>
      </c>
      <c r="BF91" s="35"/>
      <c r="BG91" s="35">
        <v>0</v>
      </c>
      <c r="BH91" s="35"/>
      <c r="BI91" s="35">
        <v>0</v>
      </c>
      <c r="BJ91" s="35"/>
      <c r="BK91" s="35">
        <v>0</v>
      </c>
      <c r="BL91" s="35"/>
      <c r="BM91" s="35">
        <f t="shared" si="11"/>
        <v>0</v>
      </c>
      <c r="BN91" s="54" t="s">
        <v>347</v>
      </c>
    </row>
    <row r="92" spans="1:67" hidden="1">
      <c r="A92" s="35" t="s">
        <v>120</v>
      </c>
      <c r="C92" s="35" t="s">
        <v>121</v>
      </c>
      <c r="D92" s="35"/>
      <c r="E92" s="35">
        <f t="shared" si="17"/>
        <v>0</v>
      </c>
      <c r="F92" s="35"/>
      <c r="G92" s="35">
        <v>0</v>
      </c>
      <c r="H92" s="35"/>
      <c r="I92" s="35">
        <v>0</v>
      </c>
      <c r="J92" s="35"/>
      <c r="K92" s="35">
        <f t="shared" si="18"/>
        <v>0</v>
      </c>
      <c r="L92" s="35"/>
      <c r="M92" s="35">
        <v>0</v>
      </c>
      <c r="N92" s="35"/>
      <c r="O92" s="35">
        <v>0</v>
      </c>
      <c r="P92" s="35"/>
      <c r="Q92" s="35">
        <v>0</v>
      </c>
      <c r="R92" s="35"/>
      <c r="S92" s="35">
        <v>0</v>
      </c>
      <c r="T92" s="35"/>
      <c r="U92" s="35">
        <v>0</v>
      </c>
      <c r="V92" s="35"/>
      <c r="W92" s="35">
        <f t="shared" si="16"/>
        <v>0</v>
      </c>
      <c r="X92" s="35"/>
      <c r="Y92" s="35" t="s">
        <v>120</v>
      </c>
      <c r="Z92" s="55"/>
      <c r="AA92" s="35" t="s">
        <v>121</v>
      </c>
      <c r="AB92" s="35"/>
      <c r="AC92" s="35">
        <v>0</v>
      </c>
      <c r="AD92" s="35"/>
      <c r="AE92" s="35">
        <v>0</v>
      </c>
      <c r="AF92" s="35"/>
      <c r="AG92" s="35">
        <v>0</v>
      </c>
      <c r="AH92" s="35"/>
      <c r="AI92" s="45">
        <f t="shared" si="21"/>
        <v>0</v>
      </c>
      <c r="AJ92" s="45"/>
      <c r="AK92" s="35">
        <v>0</v>
      </c>
      <c r="AL92" s="35"/>
      <c r="AM92" s="35">
        <v>0</v>
      </c>
      <c r="AN92" s="35"/>
      <c r="AO92" s="35">
        <v>0</v>
      </c>
      <c r="AP92" s="35"/>
      <c r="AQ92" s="35">
        <v>0</v>
      </c>
      <c r="AR92" s="35"/>
      <c r="AS92" s="45">
        <f t="shared" si="13"/>
        <v>0</v>
      </c>
      <c r="AT92" s="45"/>
      <c r="AU92" s="35">
        <v>0</v>
      </c>
      <c r="AV92" s="35"/>
      <c r="AW92" s="35">
        <v>0</v>
      </c>
      <c r="AX92" s="35"/>
      <c r="AY92" s="35">
        <f t="shared" si="19"/>
        <v>0</v>
      </c>
      <c r="AZ92" s="35"/>
      <c r="BA92" s="35" t="s">
        <v>120</v>
      </c>
      <c r="BB92" s="55"/>
      <c r="BC92" s="35" t="s">
        <v>121</v>
      </c>
      <c r="BD92" s="35"/>
      <c r="BE92" s="35">
        <v>0</v>
      </c>
      <c r="BF92" s="35"/>
      <c r="BG92" s="35">
        <v>0</v>
      </c>
      <c r="BH92" s="35"/>
      <c r="BI92" s="35">
        <v>0</v>
      </c>
      <c r="BJ92" s="35"/>
      <c r="BK92" s="35">
        <v>0</v>
      </c>
      <c r="BL92" s="35"/>
      <c r="BM92" s="35">
        <f t="shared" si="11"/>
        <v>0</v>
      </c>
      <c r="BN92" s="54" t="s">
        <v>347</v>
      </c>
      <c r="BO92" s="55" t="s">
        <v>371</v>
      </c>
    </row>
    <row r="93" spans="1:67" hidden="1">
      <c r="A93" s="35" t="s">
        <v>122</v>
      </c>
      <c r="C93" s="35" t="s">
        <v>43</v>
      </c>
      <c r="D93" s="35"/>
      <c r="E93" s="35">
        <f t="shared" si="17"/>
        <v>0</v>
      </c>
      <c r="F93" s="35"/>
      <c r="G93" s="35">
        <v>0</v>
      </c>
      <c r="H93" s="35"/>
      <c r="I93" s="35">
        <v>0</v>
      </c>
      <c r="J93" s="35"/>
      <c r="K93" s="35">
        <f t="shared" si="18"/>
        <v>0</v>
      </c>
      <c r="L93" s="35"/>
      <c r="M93" s="35">
        <v>0</v>
      </c>
      <c r="N93" s="35"/>
      <c r="O93" s="35">
        <v>0</v>
      </c>
      <c r="P93" s="35"/>
      <c r="Q93" s="35">
        <v>0</v>
      </c>
      <c r="R93" s="35"/>
      <c r="S93" s="35">
        <v>0</v>
      </c>
      <c r="T93" s="35"/>
      <c r="U93" s="35">
        <v>0</v>
      </c>
      <c r="V93" s="35"/>
      <c r="W93" s="35">
        <f t="shared" si="16"/>
        <v>0</v>
      </c>
      <c r="X93" s="35"/>
      <c r="Y93" s="35" t="s">
        <v>122</v>
      </c>
      <c r="Z93" s="55"/>
      <c r="AA93" s="35" t="s">
        <v>43</v>
      </c>
      <c r="AB93" s="35"/>
      <c r="AC93" s="35">
        <v>0</v>
      </c>
      <c r="AD93" s="35"/>
      <c r="AE93" s="35">
        <v>0</v>
      </c>
      <c r="AF93" s="35"/>
      <c r="AG93" s="35">
        <v>0</v>
      </c>
      <c r="AH93" s="35"/>
      <c r="AI93" s="45">
        <f t="shared" si="21"/>
        <v>0</v>
      </c>
      <c r="AJ93" s="45"/>
      <c r="AK93" s="35">
        <v>0</v>
      </c>
      <c r="AL93" s="35"/>
      <c r="AM93" s="35">
        <v>0</v>
      </c>
      <c r="AN93" s="35"/>
      <c r="AO93" s="35">
        <v>0</v>
      </c>
      <c r="AP93" s="35"/>
      <c r="AQ93" s="35">
        <v>0</v>
      </c>
      <c r="AR93" s="35"/>
      <c r="AS93" s="45">
        <f t="shared" si="13"/>
        <v>0</v>
      </c>
      <c r="AT93" s="45"/>
      <c r="AU93" s="35">
        <v>0</v>
      </c>
      <c r="AV93" s="35"/>
      <c r="AW93" s="35">
        <v>0</v>
      </c>
      <c r="AX93" s="35"/>
      <c r="AY93" s="35">
        <f t="shared" si="19"/>
        <v>0</v>
      </c>
      <c r="AZ93" s="35"/>
      <c r="BA93" s="35" t="s">
        <v>122</v>
      </c>
      <c r="BB93" s="55"/>
      <c r="BC93" s="35" t="s">
        <v>43</v>
      </c>
      <c r="BD93" s="35"/>
      <c r="BE93" s="35">
        <v>0</v>
      </c>
      <c r="BF93" s="35"/>
      <c r="BG93" s="35">
        <v>0</v>
      </c>
      <c r="BH93" s="35"/>
      <c r="BI93" s="35">
        <v>0</v>
      </c>
      <c r="BJ93" s="35"/>
      <c r="BK93" s="35">
        <v>0</v>
      </c>
      <c r="BL93" s="35"/>
      <c r="BM93" s="35">
        <f t="shared" si="11"/>
        <v>0</v>
      </c>
      <c r="BN93" s="54" t="s">
        <v>347</v>
      </c>
    </row>
    <row r="94" spans="1:67" hidden="1">
      <c r="A94" s="44" t="s">
        <v>45</v>
      </c>
      <c r="C94" s="35" t="s">
        <v>103</v>
      </c>
      <c r="D94" s="35"/>
      <c r="E94" s="35">
        <f t="shared" si="17"/>
        <v>0</v>
      </c>
      <c r="F94" s="35"/>
      <c r="G94" s="35">
        <v>0</v>
      </c>
      <c r="H94" s="35"/>
      <c r="I94" s="35">
        <v>0</v>
      </c>
      <c r="J94" s="35"/>
      <c r="K94" s="35">
        <f t="shared" si="18"/>
        <v>0</v>
      </c>
      <c r="L94" s="35"/>
      <c r="M94" s="35">
        <v>0</v>
      </c>
      <c r="N94" s="35"/>
      <c r="O94" s="35">
        <v>0</v>
      </c>
      <c r="P94" s="35"/>
      <c r="Q94" s="35">
        <v>0</v>
      </c>
      <c r="R94" s="35"/>
      <c r="S94" s="35">
        <v>0</v>
      </c>
      <c r="T94" s="35"/>
      <c r="U94" s="35">
        <v>0</v>
      </c>
      <c r="V94" s="35"/>
      <c r="W94" s="35">
        <f t="shared" si="16"/>
        <v>0</v>
      </c>
      <c r="X94" s="35"/>
      <c r="Y94" s="44" t="s">
        <v>45</v>
      </c>
      <c r="Z94" s="55"/>
      <c r="AA94" s="35" t="s">
        <v>103</v>
      </c>
      <c r="AB94" s="35"/>
      <c r="AC94" s="35">
        <v>0</v>
      </c>
      <c r="AD94" s="35"/>
      <c r="AE94" s="35">
        <v>0</v>
      </c>
      <c r="AF94" s="35"/>
      <c r="AG94" s="35">
        <v>0</v>
      </c>
      <c r="AH94" s="35"/>
      <c r="AI94" s="45">
        <f t="shared" si="21"/>
        <v>0</v>
      </c>
      <c r="AJ94" s="45"/>
      <c r="AK94" s="35">
        <v>0</v>
      </c>
      <c r="AL94" s="35"/>
      <c r="AM94" s="35">
        <v>0</v>
      </c>
      <c r="AN94" s="35"/>
      <c r="AO94" s="35">
        <v>0</v>
      </c>
      <c r="AP94" s="35"/>
      <c r="AQ94" s="35">
        <v>0</v>
      </c>
      <c r="AR94" s="35"/>
      <c r="AS94" s="45">
        <f t="shared" si="13"/>
        <v>0</v>
      </c>
      <c r="AT94" s="45"/>
      <c r="AU94" s="35">
        <v>0</v>
      </c>
      <c r="AV94" s="35"/>
      <c r="AW94" s="35">
        <v>0</v>
      </c>
      <c r="AX94" s="35"/>
      <c r="AY94" s="35">
        <f t="shared" si="19"/>
        <v>0</v>
      </c>
      <c r="AZ94" s="35"/>
      <c r="BA94" s="44" t="s">
        <v>45</v>
      </c>
      <c r="BB94" s="55"/>
      <c r="BC94" s="35" t="s">
        <v>103</v>
      </c>
      <c r="BD94" s="35"/>
      <c r="BE94" s="35">
        <v>0</v>
      </c>
      <c r="BF94" s="35"/>
      <c r="BG94" s="35">
        <v>0</v>
      </c>
      <c r="BH94" s="35"/>
      <c r="BI94" s="35">
        <v>0</v>
      </c>
      <c r="BJ94" s="35"/>
      <c r="BK94" s="35">
        <v>0</v>
      </c>
      <c r="BL94" s="35"/>
      <c r="BM94" s="35">
        <f t="shared" si="11"/>
        <v>0</v>
      </c>
      <c r="BN94" s="54" t="s">
        <v>347</v>
      </c>
      <c r="BO94" s="55" t="s">
        <v>315</v>
      </c>
    </row>
    <row r="95" spans="1:67" hidden="1">
      <c r="A95" s="44" t="s">
        <v>123</v>
      </c>
      <c r="C95" s="35" t="s">
        <v>45</v>
      </c>
      <c r="D95" s="35"/>
      <c r="E95" s="35">
        <f t="shared" si="17"/>
        <v>0</v>
      </c>
      <c r="F95" s="35"/>
      <c r="G95" s="35">
        <v>0</v>
      </c>
      <c r="H95" s="35"/>
      <c r="I95" s="35">
        <v>0</v>
      </c>
      <c r="J95" s="35"/>
      <c r="K95" s="35">
        <f t="shared" si="18"/>
        <v>0</v>
      </c>
      <c r="L95" s="35"/>
      <c r="M95" s="35">
        <v>0</v>
      </c>
      <c r="N95" s="35"/>
      <c r="O95" s="35">
        <v>0</v>
      </c>
      <c r="P95" s="35"/>
      <c r="Q95" s="35">
        <v>0</v>
      </c>
      <c r="R95" s="35"/>
      <c r="S95" s="35">
        <v>0</v>
      </c>
      <c r="T95" s="35"/>
      <c r="U95" s="35">
        <v>0</v>
      </c>
      <c r="V95" s="35"/>
      <c r="W95" s="35">
        <f t="shared" si="16"/>
        <v>0</v>
      </c>
      <c r="X95" s="35"/>
      <c r="Y95" s="44" t="s">
        <v>123</v>
      </c>
      <c r="Z95" s="55"/>
      <c r="AA95" s="35" t="s">
        <v>45</v>
      </c>
      <c r="AB95" s="35"/>
      <c r="AC95" s="35">
        <v>0</v>
      </c>
      <c r="AD95" s="35"/>
      <c r="AE95" s="35">
        <v>0</v>
      </c>
      <c r="AF95" s="35"/>
      <c r="AG95" s="35">
        <v>0</v>
      </c>
      <c r="AH95" s="35"/>
      <c r="AI95" s="45">
        <f t="shared" si="21"/>
        <v>0</v>
      </c>
      <c r="AJ95" s="45"/>
      <c r="AK95" s="35">
        <v>0</v>
      </c>
      <c r="AL95" s="35"/>
      <c r="AM95" s="35">
        <v>0</v>
      </c>
      <c r="AN95" s="35"/>
      <c r="AO95" s="35">
        <v>0</v>
      </c>
      <c r="AP95" s="35"/>
      <c r="AQ95" s="35">
        <v>0</v>
      </c>
      <c r="AR95" s="35"/>
      <c r="AS95" s="45">
        <f t="shared" si="13"/>
        <v>0</v>
      </c>
      <c r="AT95" s="45"/>
      <c r="AU95" s="35">
        <v>0</v>
      </c>
      <c r="AV95" s="35"/>
      <c r="AW95" s="35">
        <v>0</v>
      </c>
      <c r="AX95" s="35"/>
      <c r="AY95" s="35">
        <f t="shared" si="19"/>
        <v>0</v>
      </c>
      <c r="AZ95" s="35"/>
      <c r="BA95" s="44" t="s">
        <v>123</v>
      </c>
      <c r="BB95" s="55"/>
      <c r="BC95" s="35" t="s">
        <v>45</v>
      </c>
      <c r="BD95" s="35"/>
      <c r="BE95" s="35">
        <v>0</v>
      </c>
      <c r="BF95" s="35"/>
      <c r="BG95" s="35">
        <v>0</v>
      </c>
      <c r="BH95" s="35"/>
      <c r="BI95" s="35">
        <v>0</v>
      </c>
      <c r="BJ95" s="35"/>
      <c r="BK95" s="35">
        <v>0</v>
      </c>
      <c r="BL95" s="35"/>
      <c r="BM95" s="35">
        <f t="shared" si="11"/>
        <v>0</v>
      </c>
      <c r="BN95" s="54" t="s">
        <v>347</v>
      </c>
    </row>
    <row r="96" spans="1:67" hidden="1">
      <c r="A96" s="35" t="s">
        <v>124</v>
      </c>
      <c r="C96" s="35" t="s">
        <v>125</v>
      </c>
      <c r="D96" s="35"/>
      <c r="E96" s="35">
        <f t="shared" si="17"/>
        <v>0</v>
      </c>
      <c r="F96" s="35"/>
      <c r="G96" s="35">
        <v>0</v>
      </c>
      <c r="H96" s="35"/>
      <c r="I96" s="35">
        <v>0</v>
      </c>
      <c r="J96" s="35"/>
      <c r="K96" s="35">
        <f t="shared" si="18"/>
        <v>0</v>
      </c>
      <c r="L96" s="35"/>
      <c r="M96" s="35">
        <v>0</v>
      </c>
      <c r="N96" s="35"/>
      <c r="O96" s="35">
        <v>0</v>
      </c>
      <c r="P96" s="35"/>
      <c r="Q96" s="35">
        <v>0</v>
      </c>
      <c r="R96" s="35"/>
      <c r="S96" s="35">
        <v>0</v>
      </c>
      <c r="T96" s="35"/>
      <c r="U96" s="35">
        <v>0</v>
      </c>
      <c r="V96" s="35"/>
      <c r="W96" s="35">
        <f t="shared" si="16"/>
        <v>0</v>
      </c>
      <c r="X96" s="35"/>
      <c r="Y96" s="35" t="s">
        <v>124</v>
      </c>
      <c r="Z96" s="55"/>
      <c r="AA96" s="35" t="s">
        <v>125</v>
      </c>
      <c r="AB96" s="35"/>
      <c r="AC96" s="35">
        <v>0</v>
      </c>
      <c r="AD96" s="35"/>
      <c r="AE96" s="35">
        <v>0</v>
      </c>
      <c r="AF96" s="35"/>
      <c r="AG96" s="35">
        <v>0</v>
      </c>
      <c r="AH96" s="35"/>
      <c r="AI96" s="45">
        <f t="shared" si="21"/>
        <v>0</v>
      </c>
      <c r="AJ96" s="45"/>
      <c r="AK96" s="35">
        <v>0</v>
      </c>
      <c r="AL96" s="35"/>
      <c r="AM96" s="35">
        <v>0</v>
      </c>
      <c r="AN96" s="35"/>
      <c r="AO96" s="35">
        <v>0</v>
      </c>
      <c r="AP96" s="35"/>
      <c r="AQ96" s="35">
        <v>0</v>
      </c>
      <c r="AR96" s="35"/>
      <c r="AS96" s="45">
        <f t="shared" si="13"/>
        <v>0</v>
      </c>
      <c r="AT96" s="45"/>
      <c r="AU96" s="35">
        <v>0</v>
      </c>
      <c r="AV96" s="35"/>
      <c r="AW96" s="35">
        <v>0</v>
      </c>
      <c r="AX96" s="35"/>
      <c r="AY96" s="35">
        <f t="shared" si="19"/>
        <v>0</v>
      </c>
      <c r="AZ96" s="35"/>
      <c r="BA96" s="35" t="s">
        <v>124</v>
      </c>
      <c r="BB96" s="55"/>
      <c r="BC96" s="35" t="s">
        <v>125</v>
      </c>
      <c r="BD96" s="35"/>
      <c r="BE96" s="35">
        <v>0</v>
      </c>
      <c r="BF96" s="35"/>
      <c r="BG96" s="35">
        <v>0</v>
      </c>
      <c r="BH96" s="35"/>
      <c r="BI96" s="35">
        <v>0</v>
      </c>
      <c r="BJ96" s="35"/>
      <c r="BK96" s="35">
        <v>0</v>
      </c>
      <c r="BL96" s="35"/>
      <c r="BM96" s="35">
        <f t="shared" si="11"/>
        <v>0</v>
      </c>
      <c r="BN96" s="54" t="s">
        <v>347</v>
      </c>
    </row>
    <row r="97" spans="1:67" hidden="1">
      <c r="A97" s="35" t="s">
        <v>126</v>
      </c>
      <c r="C97" s="35" t="s">
        <v>27</v>
      </c>
      <c r="D97" s="35"/>
      <c r="E97" s="35">
        <f t="shared" si="17"/>
        <v>0</v>
      </c>
      <c r="F97" s="35"/>
      <c r="G97" s="35">
        <v>0</v>
      </c>
      <c r="H97" s="35"/>
      <c r="I97" s="35">
        <v>0</v>
      </c>
      <c r="J97" s="35"/>
      <c r="K97" s="35">
        <f t="shared" si="18"/>
        <v>0</v>
      </c>
      <c r="L97" s="35"/>
      <c r="M97" s="35">
        <v>0</v>
      </c>
      <c r="N97" s="35"/>
      <c r="O97" s="35">
        <v>0</v>
      </c>
      <c r="P97" s="35"/>
      <c r="Q97" s="35">
        <v>0</v>
      </c>
      <c r="R97" s="35"/>
      <c r="S97" s="35">
        <v>0</v>
      </c>
      <c r="T97" s="35"/>
      <c r="U97" s="35">
        <v>0</v>
      </c>
      <c r="V97" s="35"/>
      <c r="W97" s="35">
        <f t="shared" si="16"/>
        <v>0</v>
      </c>
      <c r="X97" s="35"/>
      <c r="Y97" s="35" t="s">
        <v>126</v>
      </c>
      <c r="Z97" s="55"/>
      <c r="AA97" s="35" t="s">
        <v>27</v>
      </c>
      <c r="AB97" s="35"/>
      <c r="AC97" s="35">
        <v>0</v>
      </c>
      <c r="AD97" s="35"/>
      <c r="AE97" s="35">
        <v>0</v>
      </c>
      <c r="AF97" s="35"/>
      <c r="AG97" s="35">
        <v>0</v>
      </c>
      <c r="AH97" s="35"/>
      <c r="AI97" s="45">
        <f t="shared" si="21"/>
        <v>0</v>
      </c>
      <c r="AJ97" s="45"/>
      <c r="AK97" s="35">
        <v>0</v>
      </c>
      <c r="AL97" s="35"/>
      <c r="AM97" s="35">
        <v>0</v>
      </c>
      <c r="AN97" s="35"/>
      <c r="AO97" s="35">
        <v>0</v>
      </c>
      <c r="AP97" s="35"/>
      <c r="AQ97" s="35">
        <v>0</v>
      </c>
      <c r="AR97" s="35"/>
      <c r="AS97" s="45">
        <f t="shared" si="13"/>
        <v>0</v>
      </c>
      <c r="AT97" s="45"/>
      <c r="AU97" s="35">
        <v>0</v>
      </c>
      <c r="AV97" s="35"/>
      <c r="AW97" s="35">
        <v>0</v>
      </c>
      <c r="AX97" s="35"/>
      <c r="AY97" s="35">
        <f t="shared" si="19"/>
        <v>0</v>
      </c>
      <c r="AZ97" s="35"/>
      <c r="BA97" s="35" t="s">
        <v>126</v>
      </c>
      <c r="BB97" s="55"/>
      <c r="BC97" s="35" t="s">
        <v>27</v>
      </c>
      <c r="BD97" s="35"/>
      <c r="BE97" s="35">
        <v>0</v>
      </c>
      <c r="BF97" s="35"/>
      <c r="BG97" s="35">
        <v>0</v>
      </c>
      <c r="BH97" s="35"/>
      <c r="BI97" s="35">
        <v>0</v>
      </c>
      <c r="BJ97" s="35"/>
      <c r="BK97" s="35">
        <v>0</v>
      </c>
      <c r="BL97" s="35"/>
      <c r="BM97" s="35">
        <f t="shared" si="11"/>
        <v>0</v>
      </c>
      <c r="BN97" s="54" t="s">
        <v>347</v>
      </c>
    </row>
    <row r="98" spans="1:67" hidden="1">
      <c r="A98" s="35" t="s">
        <v>127</v>
      </c>
      <c r="C98" s="35" t="s">
        <v>43</v>
      </c>
      <c r="D98" s="35"/>
      <c r="E98" s="35">
        <f t="shared" si="17"/>
        <v>0</v>
      </c>
      <c r="F98" s="35"/>
      <c r="G98" s="35">
        <v>0</v>
      </c>
      <c r="H98" s="35"/>
      <c r="I98" s="35">
        <v>0</v>
      </c>
      <c r="J98" s="35"/>
      <c r="K98" s="35">
        <f t="shared" si="18"/>
        <v>0</v>
      </c>
      <c r="L98" s="35"/>
      <c r="M98" s="35">
        <v>0</v>
      </c>
      <c r="N98" s="35"/>
      <c r="O98" s="35">
        <v>0</v>
      </c>
      <c r="P98" s="35"/>
      <c r="Q98" s="35">
        <v>0</v>
      </c>
      <c r="R98" s="35"/>
      <c r="S98" s="35">
        <v>0</v>
      </c>
      <c r="T98" s="35"/>
      <c r="U98" s="35">
        <v>0</v>
      </c>
      <c r="V98" s="35"/>
      <c r="W98" s="35">
        <f t="shared" si="16"/>
        <v>0</v>
      </c>
      <c r="X98" s="35"/>
      <c r="Y98" s="35" t="s">
        <v>127</v>
      </c>
      <c r="Z98" s="55"/>
      <c r="AA98" s="35" t="s">
        <v>43</v>
      </c>
      <c r="AB98" s="35"/>
      <c r="AC98" s="35">
        <v>0</v>
      </c>
      <c r="AD98" s="35"/>
      <c r="AE98" s="35">
        <v>0</v>
      </c>
      <c r="AF98" s="35"/>
      <c r="AG98" s="35">
        <v>0</v>
      </c>
      <c r="AH98" s="35"/>
      <c r="AI98" s="45">
        <f t="shared" si="21"/>
        <v>0</v>
      </c>
      <c r="AJ98" s="45"/>
      <c r="AK98" s="35">
        <v>0</v>
      </c>
      <c r="AL98" s="35"/>
      <c r="AM98" s="35">
        <v>0</v>
      </c>
      <c r="AN98" s="35"/>
      <c r="AO98" s="35">
        <v>0</v>
      </c>
      <c r="AP98" s="35"/>
      <c r="AQ98" s="35">
        <v>0</v>
      </c>
      <c r="AR98" s="35"/>
      <c r="AS98" s="45">
        <f t="shared" si="13"/>
        <v>0</v>
      </c>
      <c r="AT98" s="45"/>
      <c r="AU98" s="35">
        <v>0</v>
      </c>
      <c r="AV98" s="35"/>
      <c r="AW98" s="35">
        <v>0</v>
      </c>
      <c r="AX98" s="35"/>
      <c r="AY98" s="35">
        <f t="shared" si="19"/>
        <v>0</v>
      </c>
      <c r="AZ98" s="35"/>
      <c r="BA98" s="35" t="s">
        <v>127</v>
      </c>
      <c r="BB98" s="55"/>
      <c r="BC98" s="35" t="s">
        <v>43</v>
      </c>
      <c r="BD98" s="35"/>
      <c r="BE98" s="35">
        <v>0</v>
      </c>
      <c r="BF98" s="35"/>
      <c r="BG98" s="35">
        <v>0</v>
      </c>
      <c r="BH98" s="35"/>
      <c r="BI98" s="35">
        <v>0</v>
      </c>
      <c r="BJ98" s="35"/>
      <c r="BK98" s="35">
        <v>0</v>
      </c>
      <c r="BL98" s="35"/>
      <c r="BM98" s="35">
        <f t="shared" ref="BM98:BM140" si="22">SUM(BE98:BK98)</f>
        <v>0</v>
      </c>
      <c r="BN98" s="54" t="s">
        <v>347</v>
      </c>
    </row>
    <row r="99" spans="1:67" hidden="1">
      <c r="A99" s="35" t="s">
        <v>128</v>
      </c>
      <c r="C99" s="35" t="s">
        <v>119</v>
      </c>
      <c r="D99" s="35"/>
      <c r="E99" s="35">
        <f t="shared" si="17"/>
        <v>0</v>
      </c>
      <c r="F99" s="35"/>
      <c r="G99" s="35">
        <v>0</v>
      </c>
      <c r="H99" s="35"/>
      <c r="I99" s="35">
        <v>0</v>
      </c>
      <c r="J99" s="35"/>
      <c r="K99" s="35">
        <f t="shared" si="18"/>
        <v>0</v>
      </c>
      <c r="L99" s="35"/>
      <c r="M99" s="35">
        <v>0</v>
      </c>
      <c r="N99" s="35"/>
      <c r="O99" s="35">
        <v>0</v>
      </c>
      <c r="P99" s="35"/>
      <c r="Q99" s="35">
        <v>0</v>
      </c>
      <c r="R99" s="35"/>
      <c r="S99" s="35">
        <v>0</v>
      </c>
      <c r="T99" s="35"/>
      <c r="U99" s="35">
        <v>0</v>
      </c>
      <c r="V99" s="35"/>
      <c r="W99" s="35">
        <f t="shared" si="16"/>
        <v>0</v>
      </c>
      <c r="X99" s="35"/>
      <c r="Y99" s="35" t="s">
        <v>128</v>
      </c>
      <c r="Z99" s="55"/>
      <c r="AA99" s="35" t="s">
        <v>119</v>
      </c>
      <c r="AB99" s="35"/>
      <c r="AC99" s="35">
        <v>0</v>
      </c>
      <c r="AD99" s="35"/>
      <c r="AE99" s="35">
        <v>0</v>
      </c>
      <c r="AF99" s="35"/>
      <c r="AG99" s="35">
        <v>0</v>
      </c>
      <c r="AH99" s="35"/>
      <c r="AI99" s="45">
        <f t="shared" si="21"/>
        <v>0</v>
      </c>
      <c r="AJ99" s="45"/>
      <c r="AK99" s="35">
        <v>0</v>
      </c>
      <c r="AL99" s="35"/>
      <c r="AM99" s="35">
        <v>0</v>
      </c>
      <c r="AN99" s="35"/>
      <c r="AO99" s="35">
        <v>0</v>
      </c>
      <c r="AP99" s="35"/>
      <c r="AQ99" s="35">
        <v>0</v>
      </c>
      <c r="AR99" s="35"/>
      <c r="AS99" s="45">
        <f t="shared" si="13"/>
        <v>0</v>
      </c>
      <c r="AT99" s="45"/>
      <c r="AU99" s="35">
        <v>0</v>
      </c>
      <c r="AV99" s="35"/>
      <c r="AW99" s="35">
        <v>0</v>
      </c>
      <c r="AX99" s="35"/>
      <c r="AY99" s="35">
        <f t="shared" si="19"/>
        <v>0</v>
      </c>
      <c r="AZ99" s="35"/>
      <c r="BA99" s="35" t="s">
        <v>128</v>
      </c>
      <c r="BB99" s="55"/>
      <c r="BC99" s="35" t="s">
        <v>119</v>
      </c>
      <c r="BD99" s="35"/>
      <c r="BE99" s="35">
        <v>0</v>
      </c>
      <c r="BF99" s="35"/>
      <c r="BG99" s="35">
        <v>0</v>
      </c>
      <c r="BH99" s="35"/>
      <c r="BI99" s="35">
        <v>0</v>
      </c>
      <c r="BJ99" s="35"/>
      <c r="BK99" s="35">
        <v>0</v>
      </c>
      <c r="BL99" s="35"/>
      <c r="BM99" s="35">
        <f t="shared" si="22"/>
        <v>0</v>
      </c>
      <c r="BN99" s="54" t="s">
        <v>347</v>
      </c>
    </row>
    <row r="100" spans="1:67" ht="12" hidden="1">
      <c r="A100" s="35" t="s">
        <v>129</v>
      </c>
      <c r="B100" s="55"/>
      <c r="C100" s="35" t="s">
        <v>80</v>
      </c>
      <c r="D100" s="35"/>
      <c r="E100" s="35">
        <f t="shared" si="17"/>
        <v>0</v>
      </c>
      <c r="F100" s="35"/>
      <c r="G100" s="35">
        <v>0</v>
      </c>
      <c r="H100" s="35"/>
      <c r="I100" s="35">
        <v>0</v>
      </c>
      <c r="J100" s="35"/>
      <c r="K100" s="35">
        <f t="shared" si="18"/>
        <v>0</v>
      </c>
      <c r="L100" s="35"/>
      <c r="M100" s="35">
        <v>0</v>
      </c>
      <c r="N100" s="35"/>
      <c r="O100" s="35">
        <v>0</v>
      </c>
      <c r="P100" s="35"/>
      <c r="Q100" s="35">
        <v>0</v>
      </c>
      <c r="R100" s="35"/>
      <c r="S100" s="35">
        <v>0</v>
      </c>
      <c r="T100" s="35"/>
      <c r="U100" s="35">
        <v>0</v>
      </c>
      <c r="V100" s="35"/>
      <c r="W100" s="35">
        <f t="shared" si="16"/>
        <v>0</v>
      </c>
      <c r="X100" s="35"/>
      <c r="Y100" s="35" t="s">
        <v>129</v>
      </c>
      <c r="Z100" s="55"/>
      <c r="AA100" s="35" t="s">
        <v>80</v>
      </c>
      <c r="AB100" s="35"/>
      <c r="AC100" s="35">
        <v>0</v>
      </c>
      <c r="AD100" s="35"/>
      <c r="AE100" s="35">
        <v>0</v>
      </c>
      <c r="AF100" s="35"/>
      <c r="AG100" s="35">
        <v>0</v>
      </c>
      <c r="AH100" s="35"/>
      <c r="AI100" s="45">
        <f t="shared" si="21"/>
        <v>0</v>
      </c>
      <c r="AJ100" s="45"/>
      <c r="AK100" s="35">
        <v>0</v>
      </c>
      <c r="AL100" s="35"/>
      <c r="AM100" s="35">
        <v>0</v>
      </c>
      <c r="AN100" s="35"/>
      <c r="AO100" s="35">
        <v>0</v>
      </c>
      <c r="AP100" s="35"/>
      <c r="AQ100" s="35">
        <v>0</v>
      </c>
      <c r="AR100" s="35"/>
      <c r="AS100" s="45">
        <f t="shared" si="13"/>
        <v>0</v>
      </c>
      <c r="AT100" s="45"/>
      <c r="AU100" s="35">
        <v>0</v>
      </c>
      <c r="AV100" s="35"/>
      <c r="AW100" s="35">
        <v>0</v>
      </c>
      <c r="AX100" s="35"/>
      <c r="AY100" s="35">
        <f t="shared" si="19"/>
        <v>0</v>
      </c>
      <c r="AZ100" s="35"/>
      <c r="BA100" s="35" t="s">
        <v>129</v>
      </c>
      <c r="BB100" s="55"/>
      <c r="BC100" s="35" t="s">
        <v>80</v>
      </c>
      <c r="BD100" s="35"/>
      <c r="BE100" s="35">
        <v>0</v>
      </c>
      <c r="BF100" s="35"/>
      <c r="BG100" s="35">
        <v>0</v>
      </c>
      <c r="BH100" s="35"/>
      <c r="BI100" s="35">
        <v>0</v>
      </c>
      <c r="BJ100" s="35"/>
      <c r="BK100" s="35">
        <v>0</v>
      </c>
      <c r="BL100" s="35"/>
      <c r="BM100" s="35">
        <f t="shared" si="22"/>
        <v>0</v>
      </c>
      <c r="BN100" s="54" t="s">
        <v>347</v>
      </c>
    </row>
    <row r="101" spans="1:67" hidden="1">
      <c r="A101" s="35" t="s">
        <v>130</v>
      </c>
      <c r="C101" s="35" t="s">
        <v>66</v>
      </c>
      <c r="D101" s="35"/>
      <c r="E101" s="35">
        <f t="shared" si="17"/>
        <v>0</v>
      </c>
      <c r="F101" s="35"/>
      <c r="G101" s="35">
        <v>0</v>
      </c>
      <c r="H101" s="35"/>
      <c r="I101" s="35">
        <v>0</v>
      </c>
      <c r="J101" s="35"/>
      <c r="K101" s="35">
        <f t="shared" si="18"/>
        <v>0</v>
      </c>
      <c r="L101" s="35"/>
      <c r="M101" s="35">
        <v>0</v>
      </c>
      <c r="N101" s="35"/>
      <c r="O101" s="35">
        <v>0</v>
      </c>
      <c r="P101" s="35"/>
      <c r="Q101" s="35">
        <v>0</v>
      </c>
      <c r="R101" s="35"/>
      <c r="S101" s="35">
        <v>0</v>
      </c>
      <c r="T101" s="35"/>
      <c r="U101" s="35">
        <v>0</v>
      </c>
      <c r="V101" s="35"/>
      <c r="W101" s="35">
        <f t="shared" si="16"/>
        <v>0</v>
      </c>
      <c r="X101" s="35"/>
      <c r="Y101" s="35" t="s">
        <v>130</v>
      </c>
      <c r="Z101" s="55"/>
      <c r="AA101" s="35" t="s">
        <v>66</v>
      </c>
      <c r="AB101" s="35"/>
      <c r="AC101" s="35">
        <v>0</v>
      </c>
      <c r="AD101" s="35"/>
      <c r="AE101" s="35">
        <v>0</v>
      </c>
      <c r="AF101" s="35"/>
      <c r="AG101" s="35">
        <v>0</v>
      </c>
      <c r="AH101" s="35"/>
      <c r="AI101" s="45">
        <f t="shared" si="21"/>
        <v>0</v>
      </c>
      <c r="AJ101" s="45"/>
      <c r="AK101" s="35">
        <v>0</v>
      </c>
      <c r="AL101" s="35"/>
      <c r="AM101" s="35">
        <v>0</v>
      </c>
      <c r="AN101" s="35"/>
      <c r="AO101" s="35">
        <v>0</v>
      </c>
      <c r="AP101" s="35"/>
      <c r="AQ101" s="35">
        <v>0</v>
      </c>
      <c r="AR101" s="35"/>
      <c r="AS101" s="45">
        <f t="shared" si="13"/>
        <v>0</v>
      </c>
      <c r="AT101" s="45"/>
      <c r="AU101" s="35">
        <v>0</v>
      </c>
      <c r="AV101" s="35"/>
      <c r="AW101" s="35">
        <v>0</v>
      </c>
      <c r="AX101" s="35"/>
      <c r="AY101" s="35">
        <f t="shared" si="19"/>
        <v>0</v>
      </c>
      <c r="AZ101" s="35"/>
      <c r="BA101" s="35" t="s">
        <v>130</v>
      </c>
      <c r="BB101" s="55"/>
      <c r="BC101" s="35" t="s">
        <v>66</v>
      </c>
      <c r="BD101" s="35"/>
      <c r="BE101" s="35">
        <v>0</v>
      </c>
      <c r="BF101" s="35"/>
      <c r="BG101" s="35">
        <v>0</v>
      </c>
      <c r="BH101" s="35"/>
      <c r="BI101" s="35">
        <v>0</v>
      </c>
      <c r="BJ101" s="35"/>
      <c r="BK101" s="35">
        <v>0</v>
      </c>
      <c r="BL101" s="35"/>
      <c r="BM101" s="35">
        <f t="shared" si="22"/>
        <v>0</v>
      </c>
      <c r="BN101" s="54" t="s">
        <v>347</v>
      </c>
    </row>
    <row r="102" spans="1:67" hidden="1">
      <c r="A102" s="35" t="s">
        <v>131</v>
      </c>
      <c r="C102" s="35" t="s">
        <v>13</v>
      </c>
      <c r="D102" s="35"/>
      <c r="E102" s="35">
        <f t="shared" si="17"/>
        <v>0</v>
      </c>
      <c r="F102" s="35"/>
      <c r="G102" s="35">
        <v>0</v>
      </c>
      <c r="H102" s="35"/>
      <c r="I102" s="35">
        <v>0</v>
      </c>
      <c r="J102" s="35"/>
      <c r="K102" s="35">
        <f t="shared" si="18"/>
        <v>0</v>
      </c>
      <c r="L102" s="35"/>
      <c r="M102" s="35">
        <v>0</v>
      </c>
      <c r="N102" s="35"/>
      <c r="O102" s="35">
        <v>0</v>
      </c>
      <c r="P102" s="35"/>
      <c r="Q102" s="35">
        <v>0</v>
      </c>
      <c r="R102" s="35"/>
      <c r="S102" s="35">
        <v>0</v>
      </c>
      <c r="T102" s="35"/>
      <c r="U102" s="35">
        <v>0</v>
      </c>
      <c r="V102" s="35"/>
      <c r="W102" s="35">
        <f t="shared" si="16"/>
        <v>0</v>
      </c>
      <c r="X102" s="35"/>
      <c r="Y102" s="35" t="s">
        <v>131</v>
      </c>
      <c r="Z102" s="55"/>
      <c r="AA102" s="35" t="s">
        <v>13</v>
      </c>
      <c r="AB102" s="35"/>
      <c r="AC102" s="35">
        <v>0</v>
      </c>
      <c r="AD102" s="35"/>
      <c r="AE102" s="35">
        <v>0</v>
      </c>
      <c r="AF102" s="35"/>
      <c r="AG102" s="35">
        <v>0</v>
      </c>
      <c r="AH102" s="35"/>
      <c r="AI102" s="45">
        <f t="shared" si="21"/>
        <v>0</v>
      </c>
      <c r="AJ102" s="45"/>
      <c r="AK102" s="35">
        <v>0</v>
      </c>
      <c r="AL102" s="35"/>
      <c r="AM102" s="35">
        <v>0</v>
      </c>
      <c r="AN102" s="35"/>
      <c r="AO102" s="35">
        <v>0</v>
      </c>
      <c r="AP102" s="35"/>
      <c r="AQ102" s="35">
        <v>0</v>
      </c>
      <c r="AR102" s="35"/>
      <c r="AS102" s="45">
        <f t="shared" ref="AS102:AS107" si="23">+AI102+AK102+AM102-AO102+AQ102</f>
        <v>0</v>
      </c>
      <c r="AT102" s="45"/>
      <c r="AU102" s="35">
        <v>0</v>
      </c>
      <c r="AV102" s="35"/>
      <c r="AW102" s="35">
        <v>0</v>
      </c>
      <c r="AX102" s="35"/>
      <c r="AY102" s="35">
        <f t="shared" si="19"/>
        <v>0</v>
      </c>
      <c r="AZ102" s="35"/>
      <c r="BA102" s="35" t="s">
        <v>131</v>
      </c>
      <c r="BB102" s="55"/>
      <c r="BC102" s="35" t="s">
        <v>13</v>
      </c>
      <c r="BD102" s="35"/>
      <c r="BE102" s="35">
        <v>0</v>
      </c>
      <c r="BF102" s="35"/>
      <c r="BG102" s="35">
        <v>0</v>
      </c>
      <c r="BH102" s="35"/>
      <c r="BI102" s="35">
        <v>0</v>
      </c>
      <c r="BJ102" s="35"/>
      <c r="BK102" s="35">
        <v>0</v>
      </c>
      <c r="BL102" s="35"/>
      <c r="BM102" s="35">
        <f t="shared" si="22"/>
        <v>0</v>
      </c>
      <c r="BN102" s="54" t="s">
        <v>347</v>
      </c>
    </row>
    <row r="103" spans="1:67" hidden="1">
      <c r="A103" s="35" t="s">
        <v>38</v>
      </c>
      <c r="C103" s="35" t="s">
        <v>132</v>
      </c>
      <c r="D103" s="35"/>
      <c r="E103" s="35">
        <f t="shared" si="17"/>
        <v>0</v>
      </c>
      <c r="F103" s="35"/>
      <c r="G103" s="35">
        <v>0</v>
      </c>
      <c r="H103" s="35"/>
      <c r="I103" s="35">
        <v>0</v>
      </c>
      <c r="J103" s="35"/>
      <c r="K103" s="35">
        <f t="shared" si="18"/>
        <v>0</v>
      </c>
      <c r="L103" s="35"/>
      <c r="M103" s="35">
        <v>0</v>
      </c>
      <c r="N103" s="35"/>
      <c r="O103" s="35">
        <v>0</v>
      </c>
      <c r="P103" s="35"/>
      <c r="Q103" s="35">
        <v>0</v>
      </c>
      <c r="R103" s="35"/>
      <c r="S103" s="35">
        <v>0</v>
      </c>
      <c r="T103" s="35"/>
      <c r="U103" s="35">
        <v>0</v>
      </c>
      <c r="V103" s="35"/>
      <c r="W103" s="35">
        <f t="shared" si="16"/>
        <v>0</v>
      </c>
      <c r="X103" s="35"/>
      <c r="Y103" s="35" t="s">
        <v>38</v>
      </c>
      <c r="Z103" s="55"/>
      <c r="AA103" s="35" t="s">
        <v>132</v>
      </c>
      <c r="AB103" s="35"/>
      <c r="AC103" s="35">
        <v>0</v>
      </c>
      <c r="AD103" s="35"/>
      <c r="AE103" s="35">
        <v>0</v>
      </c>
      <c r="AF103" s="35"/>
      <c r="AG103" s="35">
        <v>0</v>
      </c>
      <c r="AH103" s="35"/>
      <c r="AI103" s="45">
        <f t="shared" si="21"/>
        <v>0</v>
      </c>
      <c r="AJ103" s="45"/>
      <c r="AK103" s="35">
        <v>0</v>
      </c>
      <c r="AL103" s="35"/>
      <c r="AM103" s="35">
        <v>0</v>
      </c>
      <c r="AN103" s="35"/>
      <c r="AO103" s="35">
        <v>0</v>
      </c>
      <c r="AP103" s="35"/>
      <c r="AQ103" s="35">
        <v>0</v>
      </c>
      <c r="AR103" s="35"/>
      <c r="AS103" s="45">
        <f t="shared" si="23"/>
        <v>0</v>
      </c>
      <c r="AT103" s="45"/>
      <c r="AU103" s="35">
        <v>0</v>
      </c>
      <c r="AV103" s="35"/>
      <c r="AW103" s="35">
        <v>0</v>
      </c>
      <c r="AX103" s="35"/>
      <c r="AY103" s="35">
        <f t="shared" si="19"/>
        <v>0</v>
      </c>
      <c r="AZ103" s="35"/>
      <c r="BA103" s="35" t="s">
        <v>38</v>
      </c>
      <c r="BB103" s="55"/>
      <c r="BC103" s="35" t="s">
        <v>132</v>
      </c>
      <c r="BD103" s="35"/>
      <c r="BE103" s="35">
        <v>0</v>
      </c>
      <c r="BF103" s="35"/>
      <c r="BG103" s="35">
        <v>0</v>
      </c>
      <c r="BH103" s="35"/>
      <c r="BI103" s="35">
        <v>0</v>
      </c>
      <c r="BJ103" s="35"/>
      <c r="BK103" s="35">
        <v>0</v>
      </c>
      <c r="BL103" s="35"/>
      <c r="BM103" s="35">
        <f t="shared" si="22"/>
        <v>0</v>
      </c>
      <c r="BN103" s="54" t="s">
        <v>347</v>
      </c>
    </row>
    <row r="104" spans="1:67" hidden="1">
      <c r="A104" s="35" t="s">
        <v>133</v>
      </c>
      <c r="C104" s="35" t="s">
        <v>27</v>
      </c>
      <c r="D104" s="35"/>
      <c r="E104" s="35">
        <f t="shared" si="17"/>
        <v>0</v>
      </c>
      <c r="F104" s="35"/>
      <c r="G104" s="35">
        <v>0</v>
      </c>
      <c r="H104" s="35"/>
      <c r="I104" s="35">
        <v>0</v>
      </c>
      <c r="J104" s="35"/>
      <c r="K104" s="35">
        <f t="shared" si="18"/>
        <v>0</v>
      </c>
      <c r="L104" s="35"/>
      <c r="M104" s="35">
        <v>0</v>
      </c>
      <c r="N104" s="35"/>
      <c r="O104" s="35">
        <v>0</v>
      </c>
      <c r="P104" s="35"/>
      <c r="Q104" s="35">
        <v>0</v>
      </c>
      <c r="R104" s="35"/>
      <c r="S104" s="35">
        <v>0</v>
      </c>
      <c r="T104" s="35"/>
      <c r="U104" s="35">
        <v>0</v>
      </c>
      <c r="V104" s="35"/>
      <c r="W104" s="35">
        <f t="shared" si="16"/>
        <v>0</v>
      </c>
      <c r="X104" s="35"/>
      <c r="Y104" s="35" t="s">
        <v>133</v>
      </c>
      <c r="Z104" s="55"/>
      <c r="AA104" s="35" t="s">
        <v>27</v>
      </c>
      <c r="AB104" s="35"/>
      <c r="AC104" s="35">
        <v>0</v>
      </c>
      <c r="AD104" s="35"/>
      <c r="AE104" s="35">
        <v>0</v>
      </c>
      <c r="AF104" s="35"/>
      <c r="AG104" s="35">
        <v>0</v>
      </c>
      <c r="AH104" s="35"/>
      <c r="AI104" s="45">
        <v>0</v>
      </c>
      <c r="AJ104" s="45"/>
      <c r="AK104" s="35">
        <v>0</v>
      </c>
      <c r="AL104" s="35"/>
      <c r="AM104" s="35">
        <v>0</v>
      </c>
      <c r="AN104" s="35"/>
      <c r="AO104" s="35">
        <v>0</v>
      </c>
      <c r="AP104" s="35"/>
      <c r="AQ104" s="35">
        <v>0</v>
      </c>
      <c r="AR104" s="35"/>
      <c r="AS104" s="45">
        <f t="shared" si="23"/>
        <v>0</v>
      </c>
      <c r="AT104" s="45"/>
      <c r="AU104" s="35">
        <v>0</v>
      </c>
      <c r="AV104" s="35"/>
      <c r="AW104" s="35">
        <v>0</v>
      </c>
      <c r="AX104" s="35"/>
      <c r="AY104" s="35">
        <f t="shared" si="19"/>
        <v>0</v>
      </c>
      <c r="AZ104" s="35"/>
      <c r="BA104" s="35" t="s">
        <v>133</v>
      </c>
      <c r="BB104" s="55"/>
      <c r="BC104" s="35" t="s">
        <v>27</v>
      </c>
      <c r="BD104" s="35"/>
      <c r="BE104" s="35">
        <v>0</v>
      </c>
      <c r="BF104" s="35"/>
      <c r="BG104" s="35">
        <v>0</v>
      </c>
      <c r="BH104" s="35"/>
      <c r="BI104" s="35">
        <v>0</v>
      </c>
      <c r="BJ104" s="35"/>
      <c r="BK104" s="35">
        <v>0</v>
      </c>
      <c r="BL104" s="35"/>
      <c r="BM104" s="35">
        <f t="shared" si="22"/>
        <v>0</v>
      </c>
      <c r="BN104" s="54" t="s">
        <v>347</v>
      </c>
    </row>
    <row r="105" spans="1:67" hidden="1">
      <c r="A105" s="35" t="s">
        <v>136</v>
      </c>
      <c r="C105" s="35" t="s">
        <v>136</v>
      </c>
      <c r="D105" s="35"/>
      <c r="E105" s="35">
        <f t="shared" si="17"/>
        <v>0</v>
      </c>
      <c r="F105" s="35"/>
      <c r="G105" s="35">
        <v>0</v>
      </c>
      <c r="H105" s="35"/>
      <c r="I105" s="35">
        <v>0</v>
      </c>
      <c r="J105" s="35"/>
      <c r="K105" s="35">
        <f t="shared" si="18"/>
        <v>0</v>
      </c>
      <c r="L105" s="35"/>
      <c r="M105" s="35">
        <v>0</v>
      </c>
      <c r="N105" s="35"/>
      <c r="O105" s="35">
        <v>0</v>
      </c>
      <c r="P105" s="35"/>
      <c r="Q105" s="35">
        <v>0</v>
      </c>
      <c r="R105" s="35"/>
      <c r="S105" s="35">
        <v>0</v>
      </c>
      <c r="T105" s="35"/>
      <c r="U105" s="35">
        <v>0</v>
      </c>
      <c r="V105" s="35"/>
      <c r="W105" s="35">
        <f t="shared" si="16"/>
        <v>0</v>
      </c>
      <c r="X105" s="35"/>
      <c r="Y105" s="35" t="s">
        <v>136</v>
      </c>
      <c r="Z105" s="55"/>
      <c r="AA105" s="35" t="s">
        <v>136</v>
      </c>
      <c r="AB105" s="35"/>
      <c r="AC105" s="35">
        <v>0</v>
      </c>
      <c r="AD105" s="35"/>
      <c r="AE105" s="35">
        <v>0</v>
      </c>
      <c r="AF105" s="35"/>
      <c r="AG105" s="35">
        <v>0</v>
      </c>
      <c r="AH105" s="35"/>
      <c r="AI105" s="45">
        <f>+AC105-AE105-AG105</f>
        <v>0</v>
      </c>
      <c r="AJ105" s="45"/>
      <c r="AK105" s="35">
        <v>0</v>
      </c>
      <c r="AL105" s="35"/>
      <c r="AM105" s="35">
        <v>0</v>
      </c>
      <c r="AN105" s="35"/>
      <c r="AO105" s="35">
        <v>0</v>
      </c>
      <c r="AP105" s="35"/>
      <c r="AQ105" s="35">
        <v>0</v>
      </c>
      <c r="AR105" s="35"/>
      <c r="AS105" s="45">
        <f t="shared" si="23"/>
        <v>0</v>
      </c>
      <c r="AT105" s="45"/>
      <c r="AU105" s="35">
        <v>0</v>
      </c>
      <c r="AV105" s="35"/>
      <c r="AW105" s="35">
        <v>0</v>
      </c>
      <c r="AX105" s="35"/>
      <c r="AY105" s="35">
        <f t="shared" si="19"/>
        <v>0</v>
      </c>
      <c r="AZ105" s="35"/>
      <c r="BA105" s="35" t="s">
        <v>136</v>
      </c>
      <c r="BB105" s="55"/>
      <c r="BC105" s="35" t="s">
        <v>136</v>
      </c>
      <c r="BD105" s="35"/>
      <c r="BE105" s="35">
        <v>0</v>
      </c>
      <c r="BF105" s="35"/>
      <c r="BG105" s="35">
        <v>0</v>
      </c>
      <c r="BH105" s="35"/>
      <c r="BI105" s="35">
        <v>0</v>
      </c>
      <c r="BJ105" s="35"/>
      <c r="BK105" s="35">
        <v>0</v>
      </c>
      <c r="BL105" s="35"/>
      <c r="BM105" s="35">
        <f t="shared" si="22"/>
        <v>0</v>
      </c>
      <c r="BN105" s="54" t="s">
        <v>347</v>
      </c>
    </row>
    <row r="106" spans="1:67">
      <c r="A106" s="35" t="s">
        <v>137</v>
      </c>
      <c r="C106" s="35" t="s">
        <v>22</v>
      </c>
      <c r="D106" s="35"/>
      <c r="E106" s="35">
        <f t="shared" si="17"/>
        <v>164391</v>
      </c>
      <c r="F106" s="35"/>
      <c r="G106" s="35">
        <v>1218</v>
      </c>
      <c r="H106" s="35"/>
      <c r="I106" s="35">
        <v>165609</v>
      </c>
      <c r="J106" s="35"/>
      <c r="K106" s="35">
        <f t="shared" si="18"/>
        <v>513865</v>
      </c>
      <c r="L106" s="35"/>
      <c r="M106" s="35">
        <v>530</v>
      </c>
      <c r="N106" s="35"/>
      <c r="O106" s="35">
        <v>514395</v>
      </c>
      <c r="P106" s="35"/>
      <c r="Q106" s="35">
        <v>1218</v>
      </c>
      <c r="R106" s="35"/>
      <c r="S106" s="35">
        <v>0</v>
      </c>
      <c r="T106" s="35"/>
      <c r="U106" s="35">
        <v>-350004</v>
      </c>
      <c r="V106" s="35"/>
      <c r="W106" s="35">
        <f t="shared" ref="W106:W137" si="24">SUM(Q106:U106)</f>
        <v>-348786</v>
      </c>
      <c r="X106" s="35"/>
      <c r="Y106" s="35" t="s">
        <v>137</v>
      </c>
      <c r="Z106" s="55"/>
      <c r="AA106" s="35" t="s">
        <v>22</v>
      </c>
      <c r="AB106" s="35"/>
      <c r="AC106" s="35">
        <v>400690</v>
      </c>
      <c r="AD106" s="35"/>
      <c r="AE106" s="35">
        <f>479055-328</f>
        <v>478727</v>
      </c>
      <c r="AF106" s="35"/>
      <c r="AG106" s="35">
        <v>328</v>
      </c>
      <c r="AH106" s="35"/>
      <c r="AI106" s="45">
        <f>+AC106-AE106-AG106</f>
        <v>-78365</v>
      </c>
      <c r="AJ106" s="45"/>
      <c r="AK106" s="35">
        <v>12500</v>
      </c>
      <c r="AL106" s="35"/>
      <c r="AM106" s="35">
        <v>0</v>
      </c>
      <c r="AN106" s="35"/>
      <c r="AO106" s="35">
        <v>0</v>
      </c>
      <c r="AP106" s="35"/>
      <c r="AQ106" s="35">
        <v>0</v>
      </c>
      <c r="AR106" s="35"/>
      <c r="AS106" s="45">
        <f t="shared" si="23"/>
        <v>-65865</v>
      </c>
      <c r="AT106" s="45"/>
      <c r="AU106" s="35">
        <v>0</v>
      </c>
      <c r="AV106" s="35"/>
      <c r="AW106" s="35">
        <v>0</v>
      </c>
      <c r="AX106" s="35"/>
      <c r="AY106" s="35">
        <f t="shared" si="19"/>
        <v>-349474</v>
      </c>
      <c r="AZ106" s="35"/>
      <c r="BA106" s="35" t="s">
        <v>137</v>
      </c>
      <c r="BB106" s="55"/>
      <c r="BC106" s="35" t="s">
        <v>22</v>
      </c>
      <c r="BD106" s="35"/>
      <c r="BE106" s="35">
        <v>0</v>
      </c>
      <c r="BF106" s="35"/>
      <c r="BG106" s="35">
        <v>0</v>
      </c>
      <c r="BH106" s="35"/>
      <c r="BI106" s="35">
        <v>0</v>
      </c>
      <c r="BJ106" s="35"/>
      <c r="BK106" s="35">
        <f>530+2969</f>
        <v>3499</v>
      </c>
      <c r="BL106" s="35"/>
      <c r="BM106" s="35">
        <f t="shared" si="22"/>
        <v>3499</v>
      </c>
      <c r="BN106" s="54" t="s">
        <v>347</v>
      </c>
    </row>
    <row r="107" spans="1:67" hidden="1">
      <c r="A107" s="35" t="s">
        <v>138</v>
      </c>
      <c r="C107" s="35" t="s">
        <v>139</v>
      </c>
      <c r="D107" s="35"/>
      <c r="E107" s="35">
        <f t="shared" si="17"/>
        <v>0</v>
      </c>
      <c r="F107" s="35"/>
      <c r="G107" s="35">
        <v>0</v>
      </c>
      <c r="H107" s="35"/>
      <c r="I107" s="35">
        <v>0</v>
      </c>
      <c r="J107" s="35"/>
      <c r="K107" s="35">
        <f t="shared" si="18"/>
        <v>0</v>
      </c>
      <c r="L107" s="35"/>
      <c r="M107" s="35">
        <v>0</v>
      </c>
      <c r="N107" s="35"/>
      <c r="O107" s="35">
        <v>0</v>
      </c>
      <c r="P107" s="35"/>
      <c r="Q107" s="35">
        <v>0</v>
      </c>
      <c r="R107" s="35"/>
      <c r="S107" s="35">
        <v>0</v>
      </c>
      <c r="T107" s="35"/>
      <c r="U107" s="35">
        <v>0</v>
      </c>
      <c r="V107" s="35"/>
      <c r="W107" s="35">
        <f t="shared" si="24"/>
        <v>0</v>
      </c>
      <c r="X107" s="35"/>
      <c r="Y107" s="35" t="s">
        <v>138</v>
      </c>
      <c r="Z107" s="55"/>
      <c r="AA107" s="35" t="s">
        <v>139</v>
      </c>
      <c r="AB107" s="35"/>
      <c r="AC107" s="35">
        <v>0</v>
      </c>
      <c r="AD107" s="35"/>
      <c r="AE107" s="35">
        <v>0</v>
      </c>
      <c r="AF107" s="35"/>
      <c r="AG107" s="35">
        <v>0</v>
      </c>
      <c r="AH107" s="35"/>
      <c r="AI107" s="45">
        <f t="shared" ref="AI107:AI118" si="25">+AC107-AE107-AG107</f>
        <v>0</v>
      </c>
      <c r="AJ107" s="45"/>
      <c r="AK107" s="35">
        <v>0</v>
      </c>
      <c r="AL107" s="35"/>
      <c r="AM107" s="35">
        <v>0</v>
      </c>
      <c r="AN107" s="35"/>
      <c r="AO107" s="35">
        <v>0</v>
      </c>
      <c r="AP107" s="35"/>
      <c r="AQ107" s="35">
        <v>0</v>
      </c>
      <c r="AR107" s="35"/>
      <c r="AS107" s="45">
        <f t="shared" si="23"/>
        <v>0</v>
      </c>
      <c r="AT107" s="45"/>
      <c r="AU107" s="35">
        <v>0</v>
      </c>
      <c r="AV107" s="35"/>
      <c r="AW107" s="35">
        <v>0</v>
      </c>
      <c r="AX107" s="35"/>
      <c r="AY107" s="35">
        <f t="shared" si="19"/>
        <v>0</v>
      </c>
      <c r="AZ107" s="35"/>
      <c r="BA107" s="35" t="s">
        <v>138</v>
      </c>
      <c r="BB107" s="55"/>
      <c r="BC107" s="35" t="s">
        <v>139</v>
      </c>
      <c r="BD107" s="35"/>
      <c r="BE107" s="35">
        <v>0</v>
      </c>
      <c r="BF107" s="35"/>
      <c r="BG107" s="35">
        <v>0</v>
      </c>
      <c r="BH107" s="35"/>
      <c r="BI107" s="35">
        <v>0</v>
      </c>
      <c r="BJ107" s="35"/>
      <c r="BK107" s="35">
        <v>0</v>
      </c>
      <c r="BL107" s="35"/>
      <c r="BM107" s="35">
        <f t="shared" si="22"/>
        <v>0</v>
      </c>
      <c r="BN107" s="54" t="s">
        <v>347</v>
      </c>
    </row>
    <row r="108" spans="1:67" hidden="1">
      <c r="A108" s="35" t="s">
        <v>140</v>
      </c>
      <c r="C108" s="35" t="s">
        <v>66</v>
      </c>
      <c r="D108" s="35"/>
      <c r="E108" s="35">
        <f t="shared" si="17"/>
        <v>0</v>
      </c>
      <c r="F108" s="35"/>
      <c r="G108" s="35">
        <v>0</v>
      </c>
      <c r="H108" s="35"/>
      <c r="I108" s="35">
        <v>0</v>
      </c>
      <c r="J108" s="35"/>
      <c r="K108" s="35">
        <f t="shared" si="18"/>
        <v>0</v>
      </c>
      <c r="L108" s="35"/>
      <c r="M108" s="35">
        <v>0</v>
      </c>
      <c r="N108" s="35"/>
      <c r="O108" s="35">
        <v>0</v>
      </c>
      <c r="P108" s="35"/>
      <c r="Q108" s="35">
        <v>0</v>
      </c>
      <c r="R108" s="35"/>
      <c r="S108" s="35">
        <v>0</v>
      </c>
      <c r="T108" s="35"/>
      <c r="U108" s="35">
        <v>0</v>
      </c>
      <c r="V108" s="35"/>
      <c r="W108" s="35">
        <f t="shared" si="24"/>
        <v>0</v>
      </c>
      <c r="X108" s="35"/>
      <c r="Y108" s="35" t="s">
        <v>140</v>
      </c>
      <c r="Z108" s="55"/>
      <c r="AA108" s="35" t="s">
        <v>66</v>
      </c>
      <c r="AB108" s="35"/>
      <c r="AC108" s="35">
        <v>0</v>
      </c>
      <c r="AD108" s="35"/>
      <c r="AE108" s="35">
        <v>0</v>
      </c>
      <c r="AF108" s="35"/>
      <c r="AG108" s="35">
        <v>0</v>
      </c>
      <c r="AH108" s="35"/>
      <c r="AI108" s="45">
        <f t="shared" si="25"/>
        <v>0</v>
      </c>
      <c r="AJ108" s="45"/>
      <c r="AK108" s="35">
        <v>0</v>
      </c>
      <c r="AL108" s="35"/>
      <c r="AM108" s="35">
        <v>0</v>
      </c>
      <c r="AN108" s="35"/>
      <c r="AO108" s="35">
        <v>0</v>
      </c>
      <c r="AP108" s="35"/>
      <c r="AQ108" s="35">
        <v>0</v>
      </c>
      <c r="AR108" s="35"/>
      <c r="AS108" s="45">
        <v>0</v>
      </c>
      <c r="AT108" s="45"/>
      <c r="AU108" s="35">
        <v>0</v>
      </c>
      <c r="AV108" s="35"/>
      <c r="AW108" s="35">
        <v>0</v>
      </c>
      <c r="AX108" s="35"/>
      <c r="AY108" s="35">
        <v>0</v>
      </c>
      <c r="AZ108" s="35"/>
      <c r="BA108" s="35" t="s">
        <v>140</v>
      </c>
      <c r="BB108" s="55"/>
      <c r="BC108" s="35" t="s">
        <v>66</v>
      </c>
      <c r="BD108" s="35"/>
      <c r="BE108" s="35">
        <v>0</v>
      </c>
      <c r="BF108" s="35"/>
      <c r="BG108" s="35">
        <v>0</v>
      </c>
      <c r="BH108" s="35"/>
      <c r="BI108" s="35">
        <v>0</v>
      </c>
      <c r="BJ108" s="35"/>
      <c r="BK108" s="35">
        <v>0</v>
      </c>
      <c r="BL108" s="35"/>
      <c r="BM108" s="35">
        <f t="shared" si="22"/>
        <v>0</v>
      </c>
      <c r="BN108" s="54" t="s">
        <v>347</v>
      </c>
    </row>
    <row r="109" spans="1:67" hidden="1">
      <c r="A109" s="35" t="s">
        <v>141</v>
      </c>
      <c r="C109" s="35" t="s">
        <v>27</v>
      </c>
      <c r="D109" s="35"/>
      <c r="E109" s="35">
        <f t="shared" si="17"/>
        <v>0</v>
      </c>
      <c r="F109" s="35"/>
      <c r="G109" s="35">
        <v>0</v>
      </c>
      <c r="H109" s="35"/>
      <c r="I109" s="35">
        <v>0</v>
      </c>
      <c r="J109" s="35"/>
      <c r="K109" s="35">
        <f t="shared" si="18"/>
        <v>0</v>
      </c>
      <c r="L109" s="35"/>
      <c r="M109" s="35">
        <v>0</v>
      </c>
      <c r="N109" s="35"/>
      <c r="O109" s="35">
        <v>0</v>
      </c>
      <c r="P109" s="35"/>
      <c r="Q109" s="35">
        <v>0</v>
      </c>
      <c r="R109" s="35"/>
      <c r="S109" s="35">
        <v>0</v>
      </c>
      <c r="T109" s="35"/>
      <c r="U109" s="35">
        <v>0</v>
      </c>
      <c r="V109" s="35"/>
      <c r="W109" s="35">
        <f t="shared" si="24"/>
        <v>0</v>
      </c>
      <c r="X109" s="35"/>
      <c r="Y109" s="35" t="s">
        <v>141</v>
      </c>
      <c r="Z109" s="55"/>
      <c r="AA109" s="35" t="s">
        <v>27</v>
      </c>
      <c r="AB109" s="35"/>
      <c r="AC109" s="35">
        <v>0</v>
      </c>
      <c r="AD109" s="35"/>
      <c r="AE109" s="35">
        <v>0</v>
      </c>
      <c r="AF109" s="35"/>
      <c r="AG109" s="35">
        <v>0</v>
      </c>
      <c r="AH109" s="35"/>
      <c r="AI109" s="45">
        <f t="shared" si="25"/>
        <v>0</v>
      </c>
      <c r="AJ109" s="45"/>
      <c r="AK109" s="35">
        <v>0</v>
      </c>
      <c r="AL109" s="35"/>
      <c r="AM109" s="35">
        <v>0</v>
      </c>
      <c r="AN109" s="35"/>
      <c r="AO109" s="35">
        <v>0</v>
      </c>
      <c r="AP109" s="35"/>
      <c r="AQ109" s="35">
        <v>0</v>
      </c>
      <c r="AR109" s="35"/>
      <c r="AS109" s="45">
        <f t="shared" ref="AS109:AS172" si="26">+AI109+AK109+AM109-AO109+AQ109</f>
        <v>0</v>
      </c>
      <c r="AT109" s="45"/>
      <c r="AU109" s="35">
        <v>0</v>
      </c>
      <c r="AV109" s="35"/>
      <c r="AW109" s="35">
        <v>0</v>
      </c>
      <c r="AX109" s="35"/>
      <c r="AY109" s="35">
        <f t="shared" ref="AY109:AY172" si="27">+E109-K109</f>
        <v>0</v>
      </c>
      <c r="AZ109" s="35"/>
      <c r="BA109" s="35" t="s">
        <v>141</v>
      </c>
      <c r="BB109" s="55"/>
      <c r="BC109" s="35" t="s">
        <v>27</v>
      </c>
      <c r="BD109" s="35"/>
      <c r="BE109" s="35">
        <v>0</v>
      </c>
      <c r="BF109" s="35"/>
      <c r="BG109" s="35">
        <v>0</v>
      </c>
      <c r="BH109" s="35"/>
      <c r="BI109" s="35">
        <v>0</v>
      </c>
      <c r="BJ109" s="35"/>
      <c r="BK109" s="35">
        <v>0</v>
      </c>
      <c r="BL109" s="35"/>
      <c r="BM109" s="35">
        <f t="shared" si="22"/>
        <v>0</v>
      </c>
      <c r="BN109" s="54" t="s">
        <v>347</v>
      </c>
      <c r="BO109" s="55" t="s">
        <v>372</v>
      </c>
    </row>
    <row r="110" spans="1:67">
      <c r="A110" s="35" t="s">
        <v>142</v>
      </c>
      <c r="C110" s="35" t="s">
        <v>102</v>
      </c>
      <c r="D110" s="35"/>
      <c r="E110" s="35">
        <f t="shared" si="17"/>
        <v>3186740</v>
      </c>
      <c r="F110" s="35"/>
      <c r="G110" s="35">
        <v>1736228</v>
      </c>
      <c r="H110" s="35"/>
      <c r="I110" s="35">
        <v>4922968</v>
      </c>
      <c r="J110" s="35"/>
      <c r="K110" s="35">
        <f t="shared" si="18"/>
        <v>581612</v>
      </c>
      <c r="L110" s="35"/>
      <c r="M110" s="35">
        <v>3783979</v>
      </c>
      <c r="N110" s="35"/>
      <c r="O110" s="35">
        <v>4365591</v>
      </c>
      <c r="P110" s="35"/>
      <c r="Q110" s="35">
        <v>1212960</v>
      </c>
      <c r="R110" s="35"/>
      <c r="S110" s="35">
        <v>0</v>
      </c>
      <c r="T110" s="35"/>
      <c r="U110" s="35">
        <v>-655583</v>
      </c>
      <c r="V110" s="35"/>
      <c r="W110" s="35">
        <f t="shared" si="24"/>
        <v>557377</v>
      </c>
      <c r="X110" s="35"/>
      <c r="Y110" s="35" t="s">
        <v>142</v>
      </c>
      <c r="Z110" s="55"/>
      <c r="AA110" s="35" t="s">
        <v>102</v>
      </c>
      <c r="AB110" s="35"/>
      <c r="AC110" s="35">
        <v>3592904</v>
      </c>
      <c r="AD110" s="35"/>
      <c r="AE110" s="35">
        <f>3243904-176143</f>
        <v>3067761</v>
      </c>
      <c r="AF110" s="35"/>
      <c r="AG110" s="35">
        <v>176143</v>
      </c>
      <c r="AH110" s="35"/>
      <c r="AI110" s="45">
        <f t="shared" si="25"/>
        <v>349000</v>
      </c>
      <c r="AJ110" s="45"/>
      <c r="AK110" s="35">
        <v>-81282</v>
      </c>
      <c r="AL110" s="35"/>
      <c r="AM110" s="35">
        <v>0</v>
      </c>
      <c r="AN110" s="35"/>
      <c r="AO110" s="35">
        <v>0</v>
      </c>
      <c r="AP110" s="35"/>
      <c r="AQ110" s="35">
        <v>0</v>
      </c>
      <c r="AR110" s="35"/>
      <c r="AS110" s="45">
        <f t="shared" si="26"/>
        <v>267718</v>
      </c>
      <c r="AT110" s="45"/>
      <c r="AU110" s="35">
        <v>0</v>
      </c>
      <c r="AV110" s="35"/>
      <c r="AW110" s="35">
        <v>0</v>
      </c>
      <c r="AX110" s="35"/>
      <c r="AY110" s="35">
        <f t="shared" si="27"/>
        <v>2605128</v>
      </c>
      <c r="AZ110" s="35"/>
      <c r="BA110" s="35" t="s">
        <v>142</v>
      </c>
      <c r="BB110" s="55"/>
      <c r="BC110" s="35" t="s">
        <v>102</v>
      </c>
      <c r="BD110" s="35"/>
      <c r="BE110" s="35">
        <v>0</v>
      </c>
      <c r="BF110" s="35"/>
      <c r="BG110" s="35">
        <v>0</v>
      </c>
      <c r="BH110" s="35"/>
      <c r="BI110" s="35">
        <f>1965851+204962</f>
        <v>2170813</v>
      </c>
      <c r="BJ110" s="35"/>
      <c r="BK110" s="35">
        <f>78600+70539+1536723+281405</f>
        <v>1967267</v>
      </c>
      <c r="BL110" s="35"/>
      <c r="BM110" s="35">
        <f t="shared" si="22"/>
        <v>4138080</v>
      </c>
      <c r="BN110" s="54" t="s">
        <v>347</v>
      </c>
      <c r="BO110" s="55" t="s">
        <v>372</v>
      </c>
    </row>
    <row r="111" spans="1:67">
      <c r="A111" s="35" t="s">
        <v>143</v>
      </c>
      <c r="C111" s="35" t="s">
        <v>111</v>
      </c>
      <c r="D111" s="35"/>
      <c r="E111" s="35">
        <f t="shared" si="17"/>
        <v>497654</v>
      </c>
      <c r="F111" s="35"/>
      <c r="G111" s="35">
        <v>160867</v>
      </c>
      <c r="H111" s="35"/>
      <c r="I111" s="35">
        <v>658521</v>
      </c>
      <c r="J111" s="35"/>
      <c r="K111" s="35">
        <f t="shared" si="18"/>
        <v>102979</v>
      </c>
      <c r="L111" s="35"/>
      <c r="M111" s="35">
        <v>0</v>
      </c>
      <c r="N111" s="35"/>
      <c r="O111" s="35">
        <v>102979</v>
      </c>
      <c r="P111" s="35"/>
      <c r="Q111" s="35">
        <v>160867</v>
      </c>
      <c r="R111" s="35"/>
      <c r="S111" s="35">
        <v>0</v>
      </c>
      <c r="T111" s="35"/>
      <c r="U111" s="35">
        <v>394675</v>
      </c>
      <c r="V111" s="35"/>
      <c r="W111" s="35">
        <f t="shared" si="24"/>
        <v>555542</v>
      </c>
      <c r="X111" s="35"/>
      <c r="Y111" s="35" t="s">
        <v>143</v>
      </c>
      <c r="Z111" s="55"/>
      <c r="AA111" s="35" t="s">
        <v>111</v>
      </c>
      <c r="AB111" s="35"/>
      <c r="AC111" s="35">
        <v>1355171</v>
      </c>
      <c r="AD111" s="35"/>
      <c r="AE111" s="35">
        <f>1368365-17810</f>
        <v>1350555</v>
      </c>
      <c r="AF111" s="35"/>
      <c r="AG111" s="35">
        <v>17810</v>
      </c>
      <c r="AH111" s="35"/>
      <c r="AI111" s="45">
        <f t="shared" si="25"/>
        <v>-13194</v>
      </c>
      <c r="AJ111" s="45"/>
      <c r="AK111" s="35">
        <v>13928</v>
      </c>
      <c r="AL111" s="35"/>
      <c r="AM111" s="35">
        <v>5247</v>
      </c>
      <c r="AN111" s="35"/>
      <c r="AO111" s="35">
        <v>0</v>
      </c>
      <c r="AP111" s="35"/>
      <c r="AQ111" s="35">
        <v>0</v>
      </c>
      <c r="AR111" s="35"/>
      <c r="AS111" s="45">
        <f t="shared" si="26"/>
        <v>5981</v>
      </c>
      <c r="AT111" s="45"/>
      <c r="AU111" s="35">
        <v>0</v>
      </c>
      <c r="AV111" s="35"/>
      <c r="AW111" s="35">
        <v>0</v>
      </c>
      <c r="AX111" s="35"/>
      <c r="AY111" s="35">
        <f t="shared" si="27"/>
        <v>394675</v>
      </c>
      <c r="AZ111" s="35"/>
      <c r="BA111" s="35" t="s">
        <v>143</v>
      </c>
      <c r="BB111" s="55"/>
      <c r="BC111" s="35" t="s">
        <v>111</v>
      </c>
      <c r="BD111" s="35"/>
      <c r="BE111" s="35">
        <v>0</v>
      </c>
      <c r="BF111" s="35"/>
      <c r="BG111" s="35">
        <v>0</v>
      </c>
      <c r="BH111" s="35"/>
      <c r="BI111" s="35">
        <v>0</v>
      </c>
      <c r="BJ111" s="35"/>
      <c r="BK111" s="35">
        <v>326</v>
      </c>
      <c r="BL111" s="35"/>
      <c r="BM111" s="35">
        <f t="shared" si="22"/>
        <v>326</v>
      </c>
      <c r="BN111" s="54" t="s">
        <v>347</v>
      </c>
      <c r="BO111" s="55" t="s">
        <v>315</v>
      </c>
    </row>
    <row r="112" spans="1:67">
      <c r="A112" s="35" t="s">
        <v>144</v>
      </c>
      <c r="C112" s="35" t="s">
        <v>88</v>
      </c>
      <c r="D112" s="35"/>
      <c r="E112" s="35">
        <f t="shared" si="17"/>
        <v>27606457</v>
      </c>
      <c r="F112" s="35"/>
      <c r="G112" s="35">
        <v>69269778</v>
      </c>
      <c r="H112" s="35"/>
      <c r="I112" s="35">
        <v>96876235</v>
      </c>
      <c r="J112" s="35"/>
      <c r="K112" s="35">
        <f t="shared" si="18"/>
        <v>199028</v>
      </c>
      <c r="L112" s="35"/>
      <c r="M112" s="35">
        <v>16354</v>
      </c>
      <c r="N112" s="35"/>
      <c r="O112" s="35">
        <v>215382</v>
      </c>
      <c r="P112" s="35"/>
      <c r="Q112" s="35">
        <v>0</v>
      </c>
      <c r="R112" s="35"/>
      <c r="S112" s="35">
        <v>0</v>
      </c>
      <c r="T112" s="35"/>
      <c r="U112" s="35">
        <v>896086</v>
      </c>
      <c r="V112" s="35"/>
      <c r="W112" s="35">
        <f t="shared" si="24"/>
        <v>896086</v>
      </c>
      <c r="X112" s="35"/>
      <c r="Y112" s="35" t="s">
        <v>144</v>
      </c>
      <c r="Z112" s="55"/>
      <c r="AA112" s="35" t="s">
        <v>88</v>
      </c>
      <c r="AB112" s="35"/>
      <c r="AC112" s="35">
        <v>2464432</v>
      </c>
      <c r="AD112" s="35"/>
      <c r="AE112" s="35">
        <v>2481930</v>
      </c>
      <c r="AF112" s="35"/>
      <c r="AG112" s="35">
        <v>0</v>
      </c>
      <c r="AH112" s="35"/>
      <c r="AI112" s="45">
        <f t="shared" si="25"/>
        <v>-17498</v>
      </c>
      <c r="AJ112" s="45"/>
      <c r="AK112" s="35">
        <v>0</v>
      </c>
      <c r="AL112" s="35"/>
      <c r="AM112" s="35">
        <v>0</v>
      </c>
      <c r="AN112" s="35"/>
      <c r="AO112" s="35">
        <v>0</v>
      </c>
      <c r="AP112" s="35"/>
      <c r="AQ112" s="35">
        <v>0</v>
      </c>
      <c r="AR112" s="35"/>
      <c r="AS112" s="45">
        <f t="shared" si="26"/>
        <v>-17498</v>
      </c>
      <c r="AT112" s="45"/>
      <c r="AU112" s="35">
        <v>0</v>
      </c>
      <c r="AV112" s="35"/>
      <c r="AW112" s="35">
        <v>0</v>
      </c>
      <c r="AX112" s="35"/>
      <c r="AY112" s="35">
        <f t="shared" si="27"/>
        <v>27407429</v>
      </c>
      <c r="AZ112" s="35"/>
      <c r="BA112" s="35" t="s">
        <v>144</v>
      </c>
      <c r="BB112" s="55"/>
      <c r="BC112" s="35" t="s">
        <v>88</v>
      </c>
      <c r="BD112" s="35"/>
      <c r="BE112" s="35">
        <v>0</v>
      </c>
      <c r="BF112" s="35"/>
      <c r="BG112" s="35">
        <v>0</v>
      </c>
      <c r="BH112" s="35"/>
      <c r="BI112" s="35">
        <v>0</v>
      </c>
      <c r="BJ112" s="35"/>
      <c r="BK112" s="35">
        <v>16354</v>
      </c>
      <c r="BL112" s="35"/>
      <c r="BM112" s="35">
        <f t="shared" si="22"/>
        <v>16354</v>
      </c>
      <c r="BN112" s="54" t="s">
        <v>347</v>
      </c>
    </row>
    <row r="113" spans="1:66" hidden="1">
      <c r="A113" s="35" t="s">
        <v>36</v>
      </c>
      <c r="C113" s="35" t="s">
        <v>145</v>
      </c>
      <c r="D113" s="35"/>
      <c r="E113" s="35">
        <f t="shared" si="17"/>
        <v>0</v>
      </c>
      <c r="F113" s="35"/>
      <c r="G113" s="35">
        <v>0</v>
      </c>
      <c r="H113" s="35"/>
      <c r="I113" s="35">
        <v>0</v>
      </c>
      <c r="J113" s="35"/>
      <c r="K113" s="35">
        <f t="shared" si="18"/>
        <v>0</v>
      </c>
      <c r="L113" s="35"/>
      <c r="M113" s="35">
        <v>0</v>
      </c>
      <c r="N113" s="35"/>
      <c r="O113" s="35">
        <v>0</v>
      </c>
      <c r="P113" s="35"/>
      <c r="Q113" s="35">
        <v>0</v>
      </c>
      <c r="R113" s="35"/>
      <c r="S113" s="35">
        <v>0</v>
      </c>
      <c r="T113" s="35"/>
      <c r="U113" s="35">
        <v>0</v>
      </c>
      <c r="V113" s="35"/>
      <c r="W113" s="35">
        <f t="shared" si="24"/>
        <v>0</v>
      </c>
      <c r="X113" s="35"/>
      <c r="Y113" s="35" t="s">
        <v>36</v>
      </c>
      <c r="Z113" s="55"/>
      <c r="AA113" s="35" t="s">
        <v>145</v>
      </c>
      <c r="AB113" s="35"/>
      <c r="AC113" s="35">
        <v>0</v>
      </c>
      <c r="AD113" s="35"/>
      <c r="AE113" s="35">
        <v>0</v>
      </c>
      <c r="AF113" s="35"/>
      <c r="AG113" s="35">
        <v>0</v>
      </c>
      <c r="AH113" s="35"/>
      <c r="AI113" s="45">
        <f t="shared" si="25"/>
        <v>0</v>
      </c>
      <c r="AJ113" s="45"/>
      <c r="AK113" s="35">
        <v>0</v>
      </c>
      <c r="AL113" s="35"/>
      <c r="AM113" s="35">
        <v>0</v>
      </c>
      <c r="AN113" s="35"/>
      <c r="AO113" s="35">
        <v>0</v>
      </c>
      <c r="AP113" s="35"/>
      <c r="AQ113" s="35">
        <v>0</v>
      </c>
      <c r="AR113" s="35"/>
      <c r="AS113" s="45">
        <f t="shared" si="26"/>
        <v>0</v>
      </c>
      <c r="AT113" s="45"/>
      <c r="AU113" s="35">
        <v>0</v>
      </c>
      <c r="AV113" s="35"/>
      <c r="AW113" s="35">
        <v>0</v>
      </c>
      <c r="AX113" s="35"/>
      <c r="AY113" s="35">
        <f t="shared" si="27"/>
        <v>0</v>
      </c>
      <c r="AZ113" s="35"/>
      <c r="BA113" s="35" t="s">
        <v>36</v>
      </c>
      <c r="BB113" s="55"/>
      <c r="BC113" s="35" t="s">
        <v>145</v>
      </c>
      <c r="BD113" s="35"/>
      <c r="BE113" s="35">
        <v>0</v>
      </c>
      <c r="BF113" s="35"/>
      <c r="BG113" s="35">
        <v>0</v>
      </c>
      <c r="BH113" s="35"/>
      <c r="BI113" s="35">
        <v>0</v>
      </c>
      <c r="BJ113" s="35"/>
      <c r="BK113" s="35">
        <v>0</v>
      </c>
      <c r="BL113" s="35"/>
      <c r="BM113" s="35">
        <f t="shared" si="22"/>
        <v>0</v>
      </c>
      <c r="BN113" s="54" t="s">
        <v>347</v>
      </c>
    </row>
    <row r="114" spans="1:66">
      <c r="A114" s="35" t="s">
        <v>146</v>
      </c>
      <c r="C114" s="35" t="s">
        <v>147</v>
      </c>
      <c r="D114" s="35"/>
      <c r="E114" s="35">
        <f t="shared" si="17"/>
        <v>1086748</v>
      </c>
      <c r="F114" s="35"/>
      <c r="G114" s="35">
        <v>677829</v>
      </c>
      <c r="H114" s="35"/>
      <c r="I114" s="35">
        <v>1764577</v>
      </c>
      <c r="J114" s="35"/>
      <c r="K114" s="35">
        <f t="shared" si="18"/>
        <v>81450</v>
      </c>
      <c r="L114" s="35"/>
      <c r="M114" s="35">
        <v>54390</v>
      </c>
      <c r="N114" s="35"/>
      <c r="O114" s="35">
        <v>135840</v>
      </c>
      <c r="P114" s="35"/>
      <c r="Q114" s="35">
        <v>610031</v>
      </c>
      <c r="R114" s="35"/>
      <c r="S114" s="35">
        <v>0</v>
      </c>
      <c r="T114" s="35"/>
      <c r="U114" s="35">
        <v>1018706</v>
      </c>
      <c r="V114" s="35"/>
      <c r="W114" s="35">
        <f t="shared" si="24"/>
        <v>1628737</v>
      </c>
      <c r="X114" s="35"/>
      <c r="Y114" s="35" t="s">
        <v>146</v>
      </c>
      <c r="Z114" s="55"/>
      <c r="AA114" s="35" t="s">
        <v>147</v>
      </c>
      <c r="AB114" s="35"/>
      <c r="AC114" s="35">
        <v>903151</v>
      </c>
      <c r="AD114" s="35"/>
      <c r="AE114" s="35">
        <f>821351-54940</f>
        <v>766411</v>
      </c>
      <c r="AF114" s="35"/>
      <c r="AG114" s="35">
        <v>54940</v>
      </c>
      <c r="AH114" s="35"/>
      <c r="AI114" s="45">
        <f t="shared" si="25"/>
        <v>81800</v>
      </c>
      <c r="AJ114" s="45"/>
      <c r="AK114" s="35">
        <v>23373</v>
      </c>
      <c r="AL114" s="35"/>
      <c r="AM114" s="35">
        <v>0</v>
      </c>
      <c r="AN114" s="35"/>
      <c r="AO114" s="35">
        <v>0</v>
      </c>
      <c r="AP114" s="35"/>
      <c r="AQ114" s="35">
        <v>0</v>
      </c>
      <c r="AR114" s="35"/>
      <c r="AS114" s="45">
        <f t="shared" si="26"/>
        <v>105173</v>
      </c>
      <c r="AT114" s="45"/>
      <c r="AU114" s="35">
        <v>0</v>
      </c>
      <c r="AV114" s="35"/>
      <c r="AW114" s="35">
        <v>0</v>
      </c>
      <c r="AX114" s="35"/>
      <c r="AY114" s="35">
        <f t="shared" si="27"/>
        <v>1005298</v>
      </c>
      <c r="AZ114" s="35"/>
      <c r="BA114" s="35" t="s">
        <v>146</v>
      </c>
      <c r="BB114" s="55"/>
      <c r="BC114" s="35" t="s">
        <v>147</v>
      </c>
      <c r="BD114" s="35"/>
      <c r="BE114" s="35">
        <v>0</v>
      </c>
      <c r="BF114" s="35"/>
      <c r="BG114" s="35">
        <v>0</v>
      </c>
      <c r="BH114" s="35"/>
      <c r="BI114" s="35">
        <v>0</v>
      </c>
      <c r="BJ114" s="35"/>
      <c r="BK114" s="35">
        <f>9521+44869+1058+22929</f>
        <v>78377</v>
      </c>
      <c r="BL114" s="35"/>
      <c r="BM114" s="35">
        <f t="shared" si="22"/>
        <v>78377</v>
      </c>
      <c r="BN114" s="54" t="s">
        <v>347</v>
      </c>
    </row>
    <row r="115" spans="1:66" hidden="1">
      <c r="A115" s="35" t="s">
        <v>17</v>
      </c>
      <c r="C115" s="35" t="s">
        <v>17</v>
      </c>
      <c r="D115" s="35"/>
      <c r="E115" s="35">
        <f t="shared" si="17"/>
        <v>0</v>
      </c>
      <c r="F115" s="35"/>
      <c r="G115" s="35">
        <v>0</v>
      </c>
      <c r="H115" s="35"/>
      <c r="I115" s="35">
        <v>0</v>
      </c>
      <c r="J115" s="35"/>
      <c r="K115" s="35">
        <f t="shared" si="18"/>
        <v>0</v>
      </c>
      <c r="L115" s="35"/>
      <c r="M115" s="35">
        <v>0</v>
      </c>
      <c r="N115" s="35"/>
      <c r="O115" s="35">
        <v>0</v>
      </c>
      <c r="P115" s="35"/>
      <c r="Q115" s="35">
        <v>0</v>
      </c>
      <c r="R115" s="35"/>
      <c r="S115" s="35">
        <v>0</v>
      </c>
      <c r="T115" s="35"/>
      <c r="U115" s="35">
        <v>0</v>
      </c>
      <c r="V115" s="35"/>
      <c r="W115" s="35">
        <f t="shared" si="24"/>
        <v>0</v>
      </c>
      <c r="X115" s="35"/>
      <c r="Y115" s="35" t="s">
        <v>17</v>
      </c>
      <c r="Z115" s="55"/>
      <c r="AA115" s="35" t="s">
        <v>17</v>
      </c>
      <c r="AB115" s="35"/>
      <c r="AC115" s="35">
        <v>0</v>
      </c>
      <c r="AD115" s="35"/>
      <c r="AE115" s="35">
        <v>0</v>
      </c>
      <c r="AF115" s="35"/>
      <c r="AG115" s="35">
        <v>0</v>
      </c>
      <c r="AH115" s="35"/>
      <c r="AI115" s="45">
        <f t="shared" si="25"/>
        <v>0</v>
      </c>
      <c r="AJ115" s="45"/>
      <c r="AK115" s="35">
        <v>0</v>
      </c>
      <c r="AL115" s="35"/>
      <c r="AM115" s="35">
        <v>0</v>
      </c>
      <c r="AN115" s="35"/>
      <c r="AO115" s="35">
        <v>0</v>
      </c>
      <c r="AP115" s="35"/>
      <c r="AQ115" s="35">
        <v>0</v>
      </c>
      <c r="AR115" s="35"/>
      <c r="AS115" s="45">
        <f t="shared" si="26"/>
        <v>0</v>
      </c>
      <c r="AT115" s="45"/>
      <c r="AU115" s="35">
        <v>0</v>
      </c>
      <c r="AV115" s="35"/>
      <c r="AW115" s="35">
        <v>0</v>
      </c>
      <c r="AX115" s="35"/>
      <c r="AY115" s="35">
        <f t="shared" si="27"/>
        <v>0</v>
      </c>
      <c r="AZ115" s="35"/>
      <c r="BA115" s="35" t="s">
        <v>17</v>
      </c>
      <c r="BB115" s="55"/>
      <c r="BC115" s="35" t="s">
        <v>17</v>
      </c>
      <c r="BD115" s="35"/>
      <c r="BE115" s="35">
        <v>0</v>
      </c>
      <c r="BF115" s="35"/>
      <c r="BG115" s="35">
        <v>0</v>
      </c>
      <c r="BH115" s="35"/>
      <c r="BI115" s="35">
        <v>0</v>
      </c>
      <c r="BJ115" s="35"/>
      <c r="BK115" s="35">
        <v>0</v>
      </c>
      <c r="BL115" s="35"/>
      <c r="BM115" s="35">
        <f t="shared" si="22"/>
        <v>0</v>
      </c>
      <c r="BN115" s="54" t="s">
        <v>347</v>
      </c>
    </row>
    <row r="116" spans="1:66" hidden="1">
      <c r="A116" s="35" t="s">
        <v>148</v>
      </c>
      <c r="C116" s="35" t="s">
        <v>15</v>
      </c>
      <c r="D116" s="35"/>
      <c r="E116" s="35">
        <f t="shared" si="17"/>
        <v>0</v>
      </c>
      <c r="F116" s="35"/>
      <c r="G116" s="35">
        <v>0</v>
      </c>
      <c r="H116" s="35"/>
      <c r="I116" s="35">
        <v>0</v>
      </c>
      <c r="J116" s="35"/>
      <c r="K116" s="35">
        <f t="shared" si="18"/>
        <v>0</v>
      </c>
      <c r="L116" s="35"/>
      <c r="M116" s="35">
        <v>0</v>
      </c>
      <c r="N116" s="35"/>
      <c r="O116" s="35">
        <v>0</v>
      </c>
      <c r="P116" s="35"/>
      <c r="Q116" s="35">
        <v>0</v>
      </c>
      <c r="R116" s="35"/>
      <c r="S116" s="35">
        <v>0</v>
      </c>
      <c r="T116" s="35"/>
      <c r="U116" s="35">
        <v>0</v>
      </c>
      <c r="V116" s="35"/>
      <c r="W116" s="35">
        <f t="shared" si="24"/>
        <v>0</v>
      </c>
      <c r="X116" s="35"/>
      <c r="Y116" s="35" t="s">
        <v>148</v>
      </c>
      <c r="Z116" s="55"/>
      <c r="AA116" s="35" t="s">
        <v>15</v>
      </c>
      <c r="AB116" s="35"/>
      <c r="AC116" s="35">
        <v>0</v>
      </c>
      <c r="AD116" s="35"/>
      <c r="AE116" s="35">
        <v>0</v>
      </c>
      <c r="AF116" s="35"/>
      <c r="AG116" s="35">
        <v>0</v>
      </c>
      <c r="AH116" s="35"/>
      <c r="AI116" s="45">
        <f t="shared" si="25"/>
        <v>0</v>
      </c>
      <c r="AJ116" s="45"/>
      <c r="AK116" s="35">
        <v>0</v>
      </c>
      <c r="AL116" s="35"/>
      <c r="AM116" s="35">
        <v>0</v>
      </c>
      <c r="AN116" s="35"/>
      <c r="AO116" s="35">
        <v>0</v>
      </c>
      <c r="AP116" s="35"/>
      <c r="AQ116" s="35">
        <v>0</v>
      </c>
      <c r="AR116" s="35"/>
      <c r="AS116" s="45">
        <f t="shared" si="26"/>
        <v>0</v>
      </c>
      <c r="AT116" s="45"/>
      <c r="AU116" s="35">
        <v>0</v>
      </c>
      <c r="AV116" s="35"/>
      <c r="AW116" s="35">
        <v>0</v>
      </c>
      <c r="AX116" s="35"/>
      <c r="AY116" s="35">
        <f t="shared" si="27"/>
        <v>0</v>
      </c>
      <c r="AZ116" s="35"/>
      <c r="BA116" s="35" t="s">
        <v>148</v>
      </c>
      <c r="BB116" s="55"/>
      <c r="BC116" s="35" t="s">
        <v>15</v>
      </c>
      <c r="BD116" s="35"/>
      <c r="BE116" s="35">
        <v>0</v>
      </c>
      <c r="BF116" s="35"/>
      <c r="BG116" s="35">
        <v>0</v>
      </c>
      <c r="BH116" s="35"/>
      <c r="BI116" s="35">
        <v>0</v>
      </c>
      <c r="BJ116" s="35"/>
      <c r="BK116" s="35">
        <v>0</v>
      </c>
      <c r="BL116" s="35"/>
      <c r="BM116" s="35">
        <f t="shared" si="22"/>
        <v>0</v>
      </c>
      <c r="BN116" s="54" t="s">
        <v>347</v>
      </c>
    </row>
    <row r="117" spans="1:66">
      <c r="A117" s="35" t="s">
        <v>149</v>
      </c>
      <c r="C117" s="35" t="s">
        <v>45</v>
      </c>
      <c r="D117" s="35"/>
      <c r="E117" s="35">
        <f t="shared" si="17"/>
        <v>232848</v>
      </c>
      <c r="F117" s="35"/>
      <c r="G117" s="35">
        <v>24090</v>
      </c>
      <c r="H117" s="35"/>
      <c r="I117" s="35">
        <v>256938</v>
      </c>
      <c r="J117" s="35"/>
      <c r="K117" s="35">
        <f t="shared" si="18"/>
        <v>63362</v>
      </c>
      <c r="L117" s="35"/>
      <c r="M117" s="35">
        <f>97757+23088+40800</f>
        <v>161645</v>
      </c>
      <c r="N117" s="35"/>
      <c r="O117" s="35">
        <v>225007</v>
      </c>
      <c r="P117" s="35"/>
      <c r="Q117" s="35">
        <v>0</v>
      </c>
      <c r="R117" s="35"/>
      <c r="S117" s="35">
        <v>0</v>
      </c>
      <c r="T117" s="35"/>
      <c r="U117" s="35">
        <v>31931</v>
      </c>
      <c r="V117" s="35"/>
      <c r="W117" s="35">
        <f t="shared" si="24"/>
        <v>31931</v>
      </c>
      <c r="X117" s="35"/>
      <c r="Y117" s="35" t="s">
        <v>149</v>
      </c>
      <c r="Z117" s="55"/>
      <c r="AA117" s="35" t="s">
        <v>45</v>
      </c>
      <c r="AB117" s="35"/>
      <c r="AC117" s="35">
        <v>948542</v>
      </c>
      <c r="AD117" s="35"/>
      <c r="AE117" s="35">
        <f>1129292-1785</f>
        <v>1127507</v>
      </c>
      <c r="AF117" s="35"/>
      <c r="AG117" s="35">
        <v>1785</v>
      </c>
      <c r="AH117" s="35"/>
      <c r="AI117" s="45">
        <f t="shared" si="25"/>
        <v>-180750</v>
      </c>
      <c r="AJ117" s="45"/>
      <c r="AK117" s="35">
        <v>106042</v>
      </c>
      <c r="AL117" s="35"/>
      <c r="AM117" s="35">
        <v>0</v>
      </c>
      <c r="AN117" s="35"/>
      <c r="AO117" s="35">
        <v>7000</v>
      </c>
      <c r="AP117" s="35"/>
      <c r="AQ117" s="35">
        <v>0</v>
      </c>
      <c r="AR117" s="35"/>
      <c r="AS117" s="45">
        <f t="shared" si="26"/>
        <v>-81708</v>
      </c>
      <c r="AT117" s="45"/>
      <c r="AU117" s="35">
        <v>0</v>
      </c>
      <c r="AV117" s="35"/>
      <c r="AW117" s="35">
        <v>0</v>
      </c>
      <c r="AX117" s="35"/>
      <c r="AY117" s="35">
        <f t="shared" si="27"/>
        <v>169486</v>
      </c>
      <c r="AZ117" s="35"/>
      <c r="BA117" s="35" t="s">
        <v>149</v>
      </c>
      <c r="BB117" s="55"/>
      <c r="BC117" s="35" t="s">
        <v>45</v>
      </c>
      <c r="BD117" s="35"/>
      <c r="BE117" s="35">
        <v>40800</v>
      </c>
      <c r="BF117" s="35"/>
      <c r="BG117" s="35">
        <v>0</v>
      </c>
      <c r="BH117" s="35"/>
      <c r="BI117" s="35">
        <v>0</v>
      </c>
      <c r="BJ117" s="35"/>
      <c r="BK117" s="35">
        <f>97757+23088</f>
        <v>120845</v>
      </c>
      <c r="BL117" s="35"/>
      <c r="BM117" s="35">
        <f t="shared" si="22"/>
        <v>161645</v>
      </c>
      <c r="BN117" s="54" t="s">
        <v>347</v>
      </c>
    </row>
    <row r="118" spans="1:66" hidden="1">
      <c r="A118" s="35" t="s">
        <v>150</v>
      </c>
      <c r="C118" s="35" t="s">
        <v>27</v>
      </c>
      <c r="D118" s="35"/>
      <c r="E118" s="35">
        <f t="shared" si="17"/>
        <v>0</v>
      </c>
      <c r="F118" s="35"/>
      <c r="G118" s="35">
        <v>0</v>
      </c>
      <c r="H118" s="35"/>
      <c r="I118" s="35">
        <v>0</v>
      </c>
      <c r="J118" s="35"/>
      <c r="K118" s="35">
        <f t="shared" si="18"/>
        <v>0</v>
      </c>
      <c r="L118" s="35"/>
      <c r="M118" s="35">
        <v>0</v>
      </c>
      <c r="N118" s="35"/>
      <c r="O118" s="35">
        <v>0</v>
      </c>
      <c r="P118" s="35"/>
      <c r="Q118" s="35">
        <v>0</v>
      </c>
      <c r="R118" s="35"/>
      <c r="S118" s="35">
        <v>0</v>
      </c>
      <c r="T118" s="35"/>
      <c r="U118" s="35">
        <v>0</v>
      </c>
      <c r="V118" s="35"/>
      <c r="W118" s="35">
        <f t="shared" si="24"/>
        <v>0</v>
      </c>
      <c r="X118" s="35"/>
      <c r="Y118" s="35" t="s">
        <v>150</v>
      </c>
      <c r="Z118" s="55"/>
      <c r="AA118" s="35" t="s">
        <v>27</v>
      </c>
      <c r="AB118" s="35"/>
      <c r="AC118" s="35">
        <v>0</v>
      </c>
      <c r="AD118" s="35"/>
      <c r="AE118" s="35">
        <v>0</v>
      </c>
      <c r="AF118" s="35"/>
      <c r="AG118" s="35">
        <v>0</v>
      </c>
      <c r="AH118" s="35"/>
      <c r="AI118" s="45">
        <f t="shared" si="25"/>
        <v>0</v>
      </c>
      <c r="AJ118" s="45"/>
      <c r="AK118" s="35">
        <v>0</v>
      </c>
      <c r="AL118" s="35"/>
      <c r="AM118" s="35">
        <v>0</v>
      </c>
      <c r="AN118" s="35"/>
      <c r="AO118" s="35">
        <v>0</v>
      </c>
      <c r="AP118" s="35"/>
      <c r="AQ118" s="35">
        <v>0</v>
      </c>
      <c r="AR118" s="35"/>
      <c r="AS118" s="45">
        <f t="shared" si="26"/>
        <v>0</v>
      </c>
      <c r="AT118" s="45"/>
      <c r="AU118" s="35">
        <v>0</v>
      </c>
      <c r="AV118" s="35"/>
      <c r="AW118" s="35">
        <v>0</v>
      </c>
      <c r="AX118" s="35"/>
      <c r="AY118" s="35">
        <f t="shared" si="27"/>
        <v>0</v>
      </c>
      <c r="AZ118" s="35"/>
      <c r="BA118" s="35" t="s">
        <v>150</v>
      </c>
      <c r="BB118" s="55"/>
      <c r="BC118" s="35" t="s">
        <v>27</v>
      </c>
      <c r="BD118" s="35"/>
      <c r="BE118" s="35">
        <v>0</v>
      </c>
      <c r="BF118" s="35"/>
      <c r="BG118" s="35">
        <v>0</v>
      </c>
      <c r="BH118" s="35"/>
      <c r="BI118" s="35">
        <v>0</v>
      </c>
      <c r="BJ118" s="35"/>
      <c r="BK118" s="35">
        <v>0</v>
      </c>
      <c r="BL118" s="35"/>
      <c r="BM118" s="35">
        <f t="shared" si="22"/>
        <v>0</v>
      </c>
      <c r="BN118" s="54" t="s">
        <v>347</v>
      </c>
    </row>
    <row r="119" spans="1:66" hidden="1">
      <c r="A119" s="35" t="s">
        <v>151</v>
      </c>
      <c r="C119" s="35" t="s">
        <v>13</v>
      </c>
      <c r="D119" s="35"/>
      <c r="E119" s="35">
        <f t="shared" si="17"/>
        <v>0</v>
      </c>
      <c r="F119" s="35"/>
      <c r="G119" s="35">
        <v>0</v>
      </c>
      <c r="H119" s="35"/>
      <c r="I119" s="35">
        <v>0</v>
      </c>
      <c r="J119" s="35"/>
      <c r="K119" s="35">
        <f t="shared" si="18"/>
        <v>0</v>
      </c>
      <c r="L119" s="35"/>
      <c r="M119" s="35">
        <v>0</v>
      </c>
      <c r="N119" s="35"/>
      <c r="O119" s="35">
        <v>0</v>
      </c>
      <c r="P119" s="35"/>
      <c r="Q119" s="35">
        <v>0</v>
      </c>
      <c r="R119" s="35"/>
      <c r="S119" s="35">
        <v>0</v>
      </c>
      <c r="T119" s="35"/>
      <c r="U119" s="35">
        <v>0</v>
      </c>
      <c r="V119" s="35"/>
      <c r="W119" s="35">
        <f t="shared" si="24"/>
        <v>0</v>
      </c>
      <c r="X119" s="35"/>
      <c r="Y119" s="35" t="s">
        <v>151</v>
      </c>
      <c r="Z119" s="55"/>
      <c r="AA119" s="35" t="s">
        <v>13</v>
      </c>
      <c r="AB119" s="35"/>
      <c r="AC119" s="35">
        <v>0</v>
      </c>
      <c r="AD119" s="35"/>
      <c r="AE119" s="35">
        <v>0</v>
      </c>
      <c r="AF119" s="35"/>
      <c r="AG119" s="35">
        <v>0</v>
      </c>
      <c r="AH119" s="35"/>
      <c r="AI119" s="45">
        <f t="shared" ref="AI119:AI128" si="28">+AC119-AE119-AG119</f>
        <v>0</v>
      </c>
      <c r="AJ119" s="45"/>
      <c r="AK119" s="35">
        <v>0</v>
      </c>
      <c r="AL119" s="35"/>
      <c r="AM119" s="35">
        <v>0</v>
      </c>
      <c r="AN119" s="35"/>
      <c r="AO119" s="35">
        <v>0</v>
      </c>
      <c r="AP119" s="35"/>
      <c r="AQ119" s="35">
        <v>0</v>
      </c>
      <c r="AR119" s="35"/>
      <c r="AS119" s="45">
        <f t="shared" si="26"/>
        <v>0</v>
      </c>
      <c r="AT119" s="45"/>
      <c r="AU119" s="35">
        <v>0</v>
      </c>
      <c r="AV119" s="35"/>
      <c r="AW119" s="35">
        <v>0</v>
      </c>
      <c r="AX119" s="35"/>
      <c r="AY119" s="35">
        <f t="shared" si="27"/>
        <v>0</v>
      </c>
      <c r="AZ119" s="35"/>
      <c r="BA119" s="35" t="s">
        <v>151</v>
      </c>
      <c r="BB119" s="55"/>
      <c r="BC119" s="35" t="s">
        <v>13</v>
      </c>
      <c r="BD119" s="35"/>
      <c r="BE119" s="35">
        <v>0</v>
      </c>
      <c r="BF119" s="35"/>
      <c r="BG119" s="35">
        <v>0</v>
      </c>
      <c r="BH119" s="35"/>
      <c r="BI119" s="35">
        <v>0</v>
      </c>
      <c r="BJ119" s="35"/>
      <c r="BK119" s="35">
        <v>0</v>
      </c>
      <c r="BL119" s="35"/>
      <c r="BM119" s="35">
        <f t="shared" si="22"/>
        <v>0</v>
      </c>
      <c r="BN119" s="54" t="s">
        <v>347</v>
      </c>
    </row>
    <row r="120" spans="1:66" hidden="1">
      <c r="A120" s="35" t="s">
        <v>152</v>
      </c>
      <c r="C120" s="35" t="s">
        <v>153</v>
      </c>
      <c r="D120" s="35"/>
      <c r="E120" s="35">
        <f t="shared" si="17"/>
        <v>0</v>
      </c>
      <c r="F120" s="35"/>
      <c r="G120" s="35">
        <v>0</v>
      </c>
      <c r="H120" s="35"/>
      <c r="I120" s="35">
        <v>0</v>
      </c>
      <c r="J120" s="35"/>
      <c r="K120" s="35">
        <f t="shared" si="18"/>
        <v>0</v>
      </c>
      <c r="L120" s="35"/>
      <c r="M120" s="35">
        <v>0</v>
      </c>
      <c r="N120" s="35"/>
      <c r="O120" s="35">
        <v>0</v>
      </c>
      <c r="P120" s="35"/>
      <c r="Q120" s="35">
        <v>0</v>
      </c>
      <c r="R120" s="35"/>
      <c r="S120" s="35">
        <v>0</v>
      </c>
      <c r="T120" s="35"/>
      <c r="U120" s="35">
        <v>0</v>
      </c>
      <c r="V120" s="35"/>
      <c r="W120" s="35">
        <f t="shared" si="24"/>
        <v>0</v>
      </c>
      <c r="X120" s="35"/>
      <c r="Y120" s="35" t="s">
        <v>152</v>
      </c>
      <c r="Z120" s="55"/>
      <c r="AA120" s="35" t="s">
        <v>153</v>
      </c>
      <c r="AB120" s="35"/>
      <c r="AC120" s="35">
        <v>0</v>
      </c>
      <c r="AD120" s="35"/>
      <c r="AE120" s="35">
        <v>0</v>
      </c>
      <c r="AF120" s="35"/>
      <c r="AG120" s="35">
        <v>0</v>
      </c>
      <c r="AH120" s="35"/>
      <c r="AI120" s="45">
        <f t="shared" si="28"/>
        <v>0</v>
      </c>
      <c r="AJ120" s="45"/>
      <c r="AK120" s="35">
        <v>0</v>
      </c>
      <c r="AL120" s="35"/>
      <c r="AM120" s="35">
        <v>0</v>
      </c>
      <c r="AN120" s="35"/>
      <c r="AO120" s="35">
        <v>0</v>
      </c>
      <c r="AP120" s="35"/>
      <c r="AQ120" s="35">
        <v>0</v>
      </c>
      <c r="AR120" s="35"/>
      <c r="AS120" s="45">
        <f t="shared" si="26"/>
        <v>0</v>
      </c>
      <c r="AT120" s="45"/>
      <c r="AU120" s="35">
        <v>0</v>
      </c>
      <c r="AV120" s="35"/>
      <c r="AW120" s="35">
        <v>0</v>
      </c>
      <c r="AX120" s="35"/>
      <c r="AY120" s="35">
        <f t="shared" si="27"/>
        <v>0</v>
      </c>
      <c r="AZ120" s="35"/>
      <c r="BA120" s="35" t="s">
        <v>152</v>
      </c>
      <c r="BB120" s="55"/>
      <c r="BC120" s="35" t="s">
        <v>153</v>
      </c>
      <c r="BD120" s="35"/>
      <c r="BE120" s="35">
        <v>0</v>
      </c>
      <c r="BF120" s="35"/>
      <c r="BG120" s="35">
        <v>0</v>
      </c>
      <c r="BH120" s="35"/>
      <c r="BI120" s="35">
        <v>0</v>
      </c>
      <c r="BJ120" s="35"/>
      <c r="BK120" s="35">
        <v>0</v>
      </c>
      <c r="BL120" s="35"/>
      <c r="BM120" s="35">
        <f t="shared" si="22"/>
        <v>0</v>
      </c>
      <c r="BN120" s="54" t="s">
        <v>347</v>
      </c>
    </row>
    <row r="121" spans="1:66">
      <c r="A121" s="35" t="s">
        <v>154</v>
      </c>
      <c r="C121" s="35" t="s">
        <v>27</v>
      </c>
      <c r="D121" s="35"/>
      <c r="E121" s="35">
        <f t="shared" si="17"/>
        <v>519219</v>
      </c>
      <c r="F121" s="35"/>
      <c r="G121" s="35">
        <v>0</v>
      </c>
      <c r="H121" s="35"/>
      <c r="I121" s="35">
        <v>519219</v>
      </c>
      <c r="J121" s="35"/>
      <c r="K121" s="35">
        <f t="shared" si="18"/>
        <v>253200</v>
      </c>
      <c r="L121" s="35"/>
      <c r="M121" s="35">
        <v>1798</v>
      </c>
      <c r="N121" s="35"/>
      <c r="O121" s="35">
        <v>254998</v>
      </c>
      <c r="P121" s="35"/>
      <c r="Q121" s="35">
        <v>0</v>
      </c>
      <c r="R121" s="35"/>
      <c r="S121" s="35">
        <v>0</v>
      </c>
      <c r="T121" s="35"/>
      <c r="U121" s="35">
        <v>264221</v>
      </c>
      <c r="V121" s="35"/>
      <c r="W121" s="35">
        <f t="shared" si="24"/>
        <v>264221</v>
      </c>
      <c r="X121" s="35"/>
      <c r="Y121" s="35" t="s">
        <v>154</v>
      </c>
      <c r="Z121" s="55"/>
      <c r="AA121" s="35" t="s">
        <v>27</v>
      </c>
      <c r="AB121" s="35"/>
      <c r="AC121" s="35">
        <v>1924099</v>
      </c>
      <c r="AD121" s="35"/>
      <c r="AE121" s="35">
        <v>1562754</v>
      </c>
      <c r="AF121" s="35"/>
      <c r="AG121" s="35">
        <v>0</v>
      </c>
      <c r="AH121" s="35"/>
      <c r="AI121" s="45">
        <f t="shared" si="28"/>
        <v>361345</v>
      </c>
      <c r="AJ121" s="45"/>
      <c r="AK121" s="35">
        <v>0</v>
      </c>
      <c r="AL121" s="35"/>
      <c r="AM121" s="35">
        <v>0</v>
      </c>
      <c r="AN121" s="35"/>
      <c r="AO121" s="35">
        <v>0</v>
      </c>
      <c r="AP121" s="35"/>
      <c r="AQ121" s="35">
        <v>0</v>
      </c>
      <c r="AR121" s="35"/>
      <c r="AS121" s="45">
        <f t="shared" si="26"/>
        <v>361345</v>
      </c>
      <c r="AT121" s="45"/>
      <c r="AU121" s="35">
        <v>0</v>
      </c>
      <c r="AV121" s="35"/>
      <c r="AW121" s="35">
        <v>0</v>
      </c>
      <c r="AX121" s="35"/>
      <c r="AY121" s="35">
        <f t="shared" si="27"/>
        <v>266019</v>
      </c>
      <c r="AZ121" s="35"/>
      <c r="BA121" s="35" t="s">
        <v>154</v>
      </c>
      <c r="BB121" s="55"/>
      <c r="BC121" s="35" t="s">
        <v>27</v>
      </c>
      <c r="BD121" s="35"/>
      <c r="BE121" s="35">
        <v>0</v>
      </c>
      <c r="BF121" s="35"/>
      <c r="BG121" s="35">
        <v>0</v>
      </c>
      <c r="BH121" s="35"/>
      <c r="BI121" s="35">
        <v>0</v>
      </c>
      <c r="BJ121" s="35"/>
      <c r="BK121" s="35">
        <f>3040+1798</f>
        <v>4838</v>
      </c>
      <c r="BL121" s="35"/>
      <c r="BM121" s="35">
        <f t="shared" si="22"/>
        <v>4838</v>
      </c>
      <c r="BN121" s="54" t="s">
        <v>347</v>
      </c>
    </row>
    <row r="122" spans="1:66" hidden="1">
      <c r="A122" s="35" t="s">
        <v>155</v>
      </c>
      <c r="C122" s="35" t="s">
        <v>40</v>
      </c>
      <c r="D122" s="35"/>
      <c r="E122" s="35">
        <f t="shared" si="17"/>
        <v>0</v>
      </c>
      <c r="F122" s="35"/>
      <c r="G122" s="35">
        <v>0</v>
      </c>
      <c r="H122" s="35"/>
      <c r="I122" s="35">
        <v>0</v>
      </c>
      <c r="J122" s="35"/>
      <c r="K122" s="35">
        <f t="shared" si="18"/>
        <v>0</v>
      </c>
      <c r="L122" s="35"/>
      <c r="M122" s="35">
        <v>0</v>
      </c>
      <c r="N122" s="35"/>
      <c r="O122" s="35">
        <v>0</v>
      </c>
      <c r="P122" s="35"/>
      <c r="Q122" s="35">
        <v>0</v>
      </c>
      <c r="R122" s="35"/>
      <c r="S122" s="35">
        <v>0</v>
      </c>
      <c r="T122" s="35"/>
      <c r="U122" s="35">
        <v>0</v>
      </c>
      <c r="V122" s="35"/>
      <c r="W122" s="35">
        <f t="shared" si="24"/>
        <v>0</v>
      </c>
      <c r="X122" s="35"/>
      <c r="Y122" s="35" t="s">
        <v>155</v>
      </c>
      <c r="Z122" s="55"/>
      <c r="AA122" s="35" t="s">
        <v>40</v>
      </c>
      <c r="AB122" s="35"/>
      <c r="AC122" s="35">
        <v>0</v>
      </c>
      <c r="AD122" s="35"/>
      <c r="AE122" s="35">
        <v>0</v>
      </c>
      <c r="AF122" s="35"/>
      <c r="AG122" s="35">
        <v>0</v>
      </c>
      <c r="AH122" s="35"/>
      <c r="AI122" s="45">
        <f t="shared" si="28"/>
        <v>0</v>
      </c>
      <c r="AJ122" s="45"/>
      <c r="AK122" s="35">
        <v>0</v>
      </c>
      <c r="AL122" s="35"/>
      <c r="AM122" s="35">
        <v>0</v>
      </c>
      <c r="AN122" s="35"/>
      <c r="AO122" s="35">
        <v>0</v>
      </c>
      <c r="AP122" s="35"/>
      <c r="AQ122" s="35">
        <v>0</v>
      </c>
      <c r="AR122" s="35"/>
      <c r="AS122" s="45">
        <f t="shared" si="26"/>
        <v>0</v>
      </c>
      <c r="AT122" s="45"/>
      <c r="AU122" s="35">
        <v>0</v>
      </c>
      <c r="AV122" s="35"/>
      <c r="AW122" s="35">
        <v>0</v>
      </c>
      <c r="AX122" s="35"/>
      <c r="AY122" s="35">
        <f t="shared" si="27"/>
        <v>0</v>
      </c>
      <c r="AZ122" s="35"/>
      <c r="BA122" s="35" t="s">
        <v>155</v>
      </c>
      <c r="BB122" s="55"/>
      <c r="BC122" s="35" t="s">
        <v>40</v>
      </c>
      <c r="BD122" s="35"/>
      <c r="BE122" s="35">
        <v>0</v>
      </c>
      <c r="BF122" s="35"/>
      <c r="BG122" s="35">
        <v>0</v>
      </c>
      <c r="BH122" s="35"/>
      <c r="BI122" s="35">
        <v>0</v>
      </c>
      <c r="BJ122" s="35"/>
      <c r="BK122" s="35">
        <v>0</v>
      </c>
      <c r="BL122" s="35"/>
      <c r="BM122" s="35">
        <f t="shared" si="22"/>
        <v>0</v>
      </c>
      <c r="BN122" s="54" t="s">
        <v>347</v>
      </c>
    </row>
    <row r="123" spans="1:66">
      <c r="A123" s="35" t="s">
        <v>156</v>
      </c>
      <c r="C123" s="35" t="s">
        <v>156</v>
      </c>
      <c r="D123" s="35"/>
      <c r="E123" s="35">
        <f t="shared" si="17"/>
        <v>2431084</v>
      </c>
      <c r="F123" s="35"/>
      <c r="G123" s="35">
        <v>659021</v>
      </c>
      <c r="H123" s="35"/>
      <c r="I123" s="35">
        <v>3090105</v>
      </c>
      <c r="J123" s="35"/>
      <c r="K123" s="35">
        <f t="shared" si="18"/>
        <v>188203</v>
      </c>
      <c r="L123" s="35"/>
      <c r="M123" s="35">
        <v>92410</v>
      </c>
      <c r="N123" s="35"/>
      <c r="O123" s="35">
        <v>280613</v>
      </c>
      <c r="P123" s="35"/>
      <c r="Q123" s="35">
        <v>659021</v>
      </c>
      <c r="R123" s="35"/>
      <c r="S123" s="35">
        <v>0</v>
      </c>
      <c r="T123" s="35"/>
      <c r="U123" s="35">
        <v>2150471</v>
      </c>
      <c r="V123" s="35"/>
      <c r="W123" s="35">
        <f t="shared" si="24"/>
        <v>2809492</v>
      </c>
      <c r="X123" s="35"/>
      <c r="Y123" s="35" t="s">
        <v>156</v>
      </c>
      <c r="Z123" s="55"/>
      <c r="AA123" s="35" t="s">
        <v>156</v>
      </c>
      <c r="AB123" s="35"/>
      <c r="AC123" s="35">
        <v>2138429</v>
      </c>
      <c r="AD123" s="35"/>
      <c r="AE123" s="35">
        <v>2318408</v>
      </c>
      <c r="AF123" s="35"/>
      <c r="AG123" s="35">
        <v>0</v>
      </c>
      <c r="AH123" s="35"/>
      <c r="AI123" s="45">
        <f t="shared" si="28"/>
        <v>-179979</v>
      </c>
      <c r="AJ123" s="45"/>
      <c r="AK123" s="35">
        <v>-516</v>
      </c>
      <c r="AL123" s="35"/>
      <c r="AM123" s="35">
        <v>0</v>
      </c>
      <c r="AN123" s="35"/>
      <c r="AO123" s="35">
        <v>0</v>
      </c>
      <c r="AP123" s="35"/>
      <c r="AQ123" s="35">
        <v>0</v>
      </c>
      <c r="AR123" s="35"/>
      <c r="AS123" s="45">
        <f t="shared" si="26"/>
        <v>-180495</v>
      </c>
      <c r="AT123" s="45"/>
      <c r="AU123" s="35">
        <v>0</v>
      </c>
      <c r="AV123" s="35"/>
      <c r="AW123" s="35">
        <v>0</v>
      </c>
      <c r="AX123" s="35"/>
      <c r="AY123" s="35">
        <f t="shared" si="27"/>
        <v>2242881</v>
      </c>
      <c r="AZ123" s="35"/>
      <c r="BA123" s="35" t="s">
        <v>156</v>
      </c>
      <c r="BB123" s="55"/>
      <c r="BC123" s="35" t="s">
        <v>156</v>
      </c>
      <c r="BD123" s="35"/>
      <c r="BE123" s="35">
        <v>0</v>
      </c>
      <c r="BF123" s="35"/>
      <c r="BG123" s="35">
        <v>0</v>
      </c>
      <c r="BH123" s="35"/>
      <c r="BI123" s="35">
        <v>0</v>
      </c>
      <c r="BJ123" s="35"/>
      <c r="BK123" s="35">
        <f>92410+28852</f>
        <v>121262</v>
      </c>
      <c r="BL123" s="35"/>
      <c r="BM123" s="35">
        <f t="shared" si="22"/>
        <v>121262</v>
      </c>
      <c r="BN123" s="54" t="s">
        <v>347</v>
      </c>
    </row>
    <row r="124" spans="1:66">
      <c r="A124" s="35" t="s">
        <v>157</v>
      </c>
      <c r="C124" s="35" t="s">
        <v>33</v>
      </c>
      <c r="D124" s="35"/>
      <c r="E124" s="35">
        <f t="shared" si="17"/>
        <v>108539</v>
      </c>
      <c r="F124" s="35"/>
      <c r="G124" s="35">
        <v>375788</v>
      </c>
      <c r="H124" s="35"/>
      <c r="I124" s="35">
        <v>484327</v>
      </c>
      <c r="J124" s="35"/>
      <c r="K124" s="35">
        <f t="shared" si="18"/>
        <v>28361</v>
      </c>
      <c r="L124" s="35"/>
      <c r="M124" s="35">
        <v>153672</v>
      </c>
      <c r="N124" s="35"/>
      <c r="O124" s="35">
        <v>182033</v>
      </c>
      <c r="P124" s="35"/>
      <c r="Q124" s="35">
        <v>374309</v>
      </c>
      <c r="R124" s="35"/>
      <c r="S124" s="35">
        <v>0</v>
      </c>
      <c r="T124" s="35"/>
      <c r="U124" s="35">
        <v>-72015</v>
      </c>
      <c r="V124" s="35"/>
      <c r="W124" s="35">
        <f t="shared" si="24"/>
        <v>302294</v>
      </c>
      <c r="X124" s="35"/>
      <c r="Y124" s="35" t="s">
        <v>157</v>
      </c>
      <c r="Z124" s="55"/>
      <c r="AA124" s="35" t="s">
        <v>33</v>
      </c>
      <c r="AB124" s="35"/>
      <c r="AC124" s="35">
        <v>755424</v>
      </c>
      <c r="AD124" s="35"/>
      <c r="AE124" s="35">
        <f>656064-25963</f>
        <v>630101</v>
      </c>
      <c r="AF124" s="35"/>
      <c r="AG124" s="35">
        <v>25963</v>
      </c>
      <c r="AH124" s="35"/>
      <c r="AI124" s="45">
        <f t="shared" si="28"/>
        <v>99360</v>
      </c>
      <c r="AJ124" s="45"/>
      <c r="AK124" s="35">
        <v>50000</v>
      </c>
      <c r="AL124" s="35"/>
      <c r="AM124" s="35">
        <v>0</v>
      </c>
      <c r="AN124" s="35"/>
      <c r="AO124" s="35">
        <v>0</v>
      </c>
      <c r="AP124" s="35"/>
      <c r="AQ124" s="35">
        <v>0</v>
      </c>
      <c r="AR124" s="35"/>
      <c r="AS124" s="45">
        <f t="shared" si="26"/>
        <v>149360</v>
      </c>
      <c r="AT124" s="45"/>
      <c r="AU124" s="35">
        <v>0</v>
      </c>
      <c r="AV124" s="35"/>
      <c r="AW124" s="35">
        <v>0</v>
      </c>
      <c r="AX124" s="35"/>
      <c r="AY124" s="35">
        <f t="shared" si="27"/>
        <v>80178</v>
      </c>
      <c r="AZ124" s="35"/>
      <c r="BA124" s="35" t="s">
        <v>157</v>
      </c>
      <c r="BB124" s="55"/>
      <c r="BC124" s="35" t="s">
        <v>33</v>
      </c>
      <c r="BD124" s="35"/>
      <c r="BE124" s="35">
        <v>0</v>
      </c>
      <c r="BF124" s="35"/>
      <c r="BG124" s="35">
        <v>0</v>
      </c>
      <c r="BH124" s="35"/>
      <c r="BI124" s="35">
        <v>0</v>
      </c>
      <c r="BJ124" s="35"/>
      <c r="BK124" s="35">
        <f>134576+19096</f>
        <v>153672</v>
      </c>
      <c r="BL124" s="35"/>
      <c r="BM124" s="35">
        <f t="shared" si="22"/>
        <v>153672</v>
      </c>
      <c r="BN124" s="54" t="s">
        <v>347</v>
      </c>
    </row>
    <row r="125" spans="1:66" hidden="1">
      <c r="A125" s="35" t="s">
        <v>158</v>
      </c>
      <c r="C125" s="35" t="s">
        <v>159</v>
      </c>
      <c r="D125" s="35"/>
      <c r="E125" s="35">
        <f t="shared" si="17"/>
        <v>0</v>
      </c>
      <c r="F125" s="35"/>
      <c r="G125" s="35">
        <v>0</v>
      </c>
      <c r="H125" s="35"/>
      <c r="I125" s="35">
        <v>0</v>
      </c>
      <c r="J125" s="35"/>
      <c r="K125" s="35">
        <f t="shared" si="18"/>
        <v>0</v>
      </c>
      <c r="L125" s="35"/>
      <c r="M125" s="35">
        <v>0</v>
      </c>
      <c r="N125" s="35"/>
      <c r="O125" s="35">
        <v>0</v>
      </c>
      <c r="P125" s="35"/>
      <c r="Q125" s="35">
        <v>0</v>
      </c>
      <c r="R125" s="35"/>
      <c r="S125" s="35">
        <v>0</v>
      </c>
      <c r="T125" s="35"/>
      <c r="U125" s="35">
        <v>0</v>
      </c>
      <c r="V125" s="35"/>
      <c r="W125" s="35">
        <f t="shared" si="24"/>
        <v>0</v>
      </c>
      <c r="X125" s="35"/>
      <c r="Y125" s="35" t="s">
        <v>158</v>
      </c>
      <c r="Z125" s="55"/>
      <c r="AA125" s="35" t="s">
        <v>159</v>
      </c>
      <c r="AB125" s="35"/>
      <c r="AC125" s="35">
        <v>0</v>
      </c>
      <c r="AD125" s="35"/>
      <c r="AE125" s="35">
        <v>0</v>
      </c>
      <c r="AF125" s="35"/>
      <c r="AG125" s="35">
        <v>0</v>
      </c>
      <c r="AH125" s="35"/>
      <c r="AI125" s="45">
        <f t="shared" si="28"/>
        <v>0</v>
      </c>
      <c r="AJ125" s="45"/>
      <c r="AK125" s="35">
        <v>0</v>
      </c>
      <c r="AL125" s="35"/>
      <c r="AM125" s="35">
        <v>0</v>
      </c>
      <c r="AN125" s="35"/>
      <c r="AO125" s="35">
        <v>0</v>
      </c>
      <c r="AP125" s="35"/>
      <c r="AQ125" s="35">
        <v>0</v>
      </c>
      <c r="AR125" s="35"/>
      <c r="AS125" s="45">
        <f t="shared" si="26"/>
        <v>0</v>
      </c>
      <c r="AT125" s="45"/>
      <c r="AU125" s="35">
        <v>0</v>
      </c>
      <c r="AV125" s="35"/>
      <c r="AW125" s="35">
        <v>0</v>
      </c>
      <c r="AX125" s="35"/>
      <c r="AY125" s="35">
        <f t="shared" si="27"/>
        <v>0</v>
      </c>
      <c r="AZ125" s="35"/>
      <c r="BA125" s="35" t="s">
        <v>158</v>
      </c>
      <c r="BB125" s="55"/>
      <c r="BC125" s="35" t="s">
        <v>159</v>
      </c>
      <c r="BD125" s="35"/>
      <c r="BE125" s="35">
        <v>0</v>
      </c>
      <c r="BF125" s="35"/>
      <c r="BG125" s="35">
        <v>0</v>
      </c>
      <c r="BH125" s="35"/>
      <c r="BI125" s="35">
        <v>0</v>
      </c>
      <c r="BJ125" s="35"/>
      <c r="BK125" s="35">
        <v>0</v>
      </c>
      <c r="BL125" s="35"/>
      <c r="BM125" s="35">
        <f t="shared" si="22"/>
        <v>0</v>
      </c>
      <c r="BN125" s="54" t="s">
        <v>347</v>
      </c>
    </row>
    <row r="126" spans="1:66" hidden="1">
      <c r="A126" s="35" t="s">
        <v>160</v>
      </c>
      <c r="C126" s="35" t="s">
        <v>111</v>
      </c>
      <c r="D126" s="35"/>
      <c r="E126" s="35">
        <f t="shared" si="17"/>
        <v>0</v>
      </c>
      <c r="F126" s="35"/>
      <c r="G126" s="35">
        <v>0</v>
      </c>
      <c r="H126" s="35"/>
      <c r="I126" s="35">
        <v>0</v>
      </c>
      <c r="J126" s="35"/>
      <c r="K126" s="35">
        <f t="shared" si="18"/>
        <v>0</v>
      </c>
      <c r="L126" s="35"/>
      <c r="M126" s="35">
        <v>0</v>
      </c>
      <c r="N126" s="35"/>
      <c r="O126" s="35">
        <v>0</v>
      </c>
      <c r="P126" s="35"/>
      <c r="Q126" s="35">
        <v>0</v>
      </c>
      <c r="R126" s="35"/>
      <c r="S126" s="35">
        <v>0</v>
      </c>
      <c r="T126" s="35"/>
      <c r="U126" s="35">
        <v>0</v>
      </c>
      <c r="V126" s="35"/>
      <c r="W126" s="35">
        <f t="shared" si="24"/>
        <v>0</v>
      </c>
      <c r="X126" s="35"/>
      <c r="Y126" s="35" t="s">
        <v>160</v>
      </c>
      <c r="Z126" s="55"/>
      <c r="AA126" s="35" t="s">
        <v>111</v>
      </c>
      <c r="AB126" s="35"/>
      <c r="AC126" s="35">
        <v>0</v>
      </c>
      <c r="AD126" s="35"/>
      <c r="AE126" s="35">
        <v>0</v>
      </c>
      <c r="AF126" s="35"/>
      <c r="AG126" s="35">
        <v>0</v>
      </c>
      <c r="AH126" s="35"/>
      <c r="AI126" s="45">
        <f t="shared" si="28"/>
        <v>0</v>
      </c>
      <c r="AJ126" s="45"/>
      <c r="AK126" s="35">
        <v>0</v>
      </c>
      <c r="AL126" s="35"/>
      <c r="AM126" s="35">
        <v>0</v>
      </c>
      <c r="AN126" s="35"/>
      <c r="AO126" s="35">
        <v>0</v>
      </c>
      <c r="AP126" s="35"/>
      <c r="AQ126" s="35">
        <v>0</v>
      </c>
      <c r="AR126" s="35"/>
      <c r="AS126" s="45">
        <f t="shared" si="26"/>
        <v>0</v>
      </c>
      <c r="AT126" s="45"/>
      <c r="AU126" s="35">
        <v>0</v>
      </c>
      <c r="AV126" s="35"/>
      <c r="AW126" s="35">
        <v>0</v>
      </c>
      <c r="AX126" s="35"/>
      <c r="AY126" s="35">
        <f t="shared" si="27"/>
        <v>0</v>
      </c>
      <c r="AZ126" s="35"/>
      <c r="BA126" s="35" t="s">
        <v>160</v>
      </c>
      <c r="BB126" s="55"/>
      <c r="BC126" s="35" t="s">
        <v>111</v>
      </c>
      <c r="BD126" s="35"/>
      <c r="BE126" s="35">
        <v>0</v>
      </c>
      <c r="BF126" s="35"/>
      <c r="BG126" s="35">
        <v>0</v>
      </c>
      <c r="BH126" s="35"/>
      <c r="BI126" s="35">
        <v>0</v>
      </c>
      <c r="BJ126" s="35"/>
      <c r="BK126" s="35">
        <v>0</v>
      </c>
      <c r="BL126" s="35"/>
      <c r="BM126" s="35">
        <f t="shared" si="22"/>
        <v>0</v>
      </c>
      <c r="BN126" s="54" t="s">
        <v>347</v>
      </c>
    </row>
    <row r="127" spans="1:66">
      <c r="A127" s="35" t="s">
        <v>161</v>
      </c>
      <c r="C127" s="35" t="s">
        <v>15</v>
      </c>
      <c r="D127" s="35"/>
      <c r="E127" s="35">
        <f t="shared" si="17"/>
        <v>289724</v>
      </c>
      <c r="F127" s="35"/>
      <c r="G127" s="35">
        <v>320489</v>
      </c>
      <c r="H127" s="35"/>
      <c r="I127" s="35">
        <v>610213</v>
      </c>
      <c r="J127" s="35"/>
      <c r="K127" s="35">
        <f t="shared" si="18"/>
        <v>111264</v>
      </c>
      <c r="L127" s="35"/>
      <c r="M127" s="35">
        <v>98559</v>
      </c>
      <c r="N127" s="35"/>
      <c r="O127" s="35">
        <v>209823</v>
      </c>
      <c r="P127" s="35"/>
      <c r="Q127" s="35">
        <v>320489</v>
      </c>
      <c r="R127" s="35"/>
      <c r="S127" s="35">
        <v>0</v>
      </c>
      <c r="T127" s="35"/>
      <c r="U127" s="35">
        <v>79901</v>
      </c>
      <c r="V127" s="35"/>
      <c r="W127" s="35">
        <f t="shared" si="24"/>
        <v>400390</v>
      </c>
      <c r="X127" s="35"/>
      <c r="Y127" s="35" t="s">
        <v>161</v>
      </c>
      <c r="Z127" s="55"/>
      <c r="AA127" s="35" t="s">
        <v>15</v>
      </c>
      <c r="AB127" s="35"/>
      <c r="AC127" s="35">
        <v>1049891</v>
      </c>
      <c r="AD127" s="35"/>
      <c r="AE127" s="35">
        <f>1109340-53750</f>
        <v>1055590</v>
      </c>
      <c r="AF127" s="35"/>
      <c r="AG127" s="35">
        <v>53750</v>
      </c>
      <c r="AH127" s="35"/>
      <c r="AI127" s="45">
        <f t="shared" si="28"/>
        <v>-59449</v>
      </c>
      <c r="AJ127" s="45"/>
      <c r="AK127" s="35">
        <v>0</v>
      </c>
      <c r="AL127" s="35"/>
      <c r="AM127" s="35">
        <v>0</v>
      </c>
      <c r="AN127" s="35"/>
      <c r="AO127" s="35">
        <v>0</v>
      </c>
      <c r="AP127" s="35"/>
      <c r="AQ127" s="35">
        <v>0</v>
      </c>
      <c r="AR127" s="35"/>
      <c r="AS127" s="45">
        <f t="shared" si="26"/>
        <v>-59449</v>
      </c>
      <c r="AT127" s="45"/>
      <c r="AU127" s="35">
        <v>0</v>
      </c>
      <c r="AV127" s="35"/>
      <c r="AW127" s="35">
        <v>0</v>
      </c>
      <c r="AX127" s="35"/>
      <c r="AY127" s="35">
        <f t="shared" si="27"/>
        <v>178460</v>
      </c>
      <c r="AZ127" s="35"/>
      <c r="BA127" s="35" t="s">
        <v>161</v>
      </c>
      <c r="BB127" s="55"/>
      <c r="BC127" s="35" t="s">
        <v>15</v>
      </c>
      <c r="BD127" s="35"/>
      <c r="BE127" s="35">
        <v>0</v>
      </c>
      <c r="BF127" s="35"/>
      <c r="BG127" s="35">
        <v>0</v>
      </c>
      <c r="BH127" s="35"/>
      <c r="BI127" s="35">
        <v>0</v>
      </c>
      <c r="BJ127" s="35"/>
      <c r="BK127" s="35">
        <f>98559+223</f>
        <v>98782</v>
      </c>
      <c r="BL127" s="35"/>
      <c r="BM127" s="35">
        <f t="shared" si="22"/>
        <v>98782</v>
      </c>
      <c r="BN127" s="54" t="s">
        <v>347</v>
      </c>
    </row>
    <row r="128" spans="1:66" hidden="1">
      <c r="A128" s="35" t="s">
        <v>162</v>
      </c>
      <c r="C128" s="35" t="s">
        <v>163</v>
      </c>
      <c r="D128" s="35"/>
      <c r="E128" s="35">
        <f t="shared" si="17"/>
        <v>0</v>
      </c>
      <c r="F128" s="35"/>
      <c r="G128" s="35">
        <v>0</v>
      </c>
      <c r="H128" s="35"/>
      <c r="I128" s="35">
        <v>0</v>
      </c>
      <c r="J128" s="35"/>
      <c r="K128" s="35">
        <f t="shared" si="18"/>
        <v>0</v>
      </c>
      <c r="L128" s="35"/>
      <c r="M128" s="35">
        <v>0</v>
      </c>
      <c r="N128" s="35"/>
      <c r="O128" s="35">
        <v>0</v>
      </c>
      <c r="P128" s="35"/>
      <c r="Q128" s="35">
        <v>0</v>
      </c>
      <c r="R128" s="35"/>
      <c r="S128" s="35">
        <v>0</v>
      </c>
      <c r="T128" s="35"/>
      <c r="U128" s="35">
        <v>0</v>
      </c>
      <c r="V128" s="35"/>
      <c r="W128" s="35">
        <f t="shared" si="24"/>
        <v>0</v>
      </c>
      <c r="X128" s="35"/>
      <c r="Y128" s="35" t="s">
        <v>162</v>
      </c>
      <c r="Z128" s="55"/>
      <c r="AA128" s="35" t="s">
        <v>163</v>
      </c>
      <c r="AB128" s="35"/>
      <c r="AC128" s="35">
        <v>0</v>
      </c>
      <c r="AD128" s="35"/>
      <c r="AE128" s="35">
        <v>0</v>
      </c>
      <c r="AF128" s="35"/>
      <c r="AG128" s="35">
        <v>0</v>
      </c>
      <c r="AH128" s="35"/>
      <c r="AI128" s="45">
        <f t="shared" si="28"/>
        <v>0</v>
      </c>
      <c r="AJ128" s="45"/>
      <c r="AK128" s="35">
        <v>0</v>
      </c>
      <c r="AL128" s="35"/>
      <c r="AM128" s="35">
        <v>0</v>
      </c>
      <c r="AN128" s="35"/>
      <c r="AO128" s="35">
        <v>0</v>
      </c>
      <c r="AP128" s="35"/>
      <c r="AQ128" s="35">
        <v>0</v>
      </c>
      <c r="AR128" s="35"/>
      <c r="AS128" s="45">
        <f t="shared" si="26"/>
        <v>0</v>
      </c>
      <c r="AT128" s="45"/>
      <c r="AU128" s="35">
        <v>0</v>
      </c>
      <c r="AV128" s="35"/>
      <c r="AW128" s="35">
        <v>0</v>
      </c>
      <c r="AX128" s="35"/>
      <c r="AY128" s="35">
        <f t="shared" si="27"/>
        <v>0</v>
      </c>
      <c r="AZ128" s="35"/>
      <c r="BA128" s="35" t="s">
        <v>162</v>
      </c>
      <c r="BB128" s="55"/>
      <c r="BC128" s="35" t="s">
        <v>163</v>
      </c>
      <c r="BD128" s="35"/>
      <c r="BE128" s="35">
        <v>0</v>
      </c>
      <c r="BF128" s="35"/>
      <c r="BG128" s="35">
        <v>0</v>
      </c>
      <c r="BH128" s="35"/>
      <c r="BI128" s="35">
        <v>0</v>
      </c>
      <c r="BJ128" s="35"/>
      <c r="BK128" s="35">
        <v>0</v>
      </c>
      <c r="BL128" s="35"/>
      <c r="BM128" s="35">
        <f t="shared" si="22"/>
        <v>0</v>
      </c>
      <c r="BN128" s="54" t="s">
        <v>347</v>
      </c>
    </row>
    <row r="129" spans="1:66" hidden="1">
      <c r="A129" s="35" t="s">
        <v>164</v>
      </c>
      <c r="C129" s="35" t="s">
        <v>27</v>
      </c>
      <c r="D129" s="35"/>
      <c r="E129" s="35">
        <f t="shared" si="17"/>
        <v>0</v>
      </c>
      <c r="F129" s="35"/>
      <c r="G129" s="35">
        <v>0</v>
      </c>
      <c r="H129" s="35"/>
      <c r="I129" s="35">
        <v>0</v>
      </c>
      <c r="J129" s="35"/>
      <c r="K129" s="35">
        <f t="shared" si="18"/>
        <v>0</v>
      </c>
      <c r="L129" s="35"/>
      <c r="M129" s="35">
        <v>0</v>
      </c>
      <c r="N129" s="35"/>
      <c r="O129" s="35">
        <v>0</v>
      </c>
      <c r="P129" s="35"/>
      <c r="Q129" s="35">
        <v>0</v>
      </c>
      <c r="R129" s="35"/>
      <c r="S129" s="35">
        <v>0</v>
      </c>
      <c r="T129" s="35"/>
      <c r="U129" s="35">
        <v>0</v>
      </c>
      <c r="V129" s="35"/>
      <c r="W129" s="35">
        <f t="shared" si="24"/>
        <v>0</v>
      </c>
      <c r="X129" s="35"/>
      <c r="Y129" s="35" t="s">
        <v>164</v>
      </c>
      <c r="Z129" s="55"/>
      <c r="AA129" s="35" t="s">
        <v>27</v>
      </c>
      <c r="AB129" s="35"/>
      <c r="AC129" s="35">
        <v>0</v>
      </c>
      <c r="AD129" s="35"/>
      <c r="AE129" s="35">
        <v>0</v>
      </c>
      <c r="AF129" s="35"/>
      <c r="AG129" s="35">
        <v>0</v>
      </c>
      <c r="AH129" s="35"/>
      <c r="AI129" s="45">
        <v>0</v>
      </c>
      <c r="AJ129" s="45"/>
      <c r="AK129" s="35">
        <v>0</v>
      </c>
      <c r="AL129" s="35"/>
      <c r="AM129" s="35">
        <v>0</v>
      </c>
      <c r="AN129" s="35"/>
      <c r="AO129" s="35">
        <v>0</v>
      </c>
      <c r="AP129" s="35"/>
      <c r="AQ129" s="35">
        <v>0</v>
      </c>
      <c r="AR129" s="35"/>
      <c r="AS129" s="45">
        <f t="shared" si="26"/>
        <v>0</v>
      </c>
      <c r="AT129" s="45"/>
      <c r="AU129" s="35">
        <v>0</v>
      </c>
      <c r="AV129" s="35"/>
      <c r="AW129" s="35">
        <v>0</v>
      </c>
      <c r="AX129" s="35"/>
      <c r="AY129" s="35">
        <f t="shared" si="27"/>
        <v>0</v>
      </c>
      <c r="AZ129" s="35"/>
      <c r="BA129" s="35" t="s">
        <v>164</v>
      </c>
      <c r="BB129" s="55"/>
      <c r="BC129" s="35" t="s">
        <v>27</v>
      </c>
      <c r="BD129" s="35"/>
      <c r="BE129" s="35">
        <v>0</v>
      </c>
      <c r="BF129" s="35"/>
      <c r="BG129" s="35">
        <v>0</v>
      </c>
      <c r="BH129" s="35"/>
      <c r="BI129" s="35">
        <v>0</v>
      </c>
      <c r="BJ129" s="35"/>
      <c r="BK129" s="35">
        <v>0</v>
      </c>
      <c r="BL129" s="35"/>
      <c r="BM129" s="35">
        <f t="shared" si="22"/>
        <v>0</v>
      </c>
      <c r="BN129" s="54" t="s">
        <v>347</v>
      </c>
    </row>
    <row r="130" spans="1:66">
      <c r="A130" s="35" t="s">
        <v>53</v>
      </c>
      <c r="C130" s="35" t="s">
        <v>53</v>
      </c>
      <c r="D130" s="35"/>
      <c r="E130" s="35">
        <f t="shared" si="17"/>
        <v>2096162</v>
      </c>
      <c r="F130" s="35"/>
      <c r="G130" s="35">
        <v>498548</v>
      </c>
      <c r="H130" s="35"/>
      <c r="I130" s="35">
        <v>2594710</v>
      </c>
      <c r="J130" s="35"/>
      <c r="K130" s="35">
        <f t="shared" si="18"/>
        <v>90617</v>
      </c>
      <c r="L130" s="35"/>
      <c r="M130" s="35">
        <v>23985</v>
      </c>
      <c r="N130" s="35"/>
      <c r="O130" s="35">
        <v>114602</v>
      </c>
      <c r="P130" s="35"/>
      <c r="Q130" s="35">
        <v>498548</v>
      </c>
      <c r="R130" s="35"/>
      <c r="S130" s="35">
        <v>0</v>
      </c>
      <c r="T130" s="35"/>
      <c r="U130" s="35">
        <v>1981560</v>
      </c>
      <c r="V130" s="35"/>
      <c r="W130" s="35">
        <f t="shared" si="24"/>
        <v>2480108</v>
      </c>
      <c r="X130" s="35"/>
      <c r="Y130" s="35" t="s">
        <v>53</v>
      </c>
      <c r="Z130" s="55"/>
      <c r="AA130" s="35" t="s">
        <v>53</v>
      </c>
      <c r="AB130" s="35"/>
      <c r="AC130" s="35">
        <v>2980661</v>
      </c>
      <c r="AD130" s="35"/>
      <c r="AE130" s="35">
        <f>2898630-180034</f>
        <v>2718596</v>
      </c>
      <c r="AF130" s="35"/>
      <c r="AG130" s="35">
        <v>180034</v>
      </c>
      <c r="AH130" s="35"/>
      <c r="AI130" s="45">
        <f t="shared" ref="AI130:AI191" si="29">+AC130-AE130-AG130</f>
        <v>82031</v>
      </c>
      <c r="AJ130" s="45"/>
      <c r="AK130" s="35">
        <v>12217</v>
      </c>
      <c r="AL130" s="35"/>
      <c r="AM130" s="35">
        <v>0</v>
      </c>
      <c r="AN130" s="35"/>
      <c r="AO130" s="35">
        <v>0</v>
      </c>
      <c r="AP130" s="35"/>
      <c r="AQ130" s="35">
        <v>0</v>
      </c>
      <c r="AR130" s="35"/>
      <c r="AS130" s="45">
        <f t="shared" si="26"/>
        <v>94248</v>
      </c>
      <c r="AT130" s="45"/>
      <c r="AU130" s="35">
        <v>0</v>
      </c>
      <c r="AV130" s="35"/>
      <c r="AW130" s="35">
        <v>0</v>
      </c>
      <c r="AX130" s="35"/>
      <c r="AY130" s="35">
        <f t="shared" si="27"/>
        <v>2005545</v>
      </c>
      <c r="AZ130" s="35"/>
      <c r="BA130" s="35" t="s">
        <v>53</v>
      </c>
      <c r="BB130" s="55"/>
      <c r="BC130" s="35" t="s">
        <v>53</v>
      </c>
      <c r="BD130" s="35"/>
      <c r="BE130" s="35">
        <v>0</v>
      </c>
      <c r="BF130" s="35"/>
      <c r="BG130" s="35">
        <v>0</v>
      </c>
      <c r="BH130" s="35"/>
      <c r="BI130" s="35">
        <v>0</v>
      </c>
      <c r="BJ130" s="35"/>
      <c r="BK130" s="35">
        <f>23985+25619</f>
        <v>49604</v>
      </c>
      <c r="BL130" s="35"/>
      <c r="BM130" s="35">
        <f t="shared" si="22"/>
        <v>49604</v>
      </c>
      <c r="BN130" s="54" t="s">
        <v>347</v>
      </c>
    </row>
    <row r="131" spans="1:66" hidden="1">
      <c r="A131" s="35" t="s">
        <v>165</v>
      </c>
      <c r="C131" s="35" t="s">
        <v>92</v>
      </c>
      <c r="D131" s="35"/>
      <c r="E131" s="35">
        <f t="shared" si="17"/>
        <v>0</v>
      </c>
      <c r="F131" s="35"/>
      <c r="G131" s="35">
        <v>0</v>
      </c>
      <c r="H131" s="35"/>
      <c r="I131" s="35">
        <v>0</v>
      </c>
      <c r="J131" s="35"/>
      <c r="K131" s="35">
        <f t="shared" si="18"/>
        <v>0</v>
      </c>
      <c r="L131" s="35"/>
      <c r="M131" s="35">
        <v>0</v>
      </c>
      <c r="N131" s="35"/>
      <c r="O131" s="35">
        <v>0</v>
      </c>
      <c r="P131" s="35"/>
      <c r="Q131" s="35">
        <v>0</v>
      </c>
      <c r="R131" s="35"/>
      <c r="S131" s="35">
        <v>0</v>
      </c>
      <c r="T131" s="35"/>
      <c r="U131" s="35">
        <v>0</v>
      </c>
      <c r="V131" s="35"/>
      <c r="W131" s="35">
        <f t="shared" si="24"/>
        <v>0</v>
      </c>
      <c r="X131" s="35"/>
      <c r="Y131" s="35" t="s">
        <v>165</v>
      </c>
      <c r="Z131" s="55"/>
      <c r="AA131" s="35" t="s">
        <v>92</v>
      </c>
      <c r="AB131" s="35"/>
      <c r="AC131" s="35">
        <v>0</v>
      </c>
      <c r="AD131" s="35"/>
      <c r="AE131" s="35">
        <v>0</v>
      </c>
      <c r="AF131" s="35"/>
      <c r="AG131" s="35">
        <v>0</v>
      </c>
      <c r="AH131" s="35"/>
      <c r="AI131" s="45">
        <f t="shared" si="29"/>
        <v>0</v>
      </c>
      <c r="AJ131" s="45"/>
      <c r="AK131" s="35">
        <v>0</v>
      </c>
      <c r="AL131" s="35"/>
      <c r="AM131" s="35">
        <v>0</v>
      </c>
      <c r="AN131" s="35"/>
      <c r="AO131" s="35">
        <v>0</v>
      </c>
      <c r="AP131" s="35"/>
      <c r="AQ131" s="35">
        <v>0</v>
      </c>
      <c r="AR131" s="35"/>
      <c r="AS131" s="45">
        <f t="shared" si="26"/>
        <v>0</v>
      </c>
      <c r="AT131" s="45"/>
      <c r="AU131" s="35">
        <v>0</v>
      </c>
      <c r="AV131" s="35"/>
      <c r="AW131" s="35">
        <v>0</v>
      </c>
      <c r="AX131" s="35"/>
      <c r="AY131" s="35">
        <f t="shared" si="27"/>
        <v>0</v>
      </c>
      <c r="AZ131" s="35"/>
      <c r="BA131" s="35" t="s">
        <v>165</v>
      </c>
      <c r="BB131" s="55"/>
      <c r="BC131" s="35" t="s">
        <v>92</v>
      </c>
      <c r="BD131" s="35"/>
      <c r="BE131" s="35">
        <v>0</v>
      </c>
      <c r="BF131" s="35"/>
      <c r="BG131" s="35">
        <v>0</v>
      </c>
      <c r="BH131" s="35"/>
      <c r="BI131" s="35">
        <v>0</v>
      </c>
      <c r="BJ131" s="35"/>
      <c r="BK131" s="35">
        <v>0</v>
      </c>
      <c r="BL131" s="35"/>
      <c r="BM131" s="35">
        <f t="shared" si="22"/>
        <v>0</v>
      </c>
      <c r="BN131" s="54" t="s">
        <v>347</v>
      </c>
    </row>
    <row r="132" spans="1:66" hidden="1">
      <c r="A132" s="35" t="s">
        <v>166</v>
      </c>
      <c r="C132" s="35" t="s">
        <v>92</v>
      </c>
      <c r="D132" s="35"/>
      <c r="E132" s="35">
        <f t="shared" si="17"/>
        <v>0</v>
      </c>
      <c r="F132" s="35"/>
      <c r="G132" s="35">
        <v>0</v>
      </c>
      <c r="H132" s="35"/>
      <c r="I132" s="35">
        <v>0</v>
      </c>
      <c r="J132" s="35"/>
      <c r="K132" s="35">
        <f t="shared" si="18"/>
        <v>0</v>
      </c>
      <c r="L132" s="35"/>
      <c r="M132" s="35">
        <v>0</v>
      </c>
      <c r="N132" s="35"/>
      <c r="O132" s="35">
        <v>0</v>
      </c>
      <c r="P132" s="35"/>
      <c r="Q132" s="35">
        <v>0</v>
      </c>
      <c r="R132" s="35"/>
      <c r="S132" s="35">
        <v>0</v>
      </c>
      <c r="T132" s="35"/>
      <c r="U132" s="35">
        <v>0</v>
      </c>
      <c r="V132" s="35"/>
      <c r="W132" s="35">
        <f t="shared" si="24"/>
        <v>0</v>
      </c>
      <c r="X132" s="35"/>
      <c r="Y132" s="35" t="s">
        <v>166</v>
      </c>
      <c r="Z132" s="55"/>
      <c r="AA132" s="35" t="s">
        <v>92</v>
      </c>
      <c r="AB132" s="35"/>
      <c r="AC132" s="35">
        <v>0</v>
      </c>
      <c r="AD132" s="35"/>
      <c r="AE132" s="35">
        <v>0</v>
      </c>
      <c r="AF132" s="35"/>
      <c r="AG132" s="35">
        <v>0</v>
      </c>
      <c r="AH132" s="35"/>
      <c r="AI132" s="45">
        <f t="shared" si="29"/>
        <v>0</v>
      </c>
      <c r="AJ132" s="45"/>
      <c r="AK132" s="35">
        <v>0</v>
      </c>
      <c r="AL132" s="35"/>
      <c r="AM132" s="35">
        <v>0</v>
      </c>
      <c r="AN132" s="35"/>
      <c r="AO132" s="35">
        <v>0</v>
      </c>
      <c r="AP132" s="35"/>
      <c r="AQ132" s="35">
        <v>0</v>
      </c>
      <c r="AR132" s="35"/>
      <c r="AS132" s="45">
        <f t="shared" si="26"/>
        <v>0</v>
      </c>
      <c r="AT132" s="45"/>
      <c r="AU132" s="35">
        <v>0</v>
      </c>
      <c r="AV132" s="35"/>
      <c r="AW132" s="35">
        <v>0</v>
      </c>
      <c r="AX132" s="35"/>
      <c r="AY132" s="35">
        <f t="shared" si="27"/>
        <v>0</v>
      </c>
      <c r="AZ132" s="35"/>
      <c r="BA132" s="35" t="s">
        <v>166</v>
      </c>
      <c r="BB132" s="55"/>
      <c r="BC132" s="35" t="s">
        <v>92</v>
      </c>
      <c r="BD132" s="35"/>
      <c r="BE132" s="35">
        <v>0</v>
      </c>
      <c r="BF132" s="35"/>
      <c r="BG132" s="35">
        <v>0</v>
      </c>
      <c r="BH132" s="35"/>
      <c r="BI132" s="35">
        <v>0</v>
      </c>
      <c r="BJ132" s="35"/>
      <c r="BK132" s="35">
        <v>0</v>
      </c>
      <c r="BL132" s="35"/>
      <c r="BM132" s="35">
        <f t="shared" si="22"/>
        <v>0</v>
      </c>
      <c r="BN132" s="54" t="s">
        <v>347</v>
      </c>
    </row>
    <row r="133" spans="1:66" hidden="1">
      <c r="A133" s="35" t="s">
        <v>167</v>
      </c>
      <c r="C133" s="35" t="s">
        <v>66</v>
      </c>
      <c r="D133" s="35"/>
      <c r="E133" s="35">
        <f t="shared" si="17"/>
        <v>0</v>
      </c>
      <c r="F133" s="35"/>
      <c r="G133" s="35">
        <v>0</v>
      </c>
      <c r="H133" s="35"/>
      <c r="I133" s="35">
        <v>0</v>
      </c>
      <c r="J133" s="35"/>
      <c r="K133" s="35">
        <f t="shared" si="18"/>
        <v>0</v>
      </c>
      <c r="L133" s="35"/>
      <c r="M133" s="35">
        <v>0</v>
      </c>
      <c r="N133" s="35"/>
      <c r="O133" s="35">
        <v>0</v>
      </c>
      <c r="P133" s="35"/>
      <c r="Q133" s="35">
        <v>0</v>
      </c>
      <c r="R133" s="35"/>
      <c r="S133" s="35">
        <v>0</v>
      </c>
      <c r="T133" s="35"/>
      <c r="U133" s="35">
        <v>0</v>
      </c>
      <c r="V133" s="35"/>
      <c r="W133" s="35">
        <f t="shared" si="24"/>
        <v>0</v>
      </c>
      <c r="X133" s="35"/>
      <c r="Y133" s="35" t="s">
        <v>167</v>
      </c>
      <c r="Z133" s="55"/>
      <c r="AA133" s="35" t="s">
        <v>66</v>
      </c>
      <c r="AB133" s="35"/>
      <c r="AC133" s="35">
        <v>0</v>
      </c>
      <c r="AD133" s="35"/>
      <c r="AE133" s="35">
        <v>0</v>
      </c>
      <c r="AF133" s="35"/>
      <c r="AG133" s="35">
        <v>0</v>
      </c>
      <c r="AH133" s="35"/>
      <c r="AI133" s="45">
        <f t="shared" si="29"/>
        <v>0</v>
      </c>
      <c r="AJ133" s="45"/>
      <c r="AK133" s="35">
        <v>0</v>
      </c>
      <c r="AL133" s="35"/>
      <c r="AM133" s="35">
        <v>0</v>
      </c>
      <c r="AN133" s="35"/>
      <c r="AO133" s="35">
        <v>0</v>
      </c>
      <c r="AP133" s="35"/>
      <c r="AQ133" s="35">
        <v>0</v>
      </c>
      <c r="AR133" s="35"/>
      <c r="AS133" s="45">
        <f t="shared" si="26"/>
        <v>0</v>
      </c>
      <c r="AT133" s="45"/>
      <c r="AU133" s="35">
        <v>0</v>
      </c>
      <c r="AV133" s="35"/>
      <c r="AW133" s="35">
        <v>0</v>
      </c>
      <c r="AX133" s="35"/>
      <c r="AY133" s="35">
        <f t="shared" si="27"/>
        <v>0</v>
      </c>
      <c r="AZ133" s="35"/>
      <c r="BA133" s="35" t="s">
        <v>167</v>
      </c>
      <c r="BB133" s="55"/>
      <c r="BC133" s="35" t="s">
        <v>66</v>
      </c>
      <c r="BD133" s="35"/>
      <c r="BE133" s="35">
        <v>0</v>
      </c>
      <c r="BF133" s="35"/>
      <c r="BG133" s="35">
        <v>0</v>
      </c>
      <c r="BH133" s="35"/>
      <c r="BI133" s="35">
        <v>0</v>
      </c>
      <c r="BJ133" s="35"/>
      <c r="BK133" s="35">
        <v>0</v>
      </c>
      <c r="BL133" s="35"/>
      <c r="BM133" s="35">
        <f t="shared" si="22"/>
        <v>0</v>
      </c>
      <c r="BN133" s="54" t="s">
        <v>347</v>
      </c>
    </row>
    <row r="134" spans="1:66" hidden="1">
      <c r="A134" s="44" t="s">
        <v>168</v>
      </c>
      <c r="C134" s="44" t="s">
        <v>27</v>
      </c>
      <c r="D134" s="44"/>
      <c r="E134" s="35">
        <f t="shared" si="17"/>
        <v>0</v>
      </c>
      <c r="F134" s="35"/>
      <c r="G134" s="35">
        <v>0</v>
      </c>
      <c r="H134" s="35"/>
      <c r="I134" s="35">
        <v>0</v>
      </c>
      <c r="J134" s="35"/>
      <c r="K134" s="35">
        <f t="shared" si="18"/>
        <v>0</v>
      </c>
      <c r="L134" s="35"/>
      <c r="M134" s="35">
        <v>0</v>
      </c>
      <c r="N134" s="35"/>
      <c r="O134" s="35">
        <v>0</v>
      </c>
      <c r="P134" s="35"/>
      <c r="Q134" s="35">
        <v>0</v>
      </c>
      <c r="R134" s="35"/>
      <c r="S134" s="35">
        <v>0</v>
      </c>
      <c r="T134" s="35"/>
      <c r="U134" s="35">
        <v>0</v>
      </c>
      <c r="V134" s="35"/>
      <c r="W134" s="35">
        <f t="shared" si="24"/>
        <v>0</v>
      </c>
      <c r="X134" s="35"/>
      <c r="Y134" s="44" t="s">
        <v>168</v>
      </c>
      <c r="Z134" s="55"/>
      <c r="AA134" s="44" t="s">
        <v>27</v>
      </c>
      <c r="AB134" s="44"/>
      <c r="AC134" s="35">
        <v>0</v>
      </c>
      <c r="AD134" s="35"/>
      <c r="AE134" s="35">
        <v>0</v>
      </c>
      <c r="AF134" s="35"/>
      <c r="AG134" s="35">
        <v>0</v>
      </c>
      <c r="AH134" s="35"/>
      <c r="AI134" s="45">
        <f t="shared" si="29"/>
        <v>0</v>
      </c>
      <c r="AJ134" s="45"/>
      <c r="AK134" s="35">
        <v>0</v>
      </c>
      <c r="AL134" s="35"/>
      <c r="AM134" s="35">
        <v>0</v>
      </c>
      <c r="AN134" s="35"/>
      <c r="AO134" s="35">
        <v>0</v>
      </c>
      <c r="AP134" s="35"/>
      <c r="AQ134" s="35">
        <v>0</v>
      </c>
      <c r="AR134" s="35"/>
      <c r="AS134" s="45">
        <f t="shared" si="26"/>
        <v>0</v>
      </c>
      <c r="AT134" s="45"/>
      <c r="AU134" s="35">
        <v>0</v>
      </c>
      <c r="AV134" s="35"/>
      <c r="AW134" s="35">
        <v>0</v>
      </c>
      <c r="AX134" s="35"/>
      <c r="AY134" s="35">
        <f t="shared" si="27"/>
        <v>0</v>
      </c>
      <c r="AZ134" s="35"/>
      <c r="BA134" s="44" t="s">
        <v>168</v>
      </c>
      <c r="BB134" s="55"/>
      <c r="BC134" s="44" t="s">
        <v>27</v>
      </c>
      <c r="BD134" s="44"/>
      <c r="BE134" s="35">
        <v>0</v>
      </c>
      <c r="BF134" s="35"/>
      <c r="BG134" s="35">
        <v>0</v>
      </c>
      <c r="BH134" s="35"/>
      <c r="BI134" s="35">
        <v>0</v>
      </c>
      <c r="BJ134" s="35"/>
      <c r="BK134" s="35">
        <v>0</v>
      </c>
      <c r="BL134" s="35"/>
      <c r="BM134" s="35">
        <f t="shared" si="22"/>
        <v>0</v>
      </c>
      <c r="BN134" s="54" t="s">
        <v>347</v>
      </c>
    </row>
    <row r="135" spans="1:66">
      <c r="A135" s="35" t="s">
        <v>169</v>
      </c>
      <c r="C135" s="35" t="s">
        <v>103</v>
      </c>
      <c r="D135" s="35"/>
      <c r="E135" s="35">
        <f t="shared" si="17"/>
        <v>616104</v>
      </c>
      <c r="F135" s="35"/>
      <c r="G135" s="35">
        <v>446764</v>
      </c>
      <c r="H135" s="35"/>
      <c r="I135" s="35">
        <v>1062868</v>
      </c>
      <c r="J135" s="35"/>
      <c r="K135" s="35">
        <f t="shared" si="18"/>
        <v>435362</v>
      </c>
      <c r="L135" s="35"/>
      <c r="M135" s="35">
        <v>754649</v>
      </c>
      <c r="N135" s="35"/>
      <c r="O135" s="35">
        <v>1190011</v>
      </c>
      <c r="P135" s="35"/>
      <c r="Q135" s="35">
        <v>-576600</v>
      </c>
      <c r="R135" s="35"/>
      <c r="S135" s="35">
        <v>234411</v>
      </c>
      <c r="T135" s="35"/>
      <c r="U135" s="35">
        <v>215046</v>
      </c>
      <c r="V135" s="35"/>
      <c r="W135" s="35">
        <f t="shared" si="24"/>
        <v>-127143</v>
      </c>
      <c r="X135" s="35"/>
      <c r="Y135" s="35" t="s">
        <v>169</v>
      </c>
      <c r="Z135" s="55"/>
      <c r="AA135" s="35" t="s">
        <v>103</v>
      </c>
      <c r="AB135" s="35"/>
      <c r="AC135" s="35">
        <v>2837509</v>
      </c>
      <c r="AD135" s="35"/>
      <c r="AE135" s="35">
        <f>2505041-1659</f>
        <v>2503382</v>
      </c>
      <c r="AF135" s="35"/>
      <c r="AG135" s="35">
        <v>1659</v>
      </c>
      <c r="AH135" s="35"/>
      <c r="AI135" s="45">
        <f t="shared" si="29"/>
        <v>332468</v>
      </c>
      <c r="AJ135" s="45"/>
      <c r="AK135" s="35">
        <v>-37817</v>
      </c>
      <c r="AL135" s="35"/>
      <c r="AM135" s="35">
        <v>0</v>
      </c>
      <c r="AN135" s="35"/>
      <c r="AO135" s="35">
        <v>0</v>
      </c>
      <c r="AP135" s="35"/>
      <c r="AQ135" s="35">
        <v>0</v>
      </c>
      <c r="AR135" s="35"/>
      <c r="AS135" s="45">
        <f t="shared" si="26"/>
        <v>294651</v>
      </c>
      <c r="AT135" s="45"/>
      <c r="AU135" s="35">
        <v>0</v>
      </c>
      <c r="AV135" s="35"/>
      <c r="AW135" s="35">
        <v>0</v>
      </c>
      <c r="AX135" s="35"/>
      <c r="AY135" s="35">
        <f t="shared" si="27"/>
        <v>180742</v>
      </c>
      <c r="AZ135" s="35"/>
      <c r="BA135" s="35" t="s">
        <v>169</v>
      </c>
      <c r="BB135" s="55"/>
      <c r="BC135" s="35" t="s">
        <v>103</v>
      </c>
      <c r="BD135" s="35"/>
      <c r="BE135" s="35">
        <f>744135+234411</f>
        <v>978546</v>
      </c>
      <c r="BF135" s="35"/>
      <c r="BG135" s="35">
        <v>0</v>
      </c>
      <c r="BH135" s="35"/>
      <c r="BI135" s="35">
        <v>0</v>
      </c>
      <c r="BJ135" s="35"/>
      <c r="BK135" s="35">
        <v>10514</v>
      </c>
      <c r="BL135" s="35"/>
      <c r="BM135" s="35">
        <f t="shared" si="22"/>
        <v>989060</v>
      </c>
      <c r="BN135" s="54" t="s">
        <v>347</v>
      </c>
    </row>
    <row r="136" spans="1:66" hidden="1">
      <c r="A136" s="35" t="s">
        <v>170</v>
      </c>
      <c r="C136" s="35" t="s">
        <v>171</v>
      </c>
      <c r="D136" s="35"/>
      <c r="E136" s="35">
        <f t="shared" si="17"/>
        <v>0</v>
      </c>
      <c r="F136" s="35"/>
      <c r="G136" s="35">
        <v>0</v>
      </c>
      <c r="H136" s="35"/>
      <c r="I136" s="35">
        <v>0</v>
      </c>
      <c r="J136" s="35"/>
      <c r="K136" s="35">
        <f t="shared" si="18"/>
        <v>0</v>
      </c>
      <c r="L136" s="35"/>
      <c r="M136" s="35">
        <v>0</v>
      </c>
      <c r="N136" s="35"/>
      <c r="O136" s="35">
        <v>0</v>
      </c>
      <c r="P136" s="35"/>
      <c r="Q136" s="35">
        <v>0</v>
      </c>
      <c r="R136" s="35"/>
      <c r="S136" s="35">
        <v>0</v>
      </c>
      <c r="T136" s="35"/>
      <c r="U136" s="35">
        <v>0</v>
      </c>
      <c r="V136" s="35"/>
      <c r="W136" s="35">
        <f t="shared" si="24"/>
        <v>0</v>
      </c>
      <c r="X136" s="35"/>
      <c r="Y136" s="35" t="s">
        <v>170</v>
      </c>
      <c r="Z136" s="55"/>
      <c r="AA136" s="35" t="s">
        <v>171</v>
      </c>
      <c r="AB136" s="35"/>
      <c r="AC136" s="35">
        <v>0</v>
      </c>
      <c r="AD136" s="35"/>
      <c r="AE136" s="35">
        <v>0</v>
      </c>
      <c r="AF136" s="35"/>
      <c r="AG136" s="35">
        <v>0</v>
      </c>
      <c r="AH136" s="35"/>
      <c r="AI136" s="45">
        <f t="shared" si="29"/>
        <v>0</v>
      </c>
      <c r="AJ136" s="45"/>
      <c r="AK136" s="35">
        <v>0</v>
      </c>
      <c r="AL136" s="35"/>
      <c r="AM136" s="35">
        <v>0</v>
      </c>
      <c r="AN136" s="35"/>
      <c r="AO136" s="35">
        <v>0</v>
      </c>
      <c r="AP136" s="35"/>
      <c r="AQ136" s="35">
        <v>0</v>
      </c>
      <c r="AR136" s="35"/>
      <c r="AS136" s="45">
        <f t="shared" si="26"/>
        <v>0</v>
      </c>
      <c r="AT136" s="45"/>
      <c r="AU136" s="35">
        <v>0</v>
      </c>
      <c r="AV136" s="35"/>
      <c r="AW136" s="35">
        <v>0</v>
      </c>
      <c r="AX136" s="35"/>
      <c r="AY136" s="35">
        <f t="shared" si="27"/>
        <v>0</v>
      </c>
      <c r="AZ136" s="35"/>
      <c r="BA136" s="35" t="s">
        <v>170</v>
      </c>
      <c r="BB136" s="55"/>
      <c r="BC136" s="35" t="s">
        <v>171</v>
      </c>
      <c r="BD136" s="35"/>
      <c r="BE136" s="35">
        <v>0</v>
      </c>
      <c r="BF136" s="35"/>
      <c r="BG136" s="35">
        <v>0</v>
      </c>
      <c r="BH136" s="35"/>
      <c r="BI136" s="35">
        <v>0</v>
      </c>
      <c r="BJ136" s="35"/>
      <c r="BK136" s="35">
        <v>0</v>
      </c>
      <c r="BL136" s="35"/>
      <c r="BM136" s="35">
        <f t="shared" si="22"/>
        <v>0</v>
      </c>
      <c r="BN136" s="54" t="s">
        <v>347</v>
      </c>
    </row>
    <row r="137" spans="1:66" hidden="1">
      <c r="A137" s="35" t="s">
        <v>172</v>
      </c>
      <c r="C137" s="35" t="s">
        <v>103</v>
      </c>
      <c r="D137" s="35"/>
      <c r="E137" s="35">
        <f t="shared" si="17"/>
        <v>0</v>
      </c>
      <c r="F137" s="35"/>
      <c r="G137" s="35">
        <v>0</v>
      </c>
      <c r="H137" s="35"/>
      <c r="I137" s="35">
        <v>0</v>
      </c>
      <c r="J137" s="35"/>
      <c r="K137" s="35">
        <f t="shared" si="18"/>
        <v>0</v>
      </c>
      <c r="L137" s="35"/>
      <c r="M137" s="35">
        <v>0</v>
      </c>
      <c r="N137" s="35"/>
      <c r="O137" s="35">
        <v>0</v>
      </c>
      <c r="P137" s="35"/>
      <c r="Q137" s="35">
        <v>0</v>
      </c>
      <c r="R137" s="35"/>
      <c r="S137" s="35">
        <v>0</v>
      </c>
      <c r="T137" s="35"/>
      <c r="U137" s="35">
        <v>0</v>
      </c>
      <c r="V137" s="35"/>
      <c r="W137" s="35">
        <f t="shared" si="24"/>
        <v>0</v>
      </c>
      <c r="X137" s="35"/>
      <c r="Y137" s="35" t="s">
        <v>172</v>
      </c>
      <c r="Z137" s="55"/>
      <c r="AA137" s="35" t="s">
        <v>103</v>
      </c>
      <c r="AB137" s="35"/>
      <c r="AC137" s="35">
        <v>0</v>
      </c>
      <c r="AD137" s="35"/>
      <c r="AE137" s="35">
        <v>0</v>
      </c>
      <c r="AF137" s="35"/>
      <c r="AG137" s="35">
        <v>0</v>
      </c>
      <c r="AH137" s="35"/>
      <c r="AI137" s="45">
        <f t="shared" si="29"/>
        <v>0</v>
      </c>
      <c r="AJ137" s="45"/>
      <c r="AK137" s="35">
        <v>0</v>
      </c>
      <c r="AL137" s="35"/>
      <c r="AM137" s="35">
        <v>0</v>
      </c>
      <c r="AN137" s="35"/>
      <c r="AO137" s="35">
        <v>0</v>
      </c>
      <c r="AP137" s="35"/>
      <c r="AQ137" s="35">
        <v>0</v>
      </c>
      <c r="AR137" s="35"/>
      <c r="AS137" s="45">
        <f t="shared" si="26"/>
        <v>0</v>
      </c>
      <c r="AT137" s="45"/>
      <c r="AU137" s="35">
        <v>0</v>
      </c>
      <c r="AV137" s="35"/>
      <c r="AW137" s="35">
        <v>0</v>
      </c>
      <c r="AX137" s="35"/>
      <c r="AY137" s="35">
        <f t="shared" si="27"/>
        <v>0</v>
      </c>
      <c r="AZ137" s="35"/>
      <c r="BA137" s="35" t="s">
        <v>172</v>
      </c>
      <c r="BB137" s="55"/>
      <c r="BC137" s="35" t="s">
        <v>103</v>
      </c>
      <c r="BD137" s="35"/>
      <c r="BE137" s="35">
        <v>0</v>
      </c>
      <c r="BF137" s="35"/>
      <c r="BG137" s="35">
        <v>0</v>
      </c>
      <c r="BH137" s="35"/>
      <c r="BI137" s="35">
        <v>0</v>
      </c>
      <c r="BJ137" s="35"/>
      <c r="BK137" s="35">
        <v>0</v>
      </c>
      <c r="BL137" s="35"/>
      <c r="BM137" s="35">
        <f t="shared" si="22"/>
        <v>0</v>
      </c>
      <c r="BN137" s="54" t="s">
        <v>347</v>
      </c>
    </row>
    <row r="138" spans="1:66" hidden="1">
      <c r="A138" s="35" t="s">
        <v>66</v>
      </c>
      <c r="C138" s="35" t="s">
        <v>45</v>
      </c>
      <c r="D138" s="35"/>
      <c r="E138" s="35">
        <f t="shared" si="17"/>
        <v>0</v>
      </c>
      <c r="F138" s="35"/>
      <c r="G138" s="35">
        <v>0</v>
      </c>
      <c r="H138" s="35"/>
      <c r="I138" s="35">
        <v>0</v>
      </c>
      <c r="J138" s="35"/>
      <c r="K138" s="35">
        <f t="shared" si="18"/>
        <v>0</v>
      </c>
      <c r="L138" s="35"/>
      <c r="M138" s="35">
        <v>0</v>
      </c>
      <c r="N138" s="35"/>
      <c r="O138" s="35">
        <v>0</v>
      </c>
      <c r="P138" s="35"/>
      <c r="Q138" s="35">
        <v>0</v>
      </c>
      <c r="R138" s="35"/>
      <c r="S138" s="35">
        <v>0</v>
      </c>
      <c r="T138" s="35"/>
      <c r="U138" s="35">
        <v>0</v>
      </c>
      <c r="V138" s="35"/>
      <c r="W138" s="35">
        <f t="shared" ref="W138:W201" si="30">SUM(Q138:U138)</f>
        <v>0</v>
      </c>
      <c r="X138" s="35"/>
      <c r="Y138" s="35" t="s">
        <v>66</v>
      </c>
      <c r="Z138" s="55"/>
      <c r="AA138" s="35" t="s">
        <v>45</v>
      </c>
      <c r="AB138" s="35"/>
      <c r="AC138" s="35">
        <v>0</v>
      </c>
      <c r="AD138" s="35"/>
      <c r="AE138" s="35">
        <v>0</v>
      </c>
      <c r="AF138" s="35"/>
      <c r="AG138" s="35">
        <v>0</v>
      </c>
      <c r="AH138" s="35"/>
      <c r="AI138" s="45">
        <f t="shared" si="29"/>
        <v>0</v>
      </c>
      <c r="AJ138" s="45"/>
      <c r="AK138" s="35">
        <v>0</v>
      </c>
      <c r="AL138" s="35"/>
      <c r="AM138" s="35">
        <v>0</v>
      </c>
      <c r="AN138" s="35"/>
      <c r="AO138" s="35">
        <v>0</v>
      </c>
      <c r="AP138" s="35"/>
      <c r="AQ138" s="35">
        <v>0</v>
      </c>
      <c r="AR138" s="35"/>
      <c r="AS138" s="45">
        <f t="shared" si="26"/>
        <v>0</v>
      </c>
      <c r="AT138" s="45"/>
      <c r="AU138" s="35">
        <v>0</v>
      </c>
      <c r="AV138" s="35"/>
      <c r="AW138" s="35">
        <v>0</v>
      </c>
      <c r="AX138" s="35"/>
      <c r="AY138" s="35">
        <f t="shared" si="27"/>
        <v>0</v>
      </c>
      <c r="AZ138" s="35"/>
      <c r="BA138" s="35" t="s">
        <v>66</v>
      </c>
      <c r="BB138" s="55"/>
      <c r="BC138" s="35" t="s">
        <v>45</v>
      </c>
      <c r="BD138" s="35"/>
      <c r="BE138" s="35">
        <v>0</v>
      </c>
      <c r="BF138" s="35"/>
      <c r="BG138" s="35">
        <v>0</v>
      </c>
      <c r="BH138" s="35"/>
      <c r="BI138" s="35">
        <v>0</v>
      </c>
      <c r="BJ138" s="35"/>
      <c r="BK138" s="35">
        <v>0</v>
      </c>
      <c r="BL138" s="35"/>
      <c r="BM138" s="35">
        <f t="shared" si="22"/>
        <v>0</v>
      </c>
      <c r="BN138" s="54" t="s">
        <v>347</v>
      </c>
    </row>
    <row r="139" spans="1:66" hidden="1">
      <c r="A139" s="35" t="s">
        <v>173</v>
      </c>
      <c r="C139" s="35" t="s">
        <v>66</v>
      </c>
      <c r="D139" s="35"/>
      <c r="E139" s="35">
        <f t="shared" ref="E139:E202" si="31">I139-G139</f>
        <v>0</v>
      </c>
      <c r="F139" s="35"/>
      <c r="G139" s="35">
        <v>0</v>
      </c>
      <c r="H139" s="35"/>
      <c r="I139" s="35">
        <v>0</v>
      </c>
      <c r="J139" s="35"/>
      <c r="K139" s="35">
        <f t="shared" ref="K139:K202" si="32">O139-M139</f>
        <v>0</v>
      </c>
      <c r="L139" s="35"/>
      <c r="M139" s="35">
        <v>0</v>
      </c>
      <c r="N139" s="35"/>
      <c r="O139" s="35">
        <v>0</v>
      </c>
      <c r="P139" s="35"/>
      <c r="Q139" s="35">
        <v>0</v>
      </c>
      <c r="R139" s="35"/>
      <c r="S139" s="35">
        <v>0</v>
      </c>
      <c r="T139" s="35"/>
      <c r="U139" s="35">
        <v>0</v>
      </c>
      <c r="V139" s="35"/>
      <c r="W139" s="35">
        <f t="shared" si="30"/>
        <v>0</v>
      </c>
      <c r="X139" s="35"/>
      <c r="Y139" s="35" t="s">
        <v>173</v>
      </c>
      <c r="Z139" s="55"/>
      <c r="AA139" s="35" t="s">
        <v>66</v>
      </c>
      <c r="AB139" s="35"/>
      <c r="AC139" s="35">
        <v>0</v>
      </c>
      <c r="AD139" s="35"/>
      <c r="AE139" s="35">
        <v>0</v>
      </c>
      <c r="AF139" s="35"/>
      <c r="AG139" s="35">
        <v>0</v>
      </c>
      <c r="AH139" s="35"/>
      <c r="AI139" s="45">
        <f t="shared" si="29"/>
        <v>0</v>
      </c>
      <c r="AJ139" s="45"/>
      <c r="AK139" s="35">
        <v>0</v>
      </c>
      <c r="AL139" s="35"/>
      <c r="AM139" s="35">
        <v>0</v>
      </c>
      <c r="AN139" s="35"/>
      <c r="AO139" s="35">
        <v>0</v>
      </c>
      <c r="AP139" s="35"/>
      <c r="AQ139" s="35">
        <v>0</v>
      </c>
      <c r="AR139" s="35"/>
      <c r="AS139" s="45">
        <f t="shared" si="26"/>
        <v>0</v>
      </c>
      <c r="AT139" s="45"/>
      <c r="AU139" s="35">
        <v>0</v>
      </c>
      <c r="AV139" s="35"/>
      <c r="AW139" s="35">
        <v>0</v>
      </c>
      <c r="AX139" s="35"/>
      <c r="AY139" s="35">
        <f t="shared" si="27"/>
        <v>0</v>
      </c>
      <c r="AZ139" s="35"/>
      <c r="BA139" s="35" t="s">
        <v>173</v>
      </c>
      <c r="BB139" s="55"/>
      <c r="BC139" s="35" t="s">
        <v>66</v>
      </c>
      <c r="BD139" s="35"/>
      <c r="BE139" s="35">
        <v>0</v>
      </c>
      <c r="BF139" s="35"/>
      <c r="BG139" s="35">
        <v>0</v>
      </c>
      <c r="BH139" s="35"/>
      <c r="BI139" s="35">
        <v>0</v>
      </c>
      <c r="BJ139" s="35"/>
      <c r="BK139" s="35">
        <v>0</v>
      </c>
      <c r="BL139" s="35"/>
      <c r="BM139" s="35">
        <f t="shared" si="22"/>
        <v>0</v>
      </c>
      <c r="BN139" s="54" t="s">
        <v>347</v>
      </c>
    </row>
    <row r="140" spans="1:66" hidden="1">
      <c r="A140" s="35" t="s">
        <v>174</v>
      </c>
      <c r="C140" s="35" t="s">
        <v>45</v>
      </c>
      <c r="D140" s="35"/>
      <c r="E140" s="35">
        <f t="shared" si="31"/>
        <v>0</v>
      </c>
      <c r="F140" s="35"/>
      <c r="G140" s="35">
        <v>0</v>
      </c>
      <c r="H140" s="35"/>
      <c r="I140" s="35">
        <v>0</v>
      </c>
      <c r="J140" s="35"/>
      <c r="K140" s="35">
        <f t="shared" si="32"/>
        <v>0</v>
      </c>
      <c r="L140" s="35"/>
      <c r="M140" s="35">
        <v>0</v>
      </c>
      <c r="N140" s="35"/>
      <c r="O140" s="35">
        <v>0</v>
      </c>
      <c r="P140" s="35"/>
      <c r="Q140" s="35">
        <v>0</v>
      </c>
      <c r="R140" s="35"/>
      <c r="S140" s="35">
        <v>0</v>
      </c>
      <c r="T140" s="35"/>
      <c r="U140" s="35">
        <v>0</v>
      </c>
      <c r="V140" s="35"/>
      <c r="W140" s="35">
        <f t="shared" si="30"/>
        <v>0</v>
      </c>
      <c r="X140" s="35"/>
      <c r="Y140" s="35" t="s">
        <v>174</v>
      </c>
      <c r="Z140" s="55"/>
      <c r="AA140" s="35" t="s">
        <v>45</v>
      </c>
      <c r="AB140" s="35"/>
      <c r="AC140" s="35">
        <v>0</v>
      </c>
      <c r="AD140" s="35"/>
      <c r="AE140" s="35">
        <v>0</v>
      </c>
      <c r="AF140" s="35"/>
      <c r="AG140" s="35">
        <v>0</v>
      </c>
      <c r="AH140" s="35"/>
      <c r="AI140" s="45">
        <f t="shared" si="29"/>
        <v>0</v>
      </c>
      <c r="AJ140" s="45"/>
      <c r="AK140" s="35">
        <v>0</v>
      </c>
      <c r="AL140" s="35"/>
      <c r="AM140" s="35">
        <v>0</v>
      </c>
      <c r="AN140" s="35"/>
      <c r="AO140" s="35">
        <v>0</v>
      </c>
      <c r="AP140" s="35"/>
      <c r="AQ140" s="35">
        <v>0</v>
      </c>
      <c r="AR140" s="35"/>
      <c r="AS140" s="45">
        <f t="shared" si="26"/>
        <v>0</v>
      </c>
      <c r="AT140" s="45"/>
      <c r="AU140" s="35">
        <v>0</v>
      </c>
      <c r="AV140" s="35"/>
      <c r="AW140" s="35">
        <v>0</v>
      </c>
      <c r="AX140" s="35"/>
      <c r="AY140" s="35">
        <f t="shared" si="27"/>
        <v>0</v>
      </c>
      <c r="AZ140" s="35"/>
      <c r="BA140" s="35" t="s">
        <v>174</v>
      </c>
      <c r="BB140" s="55"/>
      <c r="BC140" s="35" t="s">
        <v>45</v>
      </c>
      <c r="BD140" s="35"/>
      <c r="BE140" s="35">
        <v>0</v>
      </c>
      <c r="BF140" s="35"/>
      <c r="BG140" s="35">
        <v>0</v>
      </c>
      <c r="BH140" s="35"/>
      <c r="BI140" s="35">
        <v>0</v>
      </c>
      <c r="BJ140" s="35"/>
      <c r="BK140" s="35">
        <v>0</v>
      </c>
      <c r="BL140" s="35"/>
      <c r="BM140" s="35">
        <f t="shared" si="22"/>
        <v>0</v>
      </c>
      <c r="BN140" s="54" t="s">
        <v>347</v>
      </c>
    </row>
    <row r="141" spans="1:66" hidden="1">
      <c r="A141" s="35" t="s">
        <v>175</v>
      </c>
      <c r="C141" s="35" t="s">
        <v>176</v>
      </c>
      <c r="D141" s="35"/>
      <c r="E141" s="35">
        <f t="shared" si="31"/>
        <v>0</v>
      </c>
      <c r="F141" s="35"/>
      <c r="G141" s="35">
        <v>0</v>
      </c>
      <c r="H141" s="35"/>
      <c r="I141" s="35">
        <v>0</v>
      </c>
      <c r="J141" s="35"/>
      <c r="K141" s="35">
        <f t="shared" si="32"/>
        <v>0</v>
      </c>
      <c r="L141" s="35"/>
      <c r="M141" s="35">
        <v>0</v>
      </c>
      <c r="N141" s="35"/>
      <c r="O141" s="35">
        <v>0</v>
      </c>
      <c r="P141" s="35"/>
      <c r="Q141" s="35">
        <v>0</v>
      </c>
      <c r="R141" s="35"/>
      <c r="S141" s="35">
        <v>0</v>
      </c>
      <c r="T141" s="35"/>
      <c r="U141" s="35">
        <v>0</v>
      </c>
      <c r="V141" s="35"/>
      <c r="W141" s="35">
        <f t="shared" si="30"/>
        <v>0</v>
      </c>
      <c r="X141" s="35"/>
      <c r="Y141" s="35" t="s">
        <v>175</v>
      </c>
      <c r="Z141" s="55"/>
      <c r="AA141" s="35" t="s">
        <v>176</v>
      </c>
      <c r="AB141" s="35"/>
      <c r="AC141" s="35">
        <v>0</v>
      </c>
      <c r="AD141" s="35"/>
      <c r="AE141" s="35">
        <v>0</v>
      </c>
      <c r="AF141" s="35"/>
      <c r="AG141" s="35">
        <v>0</v>
      </c>
      <c r="AH141" s="35"/>
      <c r="AI141" s="45">
        <f t="shared" si="29"/>
        <v>0</v>
      </c>
      <c r="AJ141" s="45"/>
      <c r="AK141" s="35">
        <v>0</v>
      </c>
      <c r="AL141" s="35"/>
      <c r="AM141" s="35">
        <v>0</v>
      </c>
      <c r="AN141" s="35"/>
      <c r="AO141" s="35">
        <v>0</v>
      </c>
      <c r="AP141" s="35"/>
      <c r="AQ141" s="35">
        <v>0</v>
      </c>
      <c r="AR141" s="35"/>
      <c r="AS141" s="45">
        <f t="shared" si="26"/>
        <v>0</v>
      </c>
      <c r="AT141" s="45"/>
      <c r="AU141" s="35">
        <v>0</v>
      </c>
      <c r="AV141" s="35"/>
      <c r="AW141" s="35">
        <v>0</v>
      </c>
      <c r="AX141" s="35"/>
      <c r="AY141" s="35">
        <f t="shared" si="27"/>
        <v>0</v>
      </c>
      <c r="AZ141" s="35"/>
      <c r="BA141" s="35" t="s">
        <v>175</v>
      </c>
      <c r="BB141" s="55"/>
      <c r="BC141" s="35" t="s">
        <v>176</v>
      </c>
      <c r="BD141" s="35"/>
      <c r="BE141" s="35">
        <v>0</v>
      </c>
      <c r="BF141" s="35"/>
      <c r="BG141" s="35">
        <v>0</v>
      </c>
      <c r="BH141" s="35"/>
      <c r="BI141" s="35">
        <v>0</v>
      </c>
      <c r="BJ141" s="35"/>
      <c r="BK141" s="35">
        <v>0</v>
      </c>
      <c r="BL141" s="35"/>
      <c r="BM141" s="35">
        <v>0</v>
      </c>
      <c r="BN141" s="54" t="s">
        <v>347</v>
      </c>
    </row>
    <row r="142" spans="1:66" hidden="1">
      <c r="A142" s="35" t="s">
        <v>177</v>
      </c>
      <c r="C142" s="35" t="s">
        <v>13</v>
      </c>
      <c r="D142" s="35"/>
      <c r="E142" s="35">
        <f t="shared" si="31"/>
        <v>0</v>
      </c>
      <c r="F142" s="35"/>
      <c r="G142" s="35">
        <v>0</v>
      </c>
      <c r="H142" s="35"/>
      <c r="I142" s="35">
        <v>0</v>
      </c>
      <c r="J142" s="35"/>
      <c r="K142" s="35">
        <f t="shared" si="32"/>
        <v>0</v>
      </c>
      <c r="L142" s="35"/>
      <c r="M142" s="35">
        <v>0</v>
      </c>
      <c r="N142" s="35"/>
      <c r="O142" s="35">
        <v>0</v>
      </c>
      <c r="P142" s="35"/>
      <c r="Q142" s="35">
        <v>0</v>
      </c>
      <c r="R142" s="35"/>
      <c r="S142" s="35">
        <v>0</v>
      </c>
      <c r="T142" s="35"/>
      <c r="U142" s="35">
        <v>0</v>
      </c>
      <c r="V142" s="35"/>
      <c r="W142" s="35">
        <f t="shared" si="30"/>
        <v>0</v>
      </c>
      <c r="X142" s="35"/>
      <c r="Y142" s="35" t="s">
        <v>177</v>
      </c>
      <c r="Z142" s="55"/>
      <c r="AA142" s="35" t="s">
        <v>13</v>
      </c>
      <c r="AB142" s="35"/>
      <c r="AC142" s="35">
        <v>0</v>
      </c>
      <c r="AD142" s="35"/>
      <c r="AE142" s="35">
        <v>0</v>
      </c>
      <c r="AF142" s="35"/>
      <c r="AG142" s="35">
        <v>0</v>
      </c>
      <c r="AH142" s="35"/>
      <c r="AI142" s="45">
        <f t="shared" si="29"/>
        <v>0</v>
      </c>
      <c r="AJ142" s="45"/>
      <c r="AK142" s="35">
        <v>0</v>
      </c>
      <c r="AL142" s="35"/>
      <c r="AM142" s="35">
        <v>0</v>
      </c>
      <c r="AN142" s="35"/>
      <c r="AO142" s="35">
        <v>0</v>
      </c>
      <c r="AP142" s="35"/>
      <c r="AQ142" s="35">
        <v>0</v>
      </c>
      <c r="AR142" s="35"/>
      <c r="AS142" s="45">
        <f t="shared" si="26"/>
        <v>0</v>
      </c>
      <c r="AT142" s="45"/>
      <c r="AU142" s="35">
        <v>0</v>
      </c>
      <c r="AV142" s="35"/>
      <c r="AW142" s="35">
        <v>0</v>
      </c>
      <c r="AX142" s="35"/>
      <c r="AY142" s="35">
        <f t="shared" si="27"/>
        <v>0</v>
      </c>
      <c r="AZ142" s="35"/>
      <c r="BA142" s="35" t="s">
        <v>177</v>
      </c>
      <c r="BB142" s="55"/>
      <c r="BC142" s="35" t="s">
        <v>13</v>
      </c>
      <c r="BD142" s="35"/>
      <c r="BE142" s="35">
        <v>0</v>
      </c>
      <c r="BF142" s="35"/>
      <c r="BG142" s="35">
        <v>0</v>
      </c>
      <c r="BH142" s="35"/>
      <c r="BI142" s="35">
        <v>0</v>
      </c>
      <c r="BJ142" s="35"/>
      <c r="BK142" s="35">
        <v>0</v>
      </c>
      <c r="BL142" s="35"/>
      <c r="BM142" s="35">
        <f t="shared" ref="BM142:BM187" si="33">SUM(BE142:BK142)</f>
        <v>0</v>
      </c>
      <c r="BN142" s="54" t="s">
        <v>347</v>
      </c>
    </row>
    <row r="143" spans="1:66">
      <c r="A143" s="35" t="s">
        <v>178</v>
      </c>
      <c r="C143" s="35" t="s">
        <v>179</v>
      </c>
      <c r="D143" s="35"/>
      <c r="E143" s="35">
        <f t="shared" si="31"/>
        <v>638209</v>
      </c>
      <c r="F143" s="35"/>
      <c r="G143" s="35">
        <v>371997</v>
      </c>
      <c r="H143" s="35"/>
      <c r="I143" s="35">
        <v>1010206</v>
      </c>
      <c r="J143" s="35"/>
      <c r="K143" s="35">
        <f t="shared" si="32"/>
        <v>36583</v>
      </c>
      <c r="L143" s="35"/>
      <c r="M143" s="35">
        <v>11101</v>
      </c>
      <c r="N143" s="35"/>
      <c r="O143" s="35">
        <v>47684</v>
      </c>
      <c r="P143" s="35"/>
      <c r="Q143" s="35">
        <v>371997</v>
      </c>
      <c r="R143" s="35"/>
      <c r="S143" s="35">
        <v>0</v>
      </c>
      <c r="T143" s="35"/>
      <c r="U143" s="35">
        <v>590525</v>
      </c>
      <c r="V143" s="35"/>
      <c r="W143" s="35">
        <f t="shared" si="30"/>
        <v>962522</v>
      </c>
      <c r="X143" s="35"/>
      <c r="Y143" s="35" t="s">
        <v>178</v>
      </c>
      <c r="Z143" s="55"/>
      <c r="AA143" s="35" t="s">
        <v>179</v>
      </c>
      <c r="AB143" s="35"/>
      <c r="AC143" s="35">
        <v>861016</v>
      </c>
      <c r="AD143" s="35"/>
      <c r="AE143" s="35">
        <f>625987-23996</f>
        <v>601991</v>
      </c>
      <c r="AF143" s="35"/>
      <c r="AG143" s="35">
        <v>23996</v>
      </c>
      <c r="AH143" s="35"/>
      <c r="AI143" s="45">
        <f t="shared" si="29"/>
        <v>235029</v>
      </c>
      <c r="AJ143" s="45"/>
      <c r="AK143" s="35">
        <v>13675</v>
      </c>
      <c r="AL143" s="35"/>
      <c r="AM143" s="35">
        <v>0</v>
      </c>
      <c r="AN143" s="35"/>
      <c r="AO143" s="35">
        <v>0</v>
      </c>
      <c r="AP143" s="35"/>
      <c r="AQ143" s="35">
        <v>0</v>
      </c>
      <c r="AR143" s="35"/>
      <c r="AS143" s="45">
        <f t="shared" si="26"/>
        <v>248704</v>
      </c>
      <c r="AT143" s="45"/>
      <c r="AU143" s="35">
        <v>0</v>
      </c>
      <c r="AV143" s="35"/>
      <c r="AW143" s="35">
        <v>0</v>
      </c>
      <c r="AX143" s="35"/>
      <c r="AY143" s="35">
        <f t="shared" si="27"/>
        <v>601626</v>
      </c>
      <c r="AZ143" s="35"/>
      <c r="BA143" s="35" t="s">
        <v>178</v>
      </c>
      <c r="BB143" s="55"/>
      <c r="BC143" s="35" t="s">
        <v>179</v>
      </c>
      <c r="BD143" s="35"/>
      <c r="BE143" s="35">
        <v>0</v>
      </c>
      <c r="BF143" s="35"/>
      <c r="BG143" s="35">
        <v>0</v>
      </c>
      <c r="BH143" s="35"/>
      <c r="BI143" s="35">
        <v>0</v>
      </c>
      <c r="BJ143" s="35"/>
      <c r="BK143" s="35">
        <v>11101</v>
      </c>
      <c r="BL143" s="35"/>
      <c r="BM143" s="35">
        <f t="shared" si="33"/>
        <v>11101</v>
      </c>
      <c r="BN143" s="54" t="s">
        <v>347</v>
      </c>
    </row>
    <row r="144" spans="1:66" hidden="1">
      <c r="A144" s="35" t="s">
        <v>180</v>
      </c>
      <c r="C144" s="35" t="s">
        <v>20</v>
      </c>
      <c r="D144" s="35"/>
      <c r="E144" s="35">
        <f t="shared" si="31"/>
        <v>0</v>
      </c>
      <c r="F144" s="35"/>
      <c r="G144" s="35">
        <v>0</v>
      </c>
      <c r="H144" s="35"/>
      <c r="I144" s="35">
        <v>0</v>
      </c>
      <c r="J144" s="35"/>
      <c r="K144" s="35">
        <f t="shared" si="32"/>
        <v>0</v>
      </c>
      <c r="L144" s="35"/>
      <c r="M144" s="35">
        <v>0</v>
      </c>
      <c r="N144" s="35"/>
      <c r="O144" s="35">
        <v>0</v>
      </c>
      <c r="P144" s="35"/>
      <c r="Q144" s="35">
        <v>0</v>
      </c>
      <c r="R144" s="35"/>
      <c r="S144" s="35">
        <v>0</v>
      </c>
      <c r="T144" s="35"/>
      <c r="U144" s="35">
        <v>0</v>
      </c>
      <c r="V144" s="35"/>
      <c r="W144" s="35">
        <f t="shared" si="30"/>
        <v>0</v>
      </c>
      <c r="X144" s="35"/>
      <c r="Y144" s="35" t="s">
        <v>180</v>
      </c>
      <c r="Z144" s="55"/>
      <c r="AA144" s="35" t="s">
        <v>20</v>
      </c>
      <c r="AB144" s="35"/>
      <c r="AC144" s="35">
        <v>0</v>
      </c>
      <c r="AD144" s="35"/>
      <c r="AE144" s="35">
        <v>0</v>
      </c>
      <c r="AF144" s="35"/>
      <c r="AG144" s="35">
        <v>0</v>
      </c>
      <c r="AH144" s="35"/>
      <c r="AI144" s="45">
        <f t="shared" si="29"/>
        <v>0</v>
      </c>
      <c r="AJ144" s="45"/>
      <c r="AK144" s="35">
        <v>0</v>
      </c>
      <c r="AL144" s="35"/>
      <c r="AM144" s="35">
        <v>0</v>
      </c>
      <c r="AN144" s="35"/>
      <c r="AO144" s="35">
        <v>0</v>
      </c>
      <c r="AP144" s="35"/>
      <c r="AQ144" s="35">
        <v>0</v>
      </c>
      <c r="AR144" s="35"/>
      <c r="AS144" s="45">
        <f t="shared" si="26"/>
        <v>0</v>
      </c>
      <c r="AT144" s="45"/>
      <c r="AU144" s="35">
        <v>0</v>
      </c>
      <c r="AV144" s="35"/>
      <c r="AW144" s="35">
        <v>0</v>
      </c>
      <c r="AX144" s="35"/>
      <c r="AY144" s="35">
        <f t="shared" si="27"/>
        <v>0</v>
      </c>
      <c r="AZ144" s="35"/>
      <c r="BA144" s="35" t="s">
        <v>180</v>
      </c>
      <c r="BB144" s="55"/>
      <c r="BC144" s="35" t="s">
        <v>20</v>
      </c>
      <c r="BD144" s="35"/>
      <c r="BE144" s="35">
        <v>0</v>
      </c>
      <c r="BF144" s="35"/>
      <c r="BG144" s="35">
        <v>0</v>
      </c>
      <c r="BH144" s="35"/>
      <c r="BI144" s="35">
        <v>0</v>
      </c>
      <c r="BJ144" s="35"/>
      <c r="BK144" s="35">
        <v>0</v>
      </c>
      <c r="BL144" s="35"/>
      <c r="BM144" s="35">
        <f t="shared" si="33"/>
        <v>0</v>
      </c>
      <c r="BN144" s="54" t="s">
        <v>347</v>
      </c>
    </row>
    <row r="145" spans="1:66" hidden="1">
      <c r="A145" s="35" t="s">
        <v>182</v>
      </c>
      <c r="C145" s="35" t="s">
        <v>183</v>
      </c>
      <c r="D145" s="35"/>
      <c r="E145" s="35">
        <f t="shared" si="31"/>
        <v>0</v>
      </c>
      <c r="F145" s="35"/>
      <c r="G145" s="35">
        <v>0</v>
      </c>
      <c r="H145" s="35"/>
      <c r="I145" s="35">
        <v>0</v>
      </c>
      <c r="J145" s="35"/>
      <c r="K145" s="35">
        <f t="shared" si="32"/>
        <v>0</v>
      </c>
      <c r="L145" s="35"/>
      <c r="M145" s="35">
        <v>0</v>
      </c>
      <c r="N145" s="35"/>
      <c r="O145" s="35">
        <v>0</v>
      </c>
      <c r="P145" s="35"/>
      <c r="Q145" s="35">
        <v>0</v>
      </c>
      <c r="R145" s="35"/>
      <c r="S145" s="35">
        <v>0</v>
      </c>
      <c r="T145" s="35"/>
      <c r="U145" s="35">
        <v>0</v>
      </c>
      <c r="V145" s="35"/>
      <c r="W145" s="35">
        <f t="shared" si="30"/>
        <v>0</v>
      </c>
      <c r="X145" s="35"/>
      <c r="Y145" s="35" t="s">
        <v>182</v>
      </c>
      <c r="Z145" s="55"/>
      <c r="AA145" s="35" t="s">
        <v>183</v>
      </c>
      <c r="AB145" s="35"/>
      <c r="AC145" s="35">
        <v>0</v>
      </c>
      <c r="AD145" s="35"/>
      <c r="AE145" s="35">
        <v>0</v>
      </c>
      <c r="AF145" s="35"/>
      <c r="AG145" s="35">
        <v>0</v>
      </c>
      <c r="AH145" s="35"/>
      <c r="AI145" s="45">
        <f t="shared" si="29"/>
        <v>0</v>
      </c>
      <c r="AJ145" s="45"/>
      <c r="AK145" s="35">
        <v>0</v>
      </c>
      <c r="AL145" s="35"/>
      <c r="AM145" s="35">
        <v>0</v>
      </c>
      <c r="AN145" s="35"/>
      <c r="AO145" s="35">
        <v>0</v>
      </c>
      <c r="AP145" s="35"/>
      <c r="AQ145" s="35">
        <v>0</v>
      </c>
      <c r="AR145" s="35"/>
      <c r="AS145" s="45">
        <f t="shared" si="26"/>
        <v>0</v>
      </c>
      <c r="AT145" s="45"/>
      <c r="AU145" s="35">
        <v>0</v>
      </c>
      <c r="AV145" s="35"/>
      <c r="AW145" s="35">
        <v>0</v>
      </c>
      <c r="AX145" s="35"/>
      <c r="AY145" s="35">
        <f t="shared" si="27"/>
        <v>0</v>
      </c>
      <c r="AZ145" s="35"/>
      <c r="BA145" s="35" t="s">
        <v>182</v>
      </c>
      <c r="BB145" s="55"/>
      <c r="BC145" s="35" t="s">
        <v>183</v>
      </c>
      <c r="BD145" s="35"/>
      <c r="BE145" s="35">
        <v>0</v>
      </c>
      <c r="BF145" s="35"/>
      <c r="BG145" s="35">
        <v>0</v>
      </c>
      <c r="BH145" s="35"/>
      <c r="BI145" s="35">
        <v>0</v>
      </c>
      <c r="BJ145" s="35"/>
      <c r="BK145" s="35">
        <v>0</v>
      </c>
      <c r="BL145" s="35"/>
      <c r="BM145" s="35">
        <f t="shared" si="33"/>
        <v>0</v>
      </c>
      <c r="BN145" s="54" t="s">
        <v>347</v>
      </c>
    </row>
    <row r="146" spans="1:66" hidden="1">
      <c r="A146" s="35" t="s">
        <v>184</v>
      </c>
      <c r="C146" s="35" t="s">
        <v>89</v>
      </c>
      <c r="D146" s="35"/>
      <c r="E146" s="35">
        <f t="shared" si="31"/>
        <v>0</v>
      </c>
      <c r="F146" s="35"/>
      <c r="G146" s="35">
        <v>0</v>
      </c>
      <c r="H146" s="35"/>
      <c r="I146" s="35">
        <v>0</v>
      </c>
      <c r="J146" s="35"/>
      <c r="K146" s="35">
        <f t="shared" si="32"/>
        <v>0</v>
      </c>
      <c r="L146" s="35"/>
      <c r="M146" s="35">
        <v>0</v>
      </c>
      <c r="N146" s="35"/>
      <c r="O146" s="35">
        <v>0</v>
      </c>
      <c r="P146" s="35"/>
      <c r="Q146" s="35">
        <v>0</v>
      </c>
      <c r="R146" s="35"/>
      <c r="S146" s="35">
        <v>0</v>
      </c>
      <c r="T146" s="35"/>
      <c r="U146" s="35">
        <v>0</v>
      </c>
      <c r="V146" s="35"/>
      <c r="W146" s="35">
        <f t="shared" si="30"/>
        <v>0</v>
      </c>
      <c r="X146" s="35"/>
      <c r="Y146" s="35" t="s">
        <v>184</v>
      </c>
      <c r="Z146" s="55"/>
      <c r="AA146" s="35" t="s">
        <v>89</v>
      </c>
      <c r="AB146" s="35"/>
      <c r="AC146" s="35">
        <v>0</v>
      </c>
      <c r="AD146" s="35"/>
      <c r="AE146" s="35">
        <v>0</v>
      </c>
      <c r="AF146" s="35"/>
      <c r="AG146" s="35">
        <v>0</v>
      </c>
      <c r="AH146" s="35"/>
      <c r="AI146" s="45">
        <f t="shared" si="29"/>
        <v>0</v>
      </c>
      <c r="AJ146" s="45"/>
      <c r="AK146" s="35">
        <v>0</v>
      </c>
      <c r="AL146" s="35"/>
      <c r="AM146" s="35">
        <v>0</v>
      </c>
      <c r="AN146" s="35"/>
      <c r="AO146" s="35">
        <v>0</v>
      </c>
      <c r="AP146" s="35"/>
      <c r="AQ146" s="35">
        <v>0</v>
      </c>
      <c r="AR146" s="35"/>
      <c r="AS146" s="45">
        <f t="shared" si="26"/>
        <v>0</v>
      </c>
      <c r="AT146" s="45"/>
      <c r="AU146" s="35">
        <v>0</v>
      </c>
      <c r="AV146" s="35"/>
      <c r="AW146" s="35">
        <v>0</v>
      </c>
      <c r="AX146" s="35"/>
      <c r="AY146" s="35">
        <f t="shared" si="27"/>
        <v>0</v>
      </c>
      <c r="AZ146" s="35"/>
      <c r="BA146" s="35" t="s">
        <v>184</v>
      </c>
      <c r="BB146" s="55"/>
      <c r="BC146" s="35" t="s">
        <v>89</v>
      </c>
      <c r="BD146" s="35"/>
      <c r="BE146" s="35">
        <v>0</v>
      </c>
      <c r="BF146" s="35"/>
      <c r="BG146" s="35">
        <v>0</v>
      </c>
      <c r="BH146" s="35"/>
      <c r="BI146" s="35">
        <v>0</v>
      </c>
      <c r="BJ146" s="35"/>
      <c r="BK146" s="35">
        <v>0</v>
      </c>
      <c r="BL146" s="35"/>
      <c r="BM146" s="35">
        <f t="shared" si="33"/>
        <v>0</v>
      </c>
      <c r="BN146" s="54" t="s">
        <v>347</v>
      </c>
    </row>
    <row r="147" spans="1:66" hidden="1">
      <c r="A147" s="35" t="s">
        <v>181</v>
      </c>
      <c r="C147" s="35" t="s">
        <v>125</v>
      </c>
      <c r="D147" s="35"/>
      <c r="E147" s="35">
        <f t="shared" si="31"/>
        <v>0</v>
      </c>
      <c r="F147" s="35"/>
      <c r="G147" s="35">
        <v>0</v>
      </c>
      <c r="H147" s="35"/>
      <c r="I147" s="35">
        <v>0</v>
      </c>
      <c r="J147" s="35"/>
      <c r="K147" s="35">
        <f t="shared" si="32"/>
        <v>0</v>
      </c>
      <c r="L147" s="35"/>
      <c r="M147" s="35">
        <v>0</v>
      </c>
      <c r="N147" s="35"/>
      <c r="O147" s="35">
        <v>0</v>
      </c>
      <c r="P147" s="35"/>
      <c r="Q147" s="35">
        <v>0</v>
      </c>
      <c r="R147" s="35"/>
      <c r="S147" s="35">
        <v>0</v>
      </c>
      <c r="T147" s="35"/>
      <c r="U147" s="35">
        <v>0</v>
      </c>
      <c r="V147" s="35"/>
      <c r="W147" s="35">
        <f t="shared" si="30"/>
        <v>0</v>
      </c>
      <c r="X147" s="35"/>
      <c r="Y147" s="35" t="s">
        <v>181</v>
      </c>
      <c r="Z147" s="55"/>
      <c r="AA147" s="35" t="s">
        <v>125</v>
      </c>
      <c r="AB147" s="35"/>
      <c r="AC147" s="35">
        <v>0</v>
      </c>
      <c r="AD147" s="35"/>
      <c r="AE147" s="35">
        <v>0</v>
      </c>
      <c r="AF147" s="35"/>
      <c r="AG147" s="35">
        <v>0</v>
      </c>
      <c r="AH147" s="35"/>
      <c r="AI147" s="45">
        <f t="shared" si="29"/>
        <v>0</v>
      </c>
      <c r="AJ147" s="45"/>
      <c r="AK147" s="35">
        <v>0</v>
      </c>
      <c r="AL147" s="35"/>
      <c r="AM147" s="35">
        <v>0</v>
      </c>
      <c r="AN147" s="35"/>
      <c r="AO147" s="35">
        <v>0</v>
      </c>
      <c r="AP147" s="35"/>
      <c r="AQ147" s="35">
        <v>0</v>
      </c>
      <c r="AR147" s="35"/>
      <c r="AS147" s="45">
        <f t="shared" si="26"/>
        <v>0</v>
      </c>
      <c r="AT147" s="45"/>
      <c r="AU147" s="35">
        <v>0</v>
      </c>
      <c r="AV147" s="35"/>
      <c r="AW147" s="35">
        <v>0</v>
      </c>
      <c r="AX147" s="35"/>
      <c r="AY147" s="35">
        <f t="shared" si="27"/>
        <v>0</v>
      </c>
      <c r="AZ147" s="35"/>
      <c r="BA147" s="35" t="s">
        <v>181</v>
      </c>
      <c r="BB147" s="55"/>
      <c r="BC147" s="35" t="s">
        <v>125</v>
      </c>
      <c r="BD147" s="35"/>
      <c r="BE147" s="35">
        <v>0</v>
      </c>
      <c r="BF147" s="35"/>
      <c r="BG147" s="35">
        <v>0</v>
      </c>
      <c r="BH147" s="35"/>
      <c r="BI147" s="35">
        <v>0</v>
      </c>
      <c r="BJ147" s="35"/>
      <c r="BK147" s="35">
        <v>0</v>
      </c>
      <c r="BL147" s="35"/>
      <c r="BM147" s="35">
        <f t="shared" si="33"/>
        <v>0</v>
      </c>
      <c r="BN147" s="54" t="s">
        <v>347</v>
      </c>
    </row>
    <row r="148" spans="1:66" hidden="1">
      <c r="A148" s="35" t="s">
        <v>185</v>
      </c>
      <c r="C148" s="35" t="s">
        <v>80</v>
      </c>
      <c r="D148" s="35"/>
      <c r="E148" s="35">
        <f t="shared" si="31"/>
        <v>0</v>
      </c>
      <c r="F148" s="35"/>
      <c r="G148" s="35">
        <v>0</v>
      </c>
      <c r="H148" s="35"/>
      <c r="I148" s="35">
        <v>0</v>
      </c>
      <c r="J148" s="35"/>
      <c r="K148" s="35">
        <f t="shared" si="32"/>
        <v>0</v>
      </c>
      <c r="L148" s="35"/>
      <c r="M148" s="35">
        <v>0</v>
      </c>
      <c r="N148" s="35"/>
      <c r="O148" s="35">
        <v>0</v>
      </c>
      <c r="P148" s="35"/>
      <c r="Q148" s="35">
        <v>0</v>
      </c>
      <c r="R148" s="35"/>
      <c r="S148" s="35">
        <v>0</v>
      </c>
      <c r="T148" s="35"/>
      <c r="U148" s="35">
        <v>0</v>
      </c>
      <c r="V148" s="35"/>
      <c r="W148" s="35">
        <f t="shared" si="30"/>
        <v>0</v>
      </c>
      <c r="X148" s="35"/>
      <c r="Y148" s="35" t="s">
        <v>185</v>
      </c>
      <c r="Z148" s="55"/>
      <c r="AA148" s="35" t="s">
        <v>80</v>
      </c>
      <c r="AB148" s="35"/>
      <c r="AC148" s="35">
        <v>0</v>
      </c>
      <c r="AD148" s="35"/>
      <c r="AE148" s="35">
        <v>0</v>
      </c>
      <c r="AF148" s="35"/>
      <c r="AG148" s="35">
        <v>0</v>
      </c>
      <c r="AH148" s="35"/>
      <c r="AI148" s="45">
        <f t="shared" si="29"/>
        <v>0</v>
      </c>
      <c r="AJ148" s="45"/>
      <c r="AK148" s="35">
        <v>0</v>
      </c>
      <c r="AL148" s="35"/>
      <c r="AM148" s="35">
        <v>0</v>
      </c>
      <c r="AN148" s="35"/>
      <c r="AO148" s="35">
        <v>0</v>
      </c>
      <c r="AP148" s="35"/>
      <c r="AQ148" s="35">
        <v>0</v>
      </c>
      <c r="AR148" s="35"/>
      <c r="AS148" s="45">
        <f t="shared" si="26"/>
        <v>0</v>
      </c>
      <c r="AT148" s="45"/>
      <c r="AU148" s="35">
        <v>0</v>
      </c>
      <c r="AV148" s="35"/>
      <c r="AW148" s="35">
        <v>0</v>
      </c>
      <c r="AX148" s="35"/>
      <c r="AY148" s="35">
        <f t="shared" si="27"/>
        <v>0</v>
      </c>
      <c r="AZ148" s="35"/>
      <c r="BA148" s="35" t="s">
        <v>185</v>
      </c>
      <c r="BB148" s="55"/>
      <c r="BC148" s="35" t="s">
        <v>80</v>
      </c>
      <c r="BD148" s="35"/>
      <c r="BE148" s="35">
        <v>0</v>
      </c>
      <c r="BF148" s="35"/>
      <c r="BG148" s="35">
        <v>0</v>
      </c>
      <c r="BH148" s="35"/>
      <c r="BI148" s="35">
        <v>0</v>
      </c>
      <c r="BJ148" s="35"/>
      <c r="BK148" s="35">
        <v>0</v>
      </c>
      <c r="BL148" s="35"/>
      <c r="BM148" s="35">
        <f t="shared" si="33"/>
        <v>0</v>
      </c>
      <c r="BN148" s="54" t="s">
        <v>347</v>
      </c>
    </row>
    <row r="149" spans="1:66">
      <c r="A149" s="35" t="s">
        <v>186</v>
      </c>
      <c r="C149" s="35" t="s">
        <v>15</v>
      </c>
      <c r="D149" s="35"/>
      <c r="E149" s="35">
        <f t="shared" si="31"/>
        <v>285544</v>
      </c>
      <c r="F149" s="35"/>
      <c r="G149" s="35">
        <v>0</v>
      </c>
      <c r="H149" s="35"/>
      <c r="I149" s="35">
        <v>285544</v>
      </c>
      <c r="J149" s="35"/>
      <c r="K149" s="35">
        <f t="shared" si="32"/>
        <v>88820</v>
      </c>
      <c r="L149" s="35"/>
      <c r="M149" s="35">
        <v>0</v>
      </c>
      <c r="N149" s="35"/>
      <c r="O149" s="35">
        <v>88820</v>
      </c>
      <c r="P149" s="35"/>
      <c r="Q149" s="35">
        <v>0</v>
      </c>
      <c r="R149" s="35"/>
      <c r="S149" s="35">
        <v>0</v>
      </c>
      <c r="T149" s="35"/>
      <c r="U149" s="35">
        <v>196734</v>
      </c>
      <c r="V149" s="35"/>
      <c r="W149" s="35">
        <f t="shared" ref="W149:W163" si="34">SUM(Q149:U149)</f>
        <v>196734</v>
      </c>
      <c r="X149" s="35"/>
      <c r="Y149" s="35" t="s">
        <v>186</v>
      </c>
      <c r="Z149" s="55"/>
      <c r="AA149" s="35" t="s">
        <v>15</v>
      </c>
      <c r="AB149" s="35"/>
      <c r="AC149" s="35">
        <v>812774</v>
      </c>
      <c r="AD149" s="35"/>
      <c r="AE149" s="35">
        <v>974677</v>
      </c>
      <c r="AF149" s="35"/>
      <c r="AG149" s="35">
        <v>0</v>
      </c>
      <c r="AH149" s="35"/>
      <c r="AI149" s="45">
        <f t="shared" si="29"/>
        <v>-161903</v>
      </c>
      <c r="AJ149" s="45"/>
      <c r="AK149" s="35">
        <v>0</v>
      </c>
      <c r="AL149" s="35"/>
      <c r="AM149" s="35">
        <v>0</v>
      </c>
      <c r="AN149" s="35"/>
      <c r="AO149" s="35">
        <v>0</v>
      </c>
      <c r="AP149" s="35"/>
      <c r="AQ149" s="35">
        <v>49802</v>
      </c>
      <c r="AR149" s="35"/>
      <c r="AS149" s="45">
        <f t="shared" si="26"/>
        <v>-112101</v>
      </c>
      <c r="AT149" s="45"/>
      <c r="AU149" s="35">
        <v>0</v>
      </c>
      <c r="AV149" s="35"/>
      <c r="AW149" s="35">
        <v>0</v>
      </c>
      <c r="AX149" s="35"/>
      <c r="AY149" s="35">
        <f t="shared" si="27"/>
        <v>196724</v>
      </c>
      <c r="AZ149" s="35"/>
      <c r="BA149" s="35" t="s">
        <v>186</v>
      </c>
      <c r="BB149" s="55"/>
      <c r="BC149" s="35" t="s">
        <v>15</v>
      </c>
      <c r="BD149" s="35"/>
      <c r="BE149" s="35">
        <v>0</v>
      </c>
      <c r="BF149" s="35"/>
      <c r="BG149" s="35">
        <v>0</v>
      </c>
      <c r="BH149" s="35"/>
      <c r="BI149" s="35">
        <v>0</v>
      </c>
      <c r="BJ149" s="35"/>
      <c r="BK149" s="35">
        <v>0</v>
      </c>
      <c r="BL149" s="35"/>
      <c r="BM149" s="35">
        <f t="shared" ref="BM149:BM163" si="35">SUM(BE149:BK149)</f>
        <v>0</v>
      </c>
      <c r="BN149" s="54" t="s">
        <v>347</v>
      </c>
    </row>
    <row r="150" spans="1:66" hidden="1">
      <c r="A150" s="35" t="s">
        <v>187</v>
      </c>
      <c r="C150" s="35" t="s">
        <v>27</v>
      </c>
      <c r="D150" s="35"/>
      <c r="E150" s="35">
        <f t="shared" si="31"/>
        <v>0</v>
      </c>
      <c r="F150" s="35"/>
      <c r="G150" s="35">
        <v>0</v>
      </c>
      <c r="H150" s="35"/>
      <c r="I150" s="35">
        <v>0</v>
      </c>
      <c r="J150" s="35"/>
      <c r="K150" s="35">
        <f t="shared" si="32"/>
        <v>0</v>
      </c>
      <c r="L150" s="35"/>
      <c r="M150" s="35">
        <v>0</v>
      </c>
      <c r="N150" s="35"/>
      <c r="O150" s="35">
        <v>0</v>
      </c>
      <c r="P150" s="35"/>
      <c r="Q150" s="35">
        <v>0</v>
      </c>
      <c r="R150" s="35"/>
      <c r="S150" s="35">
        <v>0</v>
      </c>
      <c r="T150" s="35"/>
      <c r="U150" s="35">
        <v>0</v>
      </c>
      <c r="V150" s="35"/>
      <c r="W150" s="35">
        <f t="shared" si="34"/>
        <v>0</v>
      </c>
      <c r="X150" s="35"/>
      <c r="Y150" s="35" t="s">
        <v>187</v>
      </c>
      <c r="Z150" s="55"/>
      <c r="AA150" s="35" t="s">
        <v>27</v>
      </c>
      <c r="AB150" s="35"/>
      <c r="AC150" s="35">
        <v>0</v>
      </c>
      <c r="AD150" s="35"/>
      <c r="AE150" s="35">
        <v>0</v>
      </c>
      <c r="AF150" s="35"/>
      <c r="AG150" s="35">
        <v>0</v>
      </c>
      <c r="AH150" s="35"/>
      <c r="AI150" s="45">
        <f t="shared" si="29"/>
        <v>0</v>
      </c>
      <c r="AJ150" s="45"/>
      <c r="AK150" s="35">
        <v>0</v>
      </c>
      <c r="AL150" s="35"/>
      <c r="AM150" s="35">
        <v>0</v>
      </c>
      <c r="AN150" s="35"/>
      <c r="AO150" s="35">
        <v>0</v>
      </c>
      <c r="AP150" s="35"/>
      <c r="AQ150" s="35">
        <v>0</v>
      </c>
      <c r="AR150" s="35"/>
      <c r="AS150" s="45">
        <f t="shared" si="26"/>
        <v>0</v>
      </c>
      <c r="AT150" s="45"/>
      <c r="AU150" s="35">
        <v>0</v>
      </c>
      <c r="AV150" s="35"/>
      <c r="AW150" s="35">
        <v>0</v>
      </c>
      <c r="AX150" s="35"/>
      <c r="AY150" s="35">
        <f t="shared" si="27"/>
        <v>0</v>
      </c>
      <c r="AZ150" s="35"/>
      <c r="BA150" s="35" t="s">
        <v>187</v>
      </c>
      <c r="BB150" s="55"/>
      <c r="BC150" s="35" t="s">
        <v>27</v>
      </c>
      <c r="BD150" s="35"/>
      <c r="BE150" s="35">
        <v>0</v>
      </c>
      <c r="BF150" s="35"/>
      <c r="BG150" s="35">
        <v>0</v>
      </c>
      <c r="BH150" s="35"/>
      <c r="BI150" s="35">
        <v>0</v>
      </c>
      <c r="BJ150" s="35"/>
      <c r="BK150" s="35">
        <v>0</v>
      </c>
      <c r="BL150" s="35"/>
      <c r="BM150" s="35">
        <f t="shared" si="35"/>
        <v>0</v>
      </c>
      <c r="BN150" s="54" t="s">
        <v>347</v>
      </c>
    </row>
    <row r="151" spans="1:66" hidden="1">
      <c r="A151" s="35" t="s">
        <v>189</v>
      </c>
      <c r="C151" s="35" t="s">
        <v>17</v>
      </c>
      <c r="D151" s="35"/>
      <c r="E151" s="35">
        <f t="shared" si="31"/>
        <v>0</v>
      </c>
      <c r="F151" s="35"/>
      <c r="G151" s="35">
        <v>0</v>
      </c>
      <c r="H151" s="35"/>
      <c r="I151" s="35">
        <v>0</v>
      </c>
      <c r="J151" s="35"/>
      <c r="K151" s="35">
        <f t="shared" si="32"/>
        <v>0</v>
      </c>
      <c r="L151" s="35"/>
      <c r="M151" s="35">
        <v>0</v>
      </c>
      <c r="N151" s="35"/>
      <c r="O151" s="35">
        <v>0</v>
      </c>
      <c r="P151" s="35"/>
      <c r="Q151" s="35">
        <v>0</v>
      </c>
      <c r="R151" s="35"/>
      <c r="S151" s="35">
        <v>0</v>
      </c>
      <c r="T151" s="35"/>
      <c r="U151" s="35">
        <v>0</v>
      </c>
      <c r="V151" s="35"/>
      <c r="W151" s="35">
        <f t="shared" si="34"/>
        <v>0</v>
      </c>
      <c r="X151" s="35"/>
      <c r="Y151" s="35" t="s">
        <v>189</v>
      </c>
      <c r="Z151" s="55"/>
      <c r="AA151" s="35" t="s">
        <v>17</v>
      </c>
      <c r="AB151" s="35"/>
      <c r="AC151" s="35">
        <v>0</v>
      </c>
      <c r="AD151" s="35"/>
      <c r="AE151" s="35">
        <v>0</v>
      </c>
      <c r="AF151" s="35"/>
      <c r="AG151" s="35">
        <v>0</v>
      </c>
      <c r="AH151" s="35"/>
      <c r="AI151" s="45">
        <f t="shared" si="29"/>
        <v>0</v>
      </c>
      <c r="AJ151" s="45"/>
      <c r="AK151" s="35">
        <v>0</v>
      </c>
      <c r="AL151" s="35"/>
      <c r="AM151" s="35">
        <v>0</v>
      </c>
      <c r="AN151" s="35"/>
      <c r="AO151" s="35">
        <v>0</v>
      </c>
      <c r="AP151" s="35"/>
      <c r="AQ151" s="35">
        <v>0</v>
      </c>
      <c r="AR151" s="35"/>
      <c r="AS151" s="45">
        <f t="shared" si="26"/>
        <v>0</v>
      </c>
      <c r="AT151" s="45"/>
      <c r="AU151" s="35">
        <v>0</v>
      </c>
      <c r="AV151" s="35"/>
      <c r="AW151" s="35">
        <v>0</v>
      </c>
      <c r="AX151" s="35"/>
      <c r="AY151" s="35">
        <f t="shared" si="27"/>
        <v>0</v>
      </c>
      <c r="AZ151" s="35"/>
      <c r="BA151" s="35" t="s">
        <v>189</v>
      </c>
      <c r="BB151" s="55"/>
      <c r="BC151" s="35" t="s">
        <v>17</v>
      </c>
      <c r="BD151" s="35"/>
      <c r="BE151" s="35">
        <v>0</v>
      </c>
      <c r="BF151" s="35"/>
      <c r="BG151" s="35">
        <v>0</v>
      </c>
      <c r="BH151" s="35"/>
      <c r="BI151" s="35">
        <v>0</v>
      </c>
      <c r="BJ151" s="35"/>
      <c r="BK151" s="35">
        <v>0</v>
      </c>
      <c r="BL151" s="35"/>
      <c r="BM151" s="35">
        <f t="shared" si="35"/>
        <v>0</v>
      </c>
      <c r="BN151" s="54" t="s">
        <v>347</v>
      </c>
    </row>
    <row r="152" spans="1:66" hidden="1">
      <c r="A152" s="35" t="s">
        <v>188</v>
      </c>
      <c r="C152" s="35" t="s">
        <v>27</v>
      </c>
      <c r="D152" s="35"/>
      <c r="E152" s="35">
        <f t="shared" si="31"/>
        <v>0</v>
      </c>
      <c r="F152" s="35"/>
      <c r="G152" s="35">
        <v>0</v>
      </c>
      <c r="H152" s="35"/>
      <c r="I152" s="35">
        <v>0</v>
      </c>
      <c r="J152" s="35"/>
      <c r="K152" s="35">
        <f t="shared" si="32"/>
        <v>0</v>
      </c>
      <c r="L152" s="35"/>
      <c r="M152" s="35">
        <v>0</v>
      </c>
      <c r="N152" s="35"/>
      <c r="O152" s="35">
        <v>0</v>
      </c>
      <c r="P152" s="35"/>
      <c r="Q152" s="35">
        <v>0</v>
      </c>
      <c r="R152" s="35"/>
      <c r="S152" s="35">
        <v>0</v>
      </c>
      <c r="T152" s="35"/>
      <c r="U152" s="35">
        <v>0</v>
      </c>
      <c r="V152" s="35"/>
      <c r="W152" s="35">
        <f t="shared" si="34"/>
        <v>0</v>
      </c>
      <c r="X152" s="35"/>
      <c r="Y152" s="35" t="s">
        <v>188</v>
      </c>
      <c r="Z152" s="55"/>
      <c r="AA152" s="35" t="s">
        <v>27</v>
      </c>
      <c r="AB152" s="35"/>
      <c r="AC152" s="35">
        <v>0</v>
      </c>
      <c r="AD152" s="35"/>
      <c r="AE152" s="35">
        <v>0</v>
      </c>
      <c r="AF152" s="35"/>
      <c r="AG152" s="35">
        <v>0</v>
      </c>
      <c r="AH152" s="35"/>
      <c r="AI152" s="45">
        <f t="shared" si="29"/>
        <v>0</v>
      </c>
      <c r="AJ152" s="45"/>
      <c r="AK152" s="35">
        <v>0</v>
      </c>
      <c r="AL152" s="35"/>
      <c r="AM152" s="35">
        <v>0</v>
      </c>
      <c r="AN152" s="35"/>
      <c r="AO152" s="35">
        <v>0</v>
      </c>
      <c r="AP152" s="35"/>
      <c r="AQ152" s="35">
        <v>0</v>
      </c>
      <c r="AR152" s="35"/>
      <c r="AS152" s="45">
        <f t="shared" si="26"/>
        <v>0</v>
      </c>
      <c r="AT152" s="45"/>
      <c r="AU152" s="35">
        <v>0</v>
      </c>
      <c r="AV152" s="35"/>
      <c r="AW152" s="35">
        <v>0</v>
      </c>
      <c r="AX152" s="35"/>
      <c r="AY152" s="35">
        <f t="shared" si="27"/>
        <v>0</v>
      </c>
      <c r="AZ152" s="35"/>
      <c r="BA152" s="35" t="s">
        <v>188</v>
      </c>
      <c r="BB152" s="55"/>
      <c r="BC152" s="35" t="s">
        <v>27</v>
      </c>
      <c r="BD152" s="35"/>
      <c r="BE152" s="35">
        <v>0</v>
      </c>
      <c r="BF152" s="35"/>
      <c r="BG152" s="35">
        <v>0</v>
      </c>
      <c r="BH152" s="35"/>
      <c r="BI152" s="35">
        <v>0</v>
      </c>
      <c r="BJ152" s="35"/>
      <c r="BK152" s="35">
        <v>0</v>
      </c>
      <c r="BL152" s="35"/>
      <c r="BM152" s="35">
        <f t="shared" si="35"/>
        <v>0</v>
      </c>
      <c r="BN152" s="54" t="s">
        <v>347</v>
      </c>
    </row>
    <row r="153" spans="1:66" hidden="1">
      <c r="A153" s="35" t="s">
        <v>190</v>
      </c>
      <c r="C153" s="35" t="s">
        <v>47</v>
      </c>
      <c r="D153" s="35"/>
      <c r="E153" s="35">
        <f t="shared" si="31"/>
        <v>0</v>
      </c>
      <c r="F153" s="35"/>
      <c r="G153" s="35">
        <v>0</v>
      </c>
      <c r="H153" s="35"/>
      <c r="I153" s="35">
        <v>0</v>
      </c>
      <c r="J153" s="35"/>
      <c r="K153" s="35">
        <f t="shared" si="32"/>
        <v>0</v>
      </c>
      <c r="L153" s="35"/>
      <c r="M153" s="35">
        <v>0</v>
      </c>
      <c r="N153" s="35"/>
      <c r="O153" s="35">
        <v>0</v>
      </c>
      <c r="P153" s="35"/>
      <c r="Q153" s="35">
        <v>0</v>
      </c>
      <c r="R153" s="35"/>
      <c r="S153" s="35">
        <v>0</v>
      </c>
      <c r="T153" s="35"/>
      <c r="U153" s="35">
        <v>0</v>
      </c>
      <c r="V153" s="35"/>
      <c r="W153" s="35">
        <f t="shared" si="34"/>
        <v>0</v>
      </c>
      <c r="X153" s="35"/>
      <c r="Y153" s="35" t="s">
        <v>190</v>
      </c>
      <c r="Z153" s="55"/>
      <c r="AA153" s="35" t="s">
        <v>47</v>
      </c>
      <c r="AB153" s="35"/>
      <c r="AC153" s="35">
        <v>0</v>
      </c>
      <c r="AD153" s="35"/>
      <c r="AE153" s="35">
        <v>0</v>
      </c>
      <c r="AF153" s="35"/>
      <c r="AG153" s="35">
        <v>0</v>
      </c>
      <c r="AH153" s="35"/>
      <c r="AI153" s="45">
        <f t="shared" si="29"/>
        <v>0</v>
      </c>
      <c r="AJ153" s="45"/>
      <c r="AK153" s="35">
        <v>0</v>
      </c>
      <c r="AL153" s="35"/>
      <c r="AM153" s="35">
        <v>0</v>
      </c>
      <c r="AN153" s="35"/>
      <c r="AO153" s="35">
        <v>0</v>
      </c>
      <c r="AP153" s="35"/>
      <c r="AQ153" s="35">
        <v>0</v>
      </c>
      <c r="AR153" s="35"/>
      <c r="AS153" s="45">
        <f t="shared" si="26"/>
        <v>0</v>
      </c>
      <c r="AT153" s="45"/>
      <c r="AU153" s="35">
        <v>0</v>
      </c>
      <c r="AV153" s="35"/>
      <c r="AW153" s="35">
        <v>0</v>
      </c>
      <c r="AX153" s="35"/>
      <c r="AY153" s="35">
        <f t="shared" si="27"/>
        <v>0</v>
      </c>
      <c r="AZ153" s="35"/>
      <c r="BA153" s="35" t="s">
        <v>190</v>
      </c>
      <c r="BB153" s="55"/>
      <c r="BC153" s="35" t="s">
        <v>47</v>
      </c>
      <c r="BD153" s="35"/>
      <c r="BE153" s="35">
        <v>0</v>
      </c>
      <c r="BF153" s="35"/>
      <c r="BG153" s="35">
        <v>0</v>
      </c>
      <c r="BH153" s="35"/>
      <c r="BI153" s="35">
        <v>0</v>
      </c>
      <c r="BJ153" s="35"/>
      <c r="BK153" s="35">
        <v>0</v>
      </c>
      <c r="BL153" s="35"/>
      <c r="BM153" s="35">
        <f t="shared" si="35"/>
        <v>0</v>
      </c>
      <c r="BN153" s="54" t="s">
        <v>347</v>
      </c>
    </row>
    <row r="154" spans="1:66" hidden="1">
      <c r="A154" s="35" t="s">
        <v>191</v>
      </c>
      <c r="C154" s="35" t="s">
        <v>13</v>
      </c>
      <c r="D154" s="35"/>
      <c r="E154" s="35">
        <f t="shared" si="31"/>
        <v>0</v>
      </c>
      <c r="F154" s="35"/>
      <c r="G154" s="35">
        <v>0</v>
      </c>
      <c r="H154" s="35"/>
      <c r="I154" s="35">
        <v>0</v>
      </c>
      <c r="J154" s="35"/>
      <c r="K154" s="35">
        <f t="shared" si="32"/>
        <v>0</v>
      </c>
      <c r="L154" s="35"/>
      <c r="M154" s="35">
        <v>0</v>
      </c>
      <c r="N154" s="35"/>
      <c r="O154" s="35">
        <v>0</v>
      </c>
      <c r="P154" s="35"/>
      <c r="Q154" s="35">
        <v>0</v>
      </c>
      <c r="R154" s="35"/>
      <c r="S154" s="35">
        <v>0</v>
      </c>
      <c r="T154" s="35"/>
      <c r="U154" s="35">
        <v>0</v>
      </c>
      <c r="V154" s="35"/>
      <c r="W154" s="35">
        <f t="shared" si="34"/>
        <v>0</v>
      </c>
      <c r="X154" s="35"/>
      <c r="Y154" s="35" t="s">
        <v>191</v>
      </c>
      <c r="Z154" s="55"/>
      <c r="AA154" s="35" t="s">
        <v>13</v>
      </c>
      <c r="AB154" s="35"/>
      <c r="AC154" s="35">
        <v>0</v>
      </c>
      <c r="AD154" s="35"/>
      <c r="AE154" s="35">
        <v>0</v>
      </c>
      <c r="AF154" s="35"/>
      <c r="AG154" s="35">
        <v>0</v>
      </c>
      <c r="AH154" s="35"/>
      <c r="AI154" s="45">
        <f t="shared" si="29"/>
        <v>0</v>
      </c>
      <c r="AJ154" s="45"/>
      <c r="AK154" s="35">
        <v>0</v>
      </c>
      <c r="AL154" s="35"/>
      <c r="AM154" s="35">
        <v>0</v>
      </c>
      <c r="AN154" s="35"/>
      <c r="AO154" s="35">
        <v>0</v>
      </c>
      <c r="AP154" s="35"/>
      <c r="AQ154" s="35">
        <v>0</v>
      </c>
      <c r="AR154" s="35"/>
      <c r="AS154" s="45">
        <f t="shared" si="26"/>
        <v>0</v>
      </c>
      <c r="AT154" s="45"/>
      <c r="AU154" s="35">
        <v>0</v>
      </c>
      <c r="AV154" s="35"/>
      <c r="AW154" s="35">
        <v>0</v>
      </c>
      <c r="AX154" s="35"/>
      <c r="AY154" s="35">
        <f t="shared" si="27"/>
        <v>0</v>
      </c>
      <c r="AZ154" s="35"/>
      <c r="BA154" s="35" t="s">
        <v>191</v>
      </c>
      <c r="BB154" s="55"/>
      <c r="BC154" s="35" t="s">
        <v>13</v>
      </c>
      <c r="BD154" s="35"/>
      <c r="BE154" s="35">
        <v>0</v>
      </c>
      <c r="BF154" s="35"/>
      <c r="BG154" s="35">
        <v>0</v>
      </c>
      <c r="BH154" s="35"/>
      <c r="BI154" s="35">
        <v>0</v>
      </c>
      <c r="BJ154" s="35"/>
      <c r="BK154" s="35">
        <v>0</v>
      </c>
      <c r="BL154" s="35"/>
      <c r="BM154" s="35">
        <f t="shared" si="35"/>
        <v>0</v>
      </c>
      <c r="BN154" s="54" t="s">
        <v>347</v>
      </c>
    </row>
    <row r="155" spans="1:66">
      <c r="A155" s="35" t="s">
        <v>192</v>
      </c>
      <c r="C155" s="35" t="s">
        <v>38</v>
      </c>
      <c r="D155" s="35"/>
      <c r="E155" s="35">
        <f t="shared" si="31"/>
        <v>931407</v>
      </c>
      <c r="F155" s="35"/>
      <c r="G155" s="35">
        <v>685881</v>
      </c>
      <c r="H155" s="35"/>
      <c r="I155" s="35">
        <v>1617288</v>
      </c>
      <c r="J155" s="35"/>
      <c r="K155" s="35">
        <f t="shared" si="32"/>
        <v>124849</v>
      </c>
      <c r="L155" s="35"/>
      <c r="M155" s="35">
        <v>95221</v>
      </c>
      <c r="N155" s="35"/>
      <c r="O155" s="35">
        <v>220070</v>
      </c>
      <c r="P155" s="35"/>
      <c r="Q155" s="35">
        <v>685881</v>
      </c>
      <c r="R155" s="35"/>
      <c r="S155" s="35">
        <v>0</v>
      </c>
      <c r="T155" s="35"/>
      <c r="U155" s="35">
        <v>711337</v>
      </c>
      <c r="V155" s="35"/>
      <c r="W155" s="35">
        <f t="shared" si="34"/>
        <v>1397218</v>
      </c>
      <c r="X155" s="35"/>
      <c r="Y155" s="35" t="s">
        <v>192</v>
      </c>
      <c r="Z155" s="55"/>
      <c r="AA155" s="35" t="s">
        <v>38</v>
      </c>
      <c r="AB155" s="35"/>
      <c r="AC155" s="35">
        <v>20733</v>
      </c>
      <c r="AD155" s="35"/>
      <c r="AE155" s="35">
        <f>1181484-65666</f>
        <v>1115818</v>
      </c>
      <c r="AF155" s="35"/>
      <c r="AG155" s="35">
        <v>65666</v>
      </c>
      <c r="AH155" s="35"/>
      <c r="AI155" s="45">
        <f t="shared" si="29"/>
        <v>-1160751</v>
      </c>
      <c r="AJ155" s="45"/>
      <c r="AK155" s="35">
        <v>968259</v>
      </c>
      <c r="AL155" s="35"/>
      <c r="AM155" s="35">
        <v>0</v>
      </c>
      <c r="AN155" s="35"/>
      <c r="AO155" s="35">
        <v>0</v>
      </c>
      <c r="AP155" s="35"/>
      <c r="AQ155" s="35">
        <v>0</v>
      </c>
      <c r="AR155" s="35"/>
      <c r="AS155" s="45">
        <f t="shared" si="26"/>
        <v>-192492</v>
      </c>
      <c r="AT155" s="45"/>
      <c r="AU155" s="35">
        <v>0</v>
      </c>
      <c r="AV155" s="35"/>
      <c r="AW155" s="35">
        <v>0</v>
      </c>
      <c r="AX155" s="35"/>
      <c r="AY155" s="35">
        <f t="shared" si="27"/>
        <v>806558</v>
      </c>
      <c r="AZ155" s="35"/>
      <c r="BA155" s="35" t="s">
        <v>192</v>
      </c>
      <c r="BB155" s="55"/>
      <c r="BC155" s="35" t="s">
        <v>38</v>
      </c>
      <c r="BD155" s="35"/>
      <c r="BE155" s="35">
        <v>0</v>
      </c>
      <c r="BF155" s="35"/>
      <c r="BG155" s="35">
        <v>0</v>
      </c>
      <c r="BH155" s="35"/>
      <c r="BI155" s="35">
        <v>0</v>
      </c>
      <c r="BJ155" s="35"/>
      <c r="BK155" s="35">
        <f>95221+56699</f>
        <v>151920</v>
      </c>
      <c r="BL155" s="35"/>
      <c r="BM155" s="35">
        <f t="shared" si="35"/>
        <v>151920</v>
      </c>
      <c r="BN155" s="54" t="s">
        <v>347</v>
      </c>
    </row>
    <row r="156" spans="1:66" hidden="1">
      <c r="A156" s="35" t="s">
        <v>193</v>
      </c>
      <c r="C156" s="35" t="s">
        <v>45</v>
      </c>
      <c r="D156" s="35"/>
      <c r="E156" s="35">
        <f t="shared" si="31"/>
        <v>0</v>
      </c>
      <c r="F156" s="35"/>
      <c r="G156" s="35">
        <v>0</v>
      </c>
      <c r="H156" s="35"/>
      <c r="I156" s="35">
        <v>0</v>
      </c>
      <c r="J156" s="35"/>
      <c r="K156" s="35">
        <f t="shared" si="32"/>
        <v>0</v>
      </c>
      <c r="L156" s="35"/>
      <c r="M156" s="35">
        <v>0</v>
      </c>
      <c r="N156" s="35"/>
      <c r="O156" s="35">
        <v>0</v>
      </c>
      <c r="P156" s="35"/>
      <c r="Q156" s="35">
        <v>0</v>
      </c>
      <c r="R156" s="35"/>
      <c r="S156" s="35">
        <v>0</v>
      </c>
      <c r="T156" s="35"/>
      <c r="U156" s="35">
        <v>0</v>
      </c>
      <c r="V156" s="35"/>
      <c r="W156" s="35">
        <f t="shared" si="34"/>
        <v>0</v>
      </c>
      <c r="X156" s="35"/>
      <c r="Y156" s="35" t="s">
        <v>193</v>
      </c>
      <c r="Z156" s="55"/>
      <c r="AA156" s="35" t="s">
        <v>45</v>
      </c>
      <c r="AB156" s="35"/>
      <c r="AC156" s="35">
        <v>0</v>
      </c>
      <c r="AD156" s="35"/>
      <c r="AE156" s="35">
        <v>0</v>
      </c>
      <c r="AF156" s="35"/>
      <c r="AG156" s="35">
        <v>0</v>
      </c>
      <c r="AH156" s="35"/>
      <c r="AI156" s="45">
        <f t="shared" si="29"/>
        <v>0</v>
      </c>
      <c r="AJ156" s="45"/>
      <c r="AK156" s="35">
        <v>0</v>
      </c>
      <c r="AL156" s="35"/>
      <c r="AM156" s="35">
        <v>0</v>
      </c>
      <c r="AN156" s="35"/>
      <c r="AO156" s="35">
        <v>0</v>
      </c>
      <c r="AP156" s="35"/>
      <c r="AQ156" s="35">
        <v>0</v>
      </c>
      <c r="AR156" s="35"/>
      <c r="AS156" s="45">
        <f t="shared" si="26"/>
        <v>0</v>
      </c>
      <c r="AT156" s="45"/>
      <c r="AU156" s="35">
        <v>0</v>
      </c>
      <c r="AV156" s="35"/>
      <c r="AW156" s="35">
        <v>0</v>
      </c>
      <c r="AX156" s="35"/>
      <c r="AY156" s="35">
        <f t="shared" si="27"/>
        <v>0</v>
      </c>
      <c r="AZ156" s="35"/>
      <c r="BA156" s="35" t="s">
        <v>193</v>
      </c>
      <c r="BB156" s="55"/>
      <c r="BC156" s="35" t="s">
        <v>45</v>
      </c>
      <c r="BD156" s="35"/>
      <c r="BE156" s="35">
        <v>0</v>
      </c>
      <c r="BF156" s="35"/>
      <c r="BG156" s="35">
        <v>0</v>
      </c>
      <c r="BH156" s="35"/>
      <c r="BI156" s="35">
        <v>0</v>
      </c>
      <c r="BJ156" s="35"/>
      <c r="BK156" s="35">
        <v>0</v>
      </c>
      <c r="BL156" s="35"/>
      <c r="BM156" s="35">
        <f t="shared" si="35"/>
        <v>0</v>
      </c>
      <c r="BN156" s="54" t="s">
        <v>347</v>
      </c>
    </row>
    <row r="157" spans="1:66" hidden="1">
      <c r="A157" s="35" t="s">
        <v>194</v>
      </c>
      <c r="C157" s="35" t="s">
        <v>66</v>
      </c>
      <c r="D157" s="35"/>
      <c r="E157" s="35">
        <f t="shared" si="31"/>
        <v>0</v>
      </c>
      <c r="F157" s="35"/>
      <c r="G157" s="35">
        <v>0</v>
      </c>
      <c r="H157" s="35"/>
      <c r="I157" s="35">
        <v>0</v>
      </c>
      <c r="J157" s="35"/>
      <c r="K157" s="35">
        <f t="shared" si="32"/>
        <v>0</v>
      </c>
      <c r="L157" s="35"/>
      <c r="M157" s="35">
        <v>0</v>
      </c>
      <c r="N157" s="35"/>
      <c r="O157" s="35">
        <v>0</v>
      </c>
      <c r="P157" s="35"/>
      <c r="Q157" s="35">
        <v>0</v>
      </c>
      <c r="R157" s="35"/>
      <c r="S157" s="35">
        <v>0</v>
      </c>
      <c r="T157" s="35"/>
      <c r="U157" s="35">
        <v>0</v>
      </c>
      <c r="V157" s="35"/>
      <c r="W157" s="35">
        <f t="shared" si="34"/>
        <v>0</v>
      </c>
      <c r="X157" s="35"/>
      <c r="Y157" s="35" t="s">
        <v>194</v>
      </c>
      <c r="Z157" s="55"/>
      <c r="AA157" s="35" t="s">
        <v>66</v>
      </c>
      <c r="AB157" s="35"/>
      <c r="AC157" s="35">
        <v>0</v>
      </c>
      <c r="AD157" s="35"/>
      <c r="AE157" s="35">
        <v>0</v>
      </c>
      <c r="AF157" s="35"/>
      <c r="AG157" s="35">
        <v>0</v>
      </c>
      <c r="AH157" s="35"/>
      <c r="AI157" s="45">
        <f t="shared" si="29"/>
        <v>0</v>
      </c>
      <c r="AJ157" s="45"/>
      <c r="AK157" s="35">
        <v>0</v>
      </c>
      <c r="AL157" s="35"/>
      <c r="AM157" s="35">
        <v>0</v>
      </c>
      <c r="AN157" s="35"/>
      <c r="AO157" s="35">
        <v>0</v>
      </c>
      <c r="AP157" s="35"/>
      <c r="AQ157" s="35">
        <v>0</v>
      </c>
      <c r="AR157" s="35"/>
      <c r="AS157" s="45">
        <f t="shared" si="26"/>
        <v>0</v>
      </c>
      <c r="AT157" s="45"/>
      <c r="AU157" s="35">
        <v>0</v>
      </c>
      <c r="AV157" s="35"/>
      <c r="AW157" s="35">
        <v>0</v>
      </c>
      <c r="AX157" s="35"/>
      <c r="AY157" s="35">
        <f t="shared" si="27"/>
        <v>0</v>
      </c>
      <c r="AZ157" s="35"/>
      <c r="BA157" s="35" t="s">
        <v>194</v>
      </c>
      <c r="BB157" s="55"/>
      <c r="BC157" s="35" t="s">
        <v>66</v>
      </c>
      <c r="BD157" s="35"/>
      <c r="BE157" s="35">
        <v>0</v>
      </c>
      <c r="BF157" s="35"/>
      <c r="BG157" s="35">
        <v>0</v>
      </c>
      <c r="BH157" s="35"/>
      <c r="BI157" s="35">
        <v>0</v>
      </c>
      <c r="BJ157" s="35"/>
      <c r="BK157" s="35">
        <v>0</v>
      </c>
      <c r="BL157" s="35"/>
      <c r="BM157" s="35">
        <f t="shared" si="35"/>
        <v>0</v>
      </c>
      <c r="BN157" s="54" t="s">
        <v>347</v>
      </c>
    </row>
    <row r="158" spans="1:66" hidden="1">
      <c r="A158" s="35" t="s">
        <v>195</v>
      </c>
      <c r="C158" s="35" t="s">
        <v>17</v>
      </c>
      <c r="D158" s="35"/>
      <c r="E158" s="35">
        <f t="shared" si="31"/>
        <v>0</v>
      </c>
      <c r="F158" s="35"/>
      <c r="G158" s="35">
        <v>0</v>
      </c>
      <c r="H158" s="35"/>
      <c r="I158" s="35">
        <v>0</v>
      </c>
      <c r="J158" s="35"/>
      <c r="K158" s="35">
        <f t="shared" si="32"/>
        <v>0</v>
      </c>
      <c r="L158" s="35"/>
      <c r="M158" s="35">
        <v>0</v>
      </c>
      <c r="N158" s="35"/>
      <c r="O158" s="35">
        <v>0</v>
      </c>
      <c r="P158" s="35"/>
      <c r="Q158" s="35">
        <v>0</v>
      </c>
      <c r="R158" s="35"/>
      <c r="S158" s="35">
        <v>0</v>
      </c>
      <c r="T158" s="35"/>
      <c r="U158" s="35">
        <v>0</v>
      </c>
      <c r="V158" s="35"/>
      <c r="W158" s="35">
        <f t="shared" si="34"/>
        <v>0</v>
      </c>
      <c r="X158" s="35"/>
      <c r="Y158" s="35" t="s">
        <v>195</v>
      </c>
      <c r="Z158" s="55"/>
      <c r="AA158" s="35" t="s">
        <v>17</v>
      </c>
      <c r="AB158" s="35"/>
      <c r="AC158" s="35">
        <v>0</v>
      </c>
      <c r="AD158" s="35"/>
      <c r="AE158" s="35">
        <v>0</v>
      </c>
      <c r="AF158" s="35"/>
      <c r="AG158" s="35">
        <v>0</v>
      </c>
      <c r="AH158" s="35"/>
      <c r="AI158" s="45">
        <f t="shared" si="29"/>
        <v>0</v>
      </c>
      <c r="AJ158" s="45"/>
      <c r="AK158" s="35">
        <v>0</v>
      </c>
      <c r="AL158" s="35"/>
      <c r="AM158" s="35">
        <v>0</v>
      </c>
      <c r="AN158" s="35"/>
      <c r="AO158" s="35">
        <v>0</v>
      </c>
      <c r="AP158" s="35"/>
      <c r="AQ158" s="35">
        <v>0</v>
      </c>
      <c r="AR158" s="35"/>
      <c r="AS158" s="45">
        <f>+AI158+AK158+AM158-AO158+AQ158</f>
        <v>0</v>
      </c>
      <c r="AT158" s="45"/>
      <c r="AU158" s="35">
        <v>0</v>
      </c>
      <c r="AV158" s="35"/>
      <c r="AW158" s="35">
        <v>0</v>
      </c>
      <c r="AX158" s="35"/>
      <c r="AY158" s="35">
        <f t="shared" si="27"/>
        <v>0</v>
      </c>
      <c r="AZ158" s="35"/>
      <c r="BA158" s="35" t="s">
        <v>195</v>
      </c>
      <c r="BB158" s="55"/>
      <c r="BC158" s="35" t="s">
        <v>17</v>
      </c>
      <c r="BD158" s="35"/>
      <c r="BE158" s="35">
        <v>0</v>
      </c>
      <c r="BF158" s="35"/>
      <c r="BG158" s="35">
        <v>0</v>
      </c>
      <c r="BH158" s="35"/>
      <c r="BI158" s="35">
        <v>0</v>
      </c>
      <c r="BJ158" s="35"/>
      <c r="BK158" s="35">
        <v>0</v>
      </c>
      <c r="BL158" s="35"/>
      <c r="BM158" s="35">
        <f t="shared" si="35"/>
        <v>0</v>
      </c>
      <c r="BN158" s="54" t="s">
        <v>347</v>
      </c>
    </row>
    <row r="159" spans="1:66" hidden="1">
      <c r="A159" s="35" t="s">
        <v>196</v>
      </c>
      <c r="C159" s="35" t="s">
        <v>27</v>
      </c>
      <c r="D159" s="35"/>
      <c r="E159" s="35">
        <f t="shared" si="31"/>
        <v>0</v>
      </c>
      <c r="F159" s="35"/>
      <c r="G159" s="35">
        <v>0</v>
      </c>
      <c r="H159" s="35"/>
      <c r="I159" s="35">
        <v>0</v>
      </c>
      <c r="J159" s="35"/>
      <c r="K159" s="35">
        <f t="shared" si="32"/>
        <v>0</v>
      </c>
      <c r="L159" s="35"/>
      <c r="M159" s="35">
        <v>0</v>
      </c>
      <c r="N159" s="35"/>
      <c r="O159" s="35">
        <v>0</v>
      </c>
      <c r="P159" s="35"/>
      <c r="Q159" s="35">
        <v>0</v>
      </c>
      <c r="R159" s="35"/>
      <c r="S159" s="35">
        <v>0</v>
      </c>
      <c r="T159" s="35"/>
      <c r="U159" s="35">
        <v>0</v>
      </c>
      <c r="V159" s="35"/>
      <c r="W159" s="35">
        <f t="shared" si="34"/>
        <v>0</v>
      </c>
      <c r="X159" s="35"/>
      <c r="Y159" s="35" t="s">
        <v>196</v>
      </c>
      <c r="Z159" s="55"/>
      <c r="AA159" s="35" t="s">
        <v>27</v>
      </c>
      <c r="AB159" s="35"/>
      <c r="AC159" s="35">
        <v>0</v>
      </c>
      <c r="AD159" s="35"/>
      <c r="AE159" s="35">
        <v>0</v>
      </c>
      <c r="AF159" s="35"/>
      <c r="AG159" s="35">
        <v>0</v>
      </c>
      <c r="AH159" s="35"/>
      <c r="AI159" s="45">
        <f t="shared" si="29"/>
        <v>0</v>
      </c>
      <c r="AJ159" s="45"/>
      <c r="AK159" s="35">
        <v>0</v>
      </c>
      <c r="AL159" s="35"/>
      <c r="AM159" s="35">
        <v>0</v>
      </c>
      <c r="AN159" s="35"/>
      <c r="AO159" s="35">
        <v>0</v>
      </c>
      <c r="AP159" s="35"/>
      <c r="AQ159" s="35">
        <v>0</v>
      </c>
      <c r="AR159" s="35"/>
      <c r="AS159" s="45">
        <f t="shared" si="26"/>
        <v>0</v>
      </c>
      <c r="AT159" s="45"/>
      <c r="AU159" s="35">
        <v>0</v>
      </c>
      <c r="AV159" s="35"/>
      <c r="AW159" s="35">
        <v>0</v>
      </c>
      <c r="AX159" s="35"/>
      <c r="AY159" s="35">
        <f t="shared" si="27"/>
        <v>0</v>
      </c>
      <c r="AZ159" s="35"/>
      <c r="BA159" s="35" t="s">
        <v>196</v>
      </c>
      <c r="BB159" s="55"/>
      <c r="BC159" s="35" t="s">
        <v>27</v>
      </c>
      <c r="BD159" s="35"/>
      <c r="BE159" s="35">
        <v>0</v>
      </c>
      <c r="BF159" s="35"/>
      <c r="BG159" s="35">
        <v>0</v>
      </c>
      <c r="BH159" s="35"/>
      <c r="BI159" s="35">
        <v>0</v>
      </c>
      <c r="BJ159" s="35"/>
      <c r="BK159" s="35">
        <v>0</v>
      </c>
      <c r="BL159" s="35"/>
      <c r="BM159" s="35">
        <f t="shared" si="35"/>
        <v>0</v>
      </c>
      <c r="BN159" s="54" t="s">
        <v>347</v>
      </c>
    </row>
    <row r="160" spans="1:66" hidden="1">
      <c r="A160" s="35" t="s">
        <v>402</v>
      </c>
      <c r="C160" s="35" t="s">
        <v>153</v>
      </c>
      <c r="D160" s="35"/>
      <c r="E160" s="35">
        <f t="shared" si="31"/>
        <v>0</v>
      </c>
      <c r="F160" s="35"/>
      <c r="G160" s="35">
        <v>0</v>
      </c>
      <c r="H160" s="35"/>
      <c r="I160" s="35">
        <v>0</v>
      </c>
      <c r="J160" s="35"/>
      <c r="K160" s="35">
        <f t="shared" si="32"/>
        <v>0</v>
      </c>
      <c r="L160" s="35"/>
      <c r="M160" s="35">
        <v>0</v>
      </c>
      <c r="N160" s="35"/>
      <c r="O160" s="35">
        <v>0</v>
      </c>
      <c r="P160" s="35"/>
      <c r="Q160" s="35">
        <v>0</v>
      </c>
      <c r="R160" s="35"/>
      <c r="S160" s="35">
        <v>0</v>
      </c>
      <c r="T160" s="35"/>
      <c r="U160" s="35">
        <v>0</v>
      </c>
      <c r="V160" s="35"/>
      <c r="W160" s="35">
        <f t="shared" si="34"/>
        <v>0</v>
      </c>
      <c r="X160" s="35"/>
      <c r="Y160" s="35" t="s">
        <v>402</v>
      </c>
      <c r="Z160" s="55"/>
      <c r="AA160" s="35" t="s">
        <v>153</v>
      </c>
      <c r="AB160" s="35"/>
      <c r="AC160" s="35">
        <v>0</v>
      </c>
      <c r="AD160" s="35"/>
      <c r="AE160" s="35">
        <v>0</v>
      </c>
      <c r="AF160" s="35"/>
      <c r="AG160" s="35">
        <v>0</v>
      </c>
      <c r="AH160" s="35"/>
      <c r="AI160" s="45">
        <f t="shared" si="29"/>
        <v>0</v>
      </c>
      <c r="AJ160" s="45"/>
      <c r="AK160" s="35">
        <v>0</v>
      </c>
      <c r="AL160" s="35"/>
      <c r="AM160" s="35">
        <v>0</v>
      </c>
      <c r="AN160" s="35"/>
      <c r="AO160" s="35">
        <v>0</v>
      </c>
      <c r="AP160" s="35"/>
      <c r="AQ160" s="35">
        <v>0</v>
      </c>
      <c r="AR160" s="35"/>
      <c r="AS160" s="45">
        <f t="shared" si="26"/>
        <v>0</v>
      </c>
      <c r="AT160" s="45"/>
      <c r="AU160" s="35">
        <v>0</v>
      </c>
      <c r="AV160" s="35"/>
      <c r="AW160" s="35">
        <v>0</v>
      </c>
      <c r="AX160" s="35"/>
      <c r="AY160" s="35">
        <f t="shared" si="27"/>
        <v>0</v>
      </c>
      <c r="AZ160" s="35"/>
      <c r="BA160" s="35" t="s">
        <v>402</v>
      </c>
      <c r="BB160" s="55"/>
      <c r="BC160" s="35" t="s">
        <v>153</v>
      </c>
      <c r="BD160" s="35"/>
      <c r="BE160" s="35">
        <v>0</v>
      </c>
      <c r="BF160" s="35"/>
      <c r="BG160" s="35">
        <v>0</v>
      </c>
      <c r="BH160" s="35"/>
      <c r="BI160" s="35">
        <v>0</v>
      </c>
      <c r="BJ160" s="35"/>
      <c r="BK160" s="35">
        <v>0</v>
      </c>
      <c r="BL160" s="35"/>
      <c r="BM160" s="35">
        <f t="shared" si="35"/>
        <v>0</v>
      </c>
      <c r="BN160" s="54" t="s">
        <v>347</v>
      </c>
    </row>
    <row r="161" spans="1:67" hidden="1">
      <c r="A161" s="35" t="s">
        <v>197</v>
      </c>
      <c r="C161" s="35" t="s">
        <v>163</v>
      </c>
      <c r="D161" s="35"/>
      <c r="E161" s="35">
        <f t="shared" si="31"/>
        <v>0</v>
      </c>
      <c r="F161" s="35"/>
      <c r="G161" s="35">
        <v>0</v>
      </c>
      <c r="H161" s="35"/>
      <c r="I161" s="35">
        <v>0</v>
      </c>
      <c r="J161" s="35"/>
      <c r="K161" s="35">
        <f t="shared" si="32"/>
        <v>0</v>
      </c>
      <c r="L161" s="35"/>
      <c r="M161" s="35">
        <v>0</v>
      </c>
      <c r="N161" s="35"/>
      <c r="O161" s="35">
        <v>0</v>
      </c>
      <c r="P161" s="35"/>
      <c r="Q161" s="35">
        <v>0</v>
      </c>
      <c r="R161" s="35"/>
      <c r="S161" s="35">
        <v>0</v>
      </c>
      <c r="T161" s="35"/>
      <c r="U161" s="35">
        <v>0</v>
      </c>
      <c r="V161" s="35"/>
      <c r="W161" s="35">
        <f t="shared" si="34"/>
        <v>0</v>
      </c>
      <c r="X161" s="35"/>
      <c r="Y161" s="35" t="s">
        <v>197</v>
      </c>
      <c r="Z161" s="55"/>
      <c r="AA161" s="35" t="s">
        <v>163</v>
      </c>
      <c r="AB161" s="35"/>
      <c r="AC161" s="35">
        <v>0</v>
      </c>
      <c r="AD161" s="35"/>
      <c r="AE161" s="35">
        <v>0</v>
      </c>
      <c r="AF161" s="35"/>
      <c r="AG161" s="35">
        <v>0</v>
      </c>
      <c r="AH161" s="35"/>
      <c r="AI161" s="45">
        <f t="shared" si="29"/>
        <v>0</v>
      </c>
      <c r="AJ161" s="45"/>
      <c r="AK161" s="35">
        <v>0</v>
      </c>
      <c r="AL161" s="35"/>
      <c r="AM161" s="35">
        <v>0</v>
      </c>
      <c r="AN161" s="35"/>
      <c r="AO161" s="35">
        <v>0</v>
      </c>
      <c r="AP161" s="35"/>
      <c r="AQ161" s="35">
        <v>0</v>
      </c>
      <c r="AR161" s="35"/>
      <c r="AS161" s="45">
        <f t="shared" si="26"/>
        <v>0</v>
      </c>
      <c r="AT161" s="45"/>
      <c r="AU161" s="35">
        <v>0</v>
      </c>
      <c r="AV161" s="35"/>
      <c r="AW161" s="35">
        <v>0</v>
      </c>
      <c r="AX161" s="35"/>
      <c r="AY161" s="35">
        <f t="shared" si="27"/>
        <v>0</v>
      </c>
      <c r="AZ161" s="35"/>
      <c r="BA161" s="35" t="s">
        <v>197</v>
      </c>
      <c r="BB161" s="55"/>
      <c r="BC161" s="35" t="s">
        <v>163</v>
      </c>
      <c r="BD161" s="35"/>
      <c r="BE161" s="35">
        <v>0</v>
      </c>
      <c r="BF161" s="35"/>
      <c r="BG161" s="35">
        <v>0</v>
      </c>
      <c r="BH161" s="35"/>
      <c r="BI161" s="35">
        <v>0</v>
      </c>
      <c r="BJ161" s="35"/>
      <c r="BK161" s="35">
        <v>0</v>
      </c>
      <c r="BL161" s="35"/>
      <c r="BM161" s="35">
        <f t="shared" si="35"/>
        <v>0</v>
      </c>
      <c r="BN161" s="54" t="s">
        <v>347</v>
      </c>
    </row>
    <row r="162" spans="1:67" hidden="1">
      <c r="A162" s="35" t="s">
        <v>198</v>
      </c>
      <c r="C162" s="35" t="s">
        <v>199</v>
      </c>
      <c r="D162" s="35"/>
      <c r="E162" s="35">
        <f t="shared" si="31"/>
        <v>0</v>
      </c>
      <c r="F162" s="35"/>
      <c r="G162" s="35">
        <v>0</v>
      </c>
      <c r="H162" s="35"/>
      <c r="I162" s="35">
        <v>0</v>
      </c>
      <c r="J162" s="35"/>
      <c r="K162" s="35">
        <f t="shared" si="32"/>
        <v>0</v>
      </c>
      <c r="L162" s="35"/>
      <c r="M162" s="35">
        <v>0</v>
      </c>
      <c r="N162" s="35"/>
      <c r="O162" s="35">
        <v>0</v>
      </c>
      <c r="P162" s="35"/>
      <c r="Q162" s="35">
        <v>0</v>
      </c>
      <c r="R162" s="35"/>
      <c r="S162" s="35">
        <v>0</v>
      </c>
      <c r="T162" s="35"/>
      <c r="U162" s="35">
        <v>0</v>
      </c>
      <c r="V162" s="35"/>
      <c r="W162" s="35">
        <f t="shared" si="34"/>
        <v>0</v>
      </c>
      <c r="X162" s="35"/>
      <c r="Y162" s="35" t="s">
        <v>198</v>
      </c>
      <c r="Z162" s="55"/>
      <c r="AA162" s="35" t="s">
        <v>199</v>
      </c>
      <c r="AB162" s="35"/>
      <c r="AC162" s="35">
        <v>0</v>
      </c>
      <c r="AD162" s="35"/>
      <c r="AE162" s="35">
        <v>0</v>
      </c>
      <c r="AF162" s="35"/>
      <c r="AG162" s="35">
        <v>0</v>
      </c>
      <c r="AH162" s="35"/>
      <c r="AI162" s="45">
        <f t="shared" si="29"/>
        <v>0</v>
      </c>
      <c r="AJ162" s="45"/>
      <c r="AK162" s="35">
        <v>0</v>
      </c>
      <c r="AL162" s="35"/>
      <c r="AM162" s="35">
        <v>0</v>
      </c>
      <c r="AN162" s="35"/>
      <c r="AO162" s="35">
        <v>0</v>
      </c>
      <c r="AP162" s="35"/>
      <c r="AQ162" s="35">
        <v>0</v>
      </c>
      <c r="AR162" s="35"/>
      <c r="AS162" s="45">
        <f t="shared" si="26"/>
        <v>0</v>
      </c>
      <c r="AT162" s="45"/>
      <c r="AU162" s="35">
        <v>0</v>
      </c>
      <c r="AV162" s="35"/>
      <c r="AW162" s="35">
        <v>0</v>
      </c>
      <c r="AX162" s="35"/>
      <c r="AY162" s="35">
        <f t="shared" si="27"/>
        <v>0</v>
      </c>
      <c r="AZ162" s="35"/>
      <c r="BA162" s="35" t="s">
        <v>198</v>
      </c>
      <c r="BB162" s="55"/>
      <c r="BC162" s="35" t="s">
        <v>199</v>
      </c>
      <c r="BD162" s="35"/>
      <c r="BE162" s="35">
        <v>0</v>
      </c>
      <c r="BF162" s="35"/>
      <c r="BG162" s="35">
        <v>0</v>
      </c>
      <c r="BH162" s="35"/>
      <c r="BI162" s="35">
        <v>0</v>
      </c>
      <c r="BJ162" s="35"/>
      <c r="BK162" s="35">
        <v>0</v>
      </c>
      <c r="BL162" s="35"/>
      <c r="BM162" s="35">
        <f t="shared" si="35"/>
        <v>0</v>
      </c>
      <c r="BN162" s="54" t="s">
        <v>347</v>
      </c>
      <c r="BO162" s="55" t="s">
        <v>371</v>
      </c>
    </row>
    <row r="163" spans="1:67">
      <c r="A163" s="35" t="s">
        <v>200</v>
      </c>
      <c r="C163" s="35" t="s">
        <v>103</v>
      </c>
      <c r="D163" s="35"/>
      <c r="E163" s="35">
        <f t="shared" si="31"/>
        <v>2978115</v>
      </c>
      <c r="F163" s="35"/>
      <c r="G163" s="35">
        <v>75565</v>
      </c>
      <c r="H163" s="35"/>
      <c r="I163" s="35">
        <v>3053680</v>
      </c>
      <c r="J163" s="35"/>
      <c r="K163" s="35">
        <f t="shared" si="32"/>
        <v>2530255</v>
      </c>
      <c r="L163" s="35"/>
      <c r="M163" s="35">
        <v>242840</v>
      </c>
      <c r="N163" s="35"/>
      <c r="O163" s="35">
        <v>2773095</v>
      </c>
      <c r="P163" s="35"/>
      <c r="Q163" s="35">
        <v>75565</v>
      </c>
      <c r="R163" s="35"/>
      <c r="S163" s="35">
        <v>0</v>
      </c>
      <c r="T163" s="35"/>
      <c r="U163" s="35">
        <v>205020</v>
      </c>
      <c r="V163" s="35"/>
      <c r="W163" s="35">
        <f t="shared" si="34"/>
        <v>280585</v>
      </c>
      <c r="X163" s="35"/>
      <c r="Y163" s="35" t="s">
        <v>200</v>
      </c>
      <c r="Z163" s="55"/>
      <c r="AA163" s="35" t="s">
        <v>103</v>
      </c>
      <c r="AB163" s="35"/>
      <c r="AC163" s="35">
        <v>1593879</v>
      </c>
      <c r="AD163" s="35"/>
      <c r="AE163" s="35">
        <f>1329950-6226</f>
        <v>1323724</v>
      </c>
      <c r="AF163" s="35"/>
      <c r="AG163" s="35">
        <v>6226</v>
      </c>
      <c r="AH163" s="35"/>
      <c r="AI163" s="45">
        <f t="shared" si="29"/>
        <v>263929</v>
      </c>
      <c r="AJ163" s="45"/>
      <c r="AK163" s="35">
        <v>-34689</v>
      </c>
      <c r="AL163" s="35"/>
      <c r="AM163" s="35">
        <v>0</v>
      </c>
      <c r="AN163" s="35"/>
      <c r="AO163" s="35">
        <v>0</v>
      </c>
      <c r="AP163" s="35"/>
      <c r="AQ163" s="35">
        <v>0</v>
      </c>
      <c r="AR163" s="35"/>
      <c r="AS163" s="45">
        <f t="shared" si="26"/>
        <v>229240</v>
      </c>
      <c r="AT163" s="45"/>
      <c r="AU163" s="35">
        <v>0</v>
      </c>
      <c r="AV163" s="35"/>
      <c r="AW163" s="35">
        <v>0</v>
      </c>
      <c r="AX163" s="35"/>
      <c r="AY163" s="35">
        <f t="shared" si="27"/>
        <v>447860</v>
      </c>
      <c r="AZ163" s="35"/>
      <c r="BA163" s="35" t="s">
        <v>200</v>
      </c>
      <c r="BB163" s="55"/>
      <c r="BC163" s="35" t="s">
        <v>103</v>
      </c>
      <c r="BD163" s="35"/>
      <c r="BE163" s="35">
        <v>0</v>
      </c>
      <c r="BF163" s="35"/>
      <c r="BG163" s="35">
        <v>0</v>
      </c>
      <c r="BH163" s="35"/>
      <c r="BI163" s="35">
        <f>1213538+239222</f>
        <v>1452760</v>
      </c>
      <c r="BJ163" s="35"/>
      <c r="BK163" s="35">
        <f>1206729+8137+5347</f>
        <v>1220213</v>
      </c>
      <c r="BL163" s="35"/>
      <c r="BM163" s="35">
        <f t="shared" si="35"/>
        <v>2672973</v>
      </c>
      <c r="BN163" s="54" t="s">
        <v>347</v>
      </c>
    </row>
    <row r="164" spans="1:67" hidden="1">
      <c r="A164" s="35" t="s">
        <v>201</v>
      </c>
      <c r="C164" s="35" t="s">
        <v>92</v>
      </c>
      <c r="D164" s="35"/>
      <c r="E164" s="35">
        <f t="shared" si="31"/>
        <v>0</v>
      </c>
      <c r="F164" s="35"/>
      <c r="G164" s="35">
        <v>0</v>
      </c>
      <c r="H164" s="35"/>
      <c r="I164" s="35">
        <v>0</v>
      </c>
      <c r="J164" s="35"/>
      <c r="K164" s="35">
        <f t="shared" si="32"/>
        <v>0</v>
      </c>
      <c r="L164" s="35"/>
      <c r="M164" s="35">
        <v>0</v>
      </c>
      <c r="N164" s="35"/>
      <c r="O164" s="35">
        <v>0</v>
      </c>
      <c r="P164" s="35"/>
      <c r="Q164" s="35">
        <v>0</v>
      </c>
      <c r="R164" s="35"/>
      <c r="S164" s="35">
        <v>0</v>
      </c>
      <c r="T164" s="35"/>
      <c r="U164" s="35">
        <v>0</v>
      </c>
      <c r="V164" s="35"/>
      <c r="W164" s="35">
        <f t="shared" si="30"/>
        <v>0</v>
      </c>
      <c r="X164" s="35"/>
      <c r="Y164" s="35" t="s">
        <v>201</v>
      </c>
      <c r="Z164" s="55"/>
      <c r="AA164" s="35" t="s">
        <v>92</v>
      </c>
      <c r="AB164" s="35"/>
      <c r="AC164" s="35">
        <v>0</v>
      </c>
      <c r="AD164" s="35"/>
      <c r="AE164" s="35">
        <v>0</v>
      </c>
      <c r="AF164" s="35"/>
      <c r="AG164" s="35">
        <v>0</v>
      </c>
      <c r="AH164" s="35"/>
      <c r="AI164" s="45">
        <f t="shared" si="29"/>
        <v>0</v>
      </c>
      <c r="AJ164" s="45"/>
      <c r="AK164" s="35">
        <v>0</v>
      </c>
      <c r="AL164" s="35"/>
      <c r="AM164" s="35">
        <v>0</v>
      </c>
      <c r="AN164" s="35"/>
      <c r="AO164" s="35">
        <v>0</v>
      </c>
      <c r="AP164" s="35"/>
      <c r="AQ164" s="35">
        <v>0</v>
      </c>
      <c r="AR164" s="35"/>
      <c r="AS164" s="45">
        <f t="shared" si="26"/>
        <v>0</v>
      </c>
      <c r="AT164" s="45"/>
      <c r="AU164" s="35">
        <v>0</v>
      </c>
      <c r="AV164" s="35"/>
      <c r="AW164" s="35">
        <v>0</v>
      </c>
      <c r="AX164" s="35"/>
      <c r="AY164" s="35">
        <f t="shared" si="27"/>
        <v>0</v>
      </c>
      <c r="AZ164" s="35"/>
      <c r="BA164" s="35" t="s">
        <v>201</v>
      </c>
      <c r="BB164" s="55"/>
      <c r="BC164" s="35" t="s">
        <v>92</v>
      </c>
      <c r="BD164" s="35"/>
      <c r="BE164" s="35">
        <v>0</v>
      </c>
      <c r="BF164" s="35"/>
      <c r="BG164" s="35">
        <v>0</v>
      </c>
      <c r="BH164" s="35"/>
      <c r="BI164" s="35">
        <v>0</v>
      </c>
      <c r="BJ164" s="35"/>
      <c r="BK164" s="35">
        <v>0</v>
      </c>
      <c r="BL164" s="35"/>
      <c r="BM164" s="35">
        <f t="shared" si="33"/>
        <v>0</v>
      </c>
      <c r="BN164" s="54" t="s">
        <v>347</v>
      </c>
    </row>
    <row r="165" spans="1:67" hidden="1">
      <c r="A165" s="35" t="s">
        <v>202</v>
      </c>
      <c r="C165" s="35" t="s">
        <v>27</v>
      </c>
      <c r="D165" s="35"/>
      <c r="E165" s="35">
        <f t="shared" si="31"/>
        <v>0</v>
      </c>
      <c r="F165" s="35"/>
      <c r="G165" s="35">
        <v>0</v>
      </c>
      <c r="H165" s="35"/>
      <c r="I165" s="35">
        <v>0</v>
      </c>
      <c r="J165" s="35"/>
      <c r="K165" s="35">
        <f t="shared" si="32"/>
        <v>0</v>
      </c>
      <c r="L165" s="35"/>
      <c r="M165" s="35">
        <v>0</v>
      </c>
      <c r="N165" s="35"/>
      <c r="O165" s="35">
        <v>0</v>
      </c>
      <c r="P165" s="35"/>
      <c r="Q165" s="35">
        <v>0</v>
      </c>
      <c r="R165" s="35"/>
      <c r="S165" s="35">
        <v>0</v>
      </c>
      <c r="T165" s="35"/>
      <c r="U165" s="35">
        <v>0</v>
      </c>
      <c r="V165" s="35"/>
      <c r="W165" s="35">
        <f t="shared" si="30"/>
        <v>0</v>
      </c>
      <c r="X165" s="35"/>
      <c r="Y165" s="35" t="s">
        <v>202</v>
      </c>
      <c r="Z165" s="55"/>
      <c r="AA165" s="35" t="s">
        <v>27</v>
      </c>
      <c r="AB165" s="35"/>
      <c r="AC165" s="35">
        <v>0</v>
      </c>
      <c r="AD165" s="35"/>
      <c r="AE165" s="35">
        <v>0</v>
      </c>
      <c r="AF165" s="35"/>
      <c r="AG165" s="35">
        <v>0</v>
      </c>
      <c r="AH165" s="35"/>
      <c r="AI165" s="45">
        <f t="shared" si="29"/>
        <v>0</v>
      </c>
      <c r="AJ165" s="45"/>
      <c r="AK165" s="35">
        <v>0</v>
      </c>
      <c r="AL165" s="35"/>
      <c r="AM165" s="35">
        <v>0</v>
      </c>
      <c r="AN165" s="35"/>
      <c r="AO165" s="35">
        <v>0</v>
      </c>
      <c r="AP165" s="35"/>
      <c r="AQ165" s="35">
        <v>0</v>
      </c>
      <c r="AR165" s="35"/>
      <c r="AS165" s="45">
        <f t="shared" si="26"/>
        <v>0</v>
      </c>
      <c r="AT165" s="45"/>
      <c r="AU165" s="35">
        <v>0</v>
      </c>
      <c r="AV165" s="35"/>
      <c r="AW165" s="35">
        <v>0</v>
      </c>
      <c r="AX165" s="35"/>
      <c r="AY165" s="35">
        <f t="shared" si="27"/>
        <v>0</v>
      </c>
      <c r="AZ165" s="35"/>
      <c r="BA165" s="35" t="s">
        <v>202</v>
      </c>
      <c r="BB165" s="55"/>
      <c r="BC165" s="35" t="s">
        <v>27</v>
      </c>
      <c r="BD165" s="35"/>
      <c r="BE165" s="35">
        <v>0</v>
      </c>
      <c r="BF165" s="35"/>
      <c r="BG165" s="35">
        <v>0</v>
      </c>
      <c r="BH165" s="35"/>
      <c r="BI165" s="35">
        <v>0</v>
      </c>
      <c r="BJ165" s="35"/>
      <c r="BK165" s="35">
        <v>0</v>
      </c>
      <c r="BL165" s="35"/>
      <c r="BM165" s="35">
        <f t="shared" si="33"/>
        <v>0</v>
      </c>
      <c r="BN165" s="54" t="s">
        <v>347</v>
      </c>
    </row>
    <row r="166" spans="1:67" hidden="1">
      <c r="A166" s="35" t="s">
        <v>203</v>
      </c>
      <c r="C166" s="35" t="s">
        <v>27</v>
      </c>
      <c r="D166" s="35"/>
      <c r="E166" s="35">
        <f t="shared" si="31"/>
        <v>0</v>
      </c>
      <c r="F166" s="35"/>
      <c r="G166" s="35">
        <v>0</v>
      </c>
      <c r="H166" s="35"/>
      <c r="I166" s="35">
        <v>0</v>
      </c>
      <c r="J166" s="35"/>
      <c r="K166" s="35">
        <f t="shared" si="32"/>
        <v>0</v>
      </c>
      <c r="L166" s="35"/>
      <c r="M166" s="35">
        <v>0</v>
      </c>
      <c r="N166" s="35"/>
      <c r="O166" s="35">
        <v>0</v>
      </c>
      <c r="P166" s="35"/>
      <c r="Q166" s="35">
        <v>0</v>
      </c>
      <c r="R166" s="35"/>
      <c r="S166" s="35">
        <v>0</v>
      </c>
      <c r="T166" s="35"/>
      <c r="U166" s="35">
        <v>0</v>
      </c>
      <c r="V166" s="35"/>
      <c r="W166" s="35">
        <f t="shared" si="30"/>
        <v>0</v>
      </c>
      <c r="X166" s="35"/>
      <c r="Y166" s="35" t="s">
        <v>203</v>
      </c>
      <c r="Z166" s="55"/>
      <c r="AA166" s="35" t="s">
        <v>27</v>
      </c>
      <c r="AB166" s="35"/>
      <c r="AC166" s="35">
        <v>0</v>
      </c>
      <c r="AD166" s="35"/>
      <c r="AE166" s="35">
        <v>0</v>
      </c>
      <c r="AF166" s="35"/>
      <c r="AG166" s="35">
        <v>0</v>
      </c>
      <c r="AH166" s="35"/>
      <c r="AI166" s="45">
        <f t="shared" si="29"/>
        <v>0</v>
      </c>
      <c r="AJ166" s="45"/>
      <c r="AK166" s="35">
        <v>0</v>
      </c>
      <c r="AL166" s="35"/>
      <c r="AM166" s="35">
        <v>0</v>
      </c>
      <c r="AN166" s="35"/>
      <c r="AO166" s="35">
        <v>0</v>
      </c>
      <c r="AP166" s="35"/>
      <c r="AQ166" s="35">
        <v>0</v>
      </c>
      <c r="AR166" s="35"/>
      <c r="AS166" s="45">
        <f t="shared" si="26"/>
        <v>0</v>
      </c>
      <c r="AT166" s="45"/>
      <c r="AU166" s="35">
        <v>0</v>
      </c>
      <c r="AV166" s="35"/>
      <c r="AW166" s="35">
        <v>0</v>
      </c>
      <c r="AX166" s="35"/>
      <c r="AY166" s="35">
        <f t="shared" si="27"/>
        <v>0</v>
      </c>
      <c r="AZ166" s="35"/>
      <c r="BA166" s="35" t="s">
        <v>203</v>
      </c>
      <c r="BB166" s="55"/>
      <c r="BC166" s="35" t="s">
        <v>27</v>
      </c>
      <c r="BD166" s="35"/>
      <c r="BE166" s="35">
        <v>0</v>
      </c>
      <c r="BF166" s="35"/>
      <c r="BG166" s="35">
        <v>0</v>
      </c>
      <c r="BH166" s="35"/>
      <c r="BI166" s="35">
        <v>0</v>
      </c>
      <c r="BJ166" s="35"/>
      <c r="BK166" s="35">
        <v>0</v>
      </c>
      <c r="BL166" s="35"/>
      <c r="BM166" s="35">
        <f t="shared" si="33"/>
        <v>0</v>
      </c>
      <c r="BN166" s="54" t="s">
        <v>347</v>
      </c>
    </row>
    <row r="167" spans="1:67" hidden="1">
      <c r="A167" s="35" t="s">
        <v>204</v>
      </c>
      <c r="C167" s="35" t="s">
        <v>125</v>
      </c>
      <c r="D167" s="35"/>
      <c r="E167" s="35">
        <f t="shared" si="31"/>
        <v>0</v>
      </c>
      <c r="F167" s="35"/>
      <c r="G167" s="35">
        <v>0</v>
      </c>
      <c r="H167" s="35"/>
      <c r="I167" s="35">
        <v>0</v>
      </c>
      <c r="J167" s="35"/>
      <c r="K167" s="35">
        <f t="shared" si="32"/>
        <v>0</v>
      </c>
      <c r="L167" s="35"/>
      <c r="M167" s="35">
        <v>0</v>
      </c>
      <c r="N167" s="35"/>
      <c r="O167" s="35">
        <v>0</v>
      </c>
      <c r="P167" s="35"/>
      <c r="Q167" s="35">
        <v>0</v>
      </c>
      <c r="R167" s="35"/>
      <c r="S167" s="35">
        <v>0</v>
      </c>
      <c r="T167" s="35"/>
      <c r="U167" s="35">
        <v>0</v>
      </c>
      <c r="V167" s="35"/>
      <c r="W167" s="35">
        <f t="shared" si="30"/>
        <v>0</v>
      </c>
      <c r="X167" s="35"/>
      <c r="Y167" s="35" t="s">
        <v>204</v>
      </c>
      <c r="Z167" s="55"/>
      <c r="AA167" s="35" t="s">
        <v>125</v>
      </c>
      <c r="AB167" s="35"/>
      <c r="AC167" s="35">
        <v>0</v>
      </c>
      <c r="AD167" s="35"/>
      <c r="AE167" s="35">
        <v>0</v>
      </c>
      <c r="AF167" s="35"/>
      <c r="AG167" s="35">
        <v>0</v>
      </c>
      <c r="AH167" s="35"/>
      <c r="AI167" s="45">
        <f t="shared" si="29"/>
        <v>0</v>
      </c>
      <c r="AJ167" s="45"/>
      <c r="AK167" s="35">
        <v>0</v>
      </c>
      <c r="AL167" s="35"/>
      <c r="AM167" s="35">
        <v>0</v>
      </c>
      <c r="AN167" s="35"/>
      <c r="AO167" s="35">
        <v>0</v>
      </c>
      <c r="AP167" s="35"/>
      <c r="AQ167" s="35">
        <v>0</v>
      </c>
      <c r="AR167" s="35"/>
      <c r="AS167" s="45">
        <f t="shared" si="26"/>
        <v>0</v>
      </c>
      <c r="AT167" s="45"/>
      <c r="AU167" s="35">
        <v>0</v>
      </c>
      <c r="AV167" s="35"/>
      <c r="AW167" s="35">
        <v>0</v>
      </c>
      <c r="AX167" s="35"/>
      <c r="AY167" s="35">
        <f t="shared" si="27"/>
        <v>0</v>
      </c>
      <c r="AZ167" s="35"/>
      <c r="BA167" s="35" t="s">
        <v>204</v>
      </c>
      <c r="BB167" s="55"/>
      <c r="BC167" s="35" t="s">
        <v>125</v>
      </c>
      <c r="BD167" s="35"/>
      <c r="BE167" s="35">
        <v>0</v>
      </c>
      <c r="BF167" s="35"/>
      <c r="BG167" s="35">
        <v>0</v>
      </c>
      <c r="BH167" s="35"/>
      <c r="BI167" s="35">
        <v>0</v>
      </c>
      <c r="BJ167" s="35"/>
      <c r="BK167" s="35">
        <v>0</v>
      </c>
      <c r="BL167" s="35"/>
      <c r="BM167" s="35">
        <f t="shared" si="33"/>
        <v>0</v>
      </c>
      <c r="BN167" s="54" t="s">
        <v>347</v>
      </c>
    </row>
    <row r="168" spans="1:67" hidden="1">
      <c r="A168" s="35" t="s">
        <v>205</v>
      </c>
      <c r="C168" s="35" t="s">
        <v>27</v>
      </c>
      <c r="D168" s="35"/>
      <c r="E168" s="35">
        <f t="shared" si="31"/>
        <v>0</v>
      </c>
      <c r="F168" s="35"/>
      <c r="G168" s="35">
        <v>0</v>
      </c>
      <c r="H168" s="35"/>
      <c r="I168" s="35">
        <v>0</v>
      </c>
      <c r="J168" s="35"/>
      <c r="K168" s="35">
        <f t="shared" si="32"/>
        <v>0</v>
      </c>
      <c r="L168" s="35"/>
      <c r="M168" s="35">
        <v>0</v>
      </c>
      <c r="N168" s="35"/>
      <c r="O168" s="35">
        <v>0</v>
      </c>
      <c r="P168" s="35"/>
      <c r="Q168" s="35">
        <v>0</v>
      </c>
      <c r="R168" s="35"/>
      <c r="S168" s="35">
        <v>0</v>
      </c>
      <c r="T168" s="35"/>
      <c r="U168" s="35">
        <v>0</v>
      </c>
      <c r="V168" s="35"/>
      <c r="W168" s="35">
        <f t="shared" si="30"/>
        <v>0</v>
      </c>
      <c r="X168" s="35"/>
      <c r="Y168" s="35" t="s">
        <v>205</v>
      </c>
      <c r="Z168" s="55"/>
      <c r="AA168" s="35" t="s">
        <v>27</v>
      </c>
      <c r="AB168" s="35"/>
      <c r="AC168" s="35">
        <v>0</v>
      </c>
      <c r="AD168" s="35"/>
      <c r="AE168" s="35">
        <v>0</v>
      </c>
      <c r="AF168" s="35"/>
      <c r="AG168" s="35">
        <v>0</v>
      </c>
      <c r="AH168" s="35"/>
      <c r="AI168" s="45">
        <f t="shared" si="29"/>
        <v>0</v>
      </c>
      <c r="AJ168" s="45"/>
      <c r="AK168" s="35">
        <v>0</v>
      </c>
      <c r="AL168" s="35"/>
      <c r="AM168" s="35">
        <v>0</v>
      </c>
      <c r="AN168" s="35"/>
      <c r="AO168" s="35">
        <v>0</v>
      </c>
      <c r="AP168" s="35"/>
      <c r="AQ168" s="35">
        <v>0</v>
      </c>
      <c r="AR168" s="35"/>
      <c r="AS168" s="45">
        <f t="shared" si="26"/>
        <v>0</v>
      </c>
      <c r="AT168" s="45"/>
      <c r="AU168" s="35">
        <v>0</v>
      </c>
      <c r="AV168" s="35"/>
      <c r="AW168" s="35">
        <v>0</v>
      </c>
      <c r="AX168" s="35"/>
      <c r="AY168" s="35">
        <f t="shared" si="27"/>
        <v>0</v>
      </c>
      <c r="AZ168" s="35"/>
      <c r="BA168" s="35" t="s">
        <v>205</v>
      </c>
      <c r="BB168" s="55"/>
      <c r="BC168" s="35" t="s">
        <v>27</v>
      </c>
      <c r="BD168" s="35"/>
      <c r="BE168" s="35">
        <v>0</v>
      </c>
      <c r="BF168" s="35"/>
      <c r="BG168" s="35">
        <v>0</v>
      </c>
      <c r="BH168" s="35"/>
      <c r="BI168" s="35">
        <v>0</v>
      </c>
      <c r="BJ168" s="35"/>
      <c r="BK168" s="35">
        <v>0</v>
      </c>
      <c r="BL168" s="35"/>
      <c r="BM168" s="35">
        <f t="shared" si="33"/>
        <v>0</v>
      </c>
      <c r="BN168" s="54" t="s">
        <v>347</v>
      </c>
    </row>
    <row r="169" spans="1:67" hidden="1">
      <c r="A169" s="35" t="s">
        <v>206</v>
      </c>
      <c r="C169" s="35" t="s">
        <v>47</v>
      </c>
      <c r="D169" s="35"/>
      <c r="E169" s="35">
        <f t="shared" si="31"/>
        <v>0</v>
      </c>
      <c r="F169" s="35"/>
      <c r="G169" s="35">
        <v>0</v>
      </c>
      <c r="H169" s="35"/>
      <c r="I169" s="35">
        <v>0</v>
      </c>
      <c r="J169" s="35"/>
      <c r="K169" s="35">
        <f t="shared" si="32"/>
        <v>0</v>
      </c>
      <c r="L169" s="35"/>
      <c r="M169" s="35">
        <v>0</v>
      </c>
      <c r="N169" s="35"/>
      <c r="O169" s="35">
        <v>0</v>
      </c>
      <c r="P169" s="35"/>
      <c r="Q169" s="35">
        <v>0</v>
      </c>
      <c r="R169" s="35"/>
      <c r="S169" s="35">
        <v>0</v>
      </c>
      <c r="T169" s="35"/>
      <c r="U169" s="35">
        <v>0</v>
      </c>
      <c r="V169" s="35"/>
      <c r="W169" s="35">
        <f t="shared" si="30"/>
        <v>0</v>
      </c>
      <c r="X169" s="35"/>
      <c r="Y169" s="35" t="s">
        <v>206</v>
      </c>
      <c r="Z169" s="55"/>
      <c r="AA169" s="35" t="s">
        <v>47</v>
      </c>
      <c r="AB169" s="35"/>
      <c r="AC169" s="35">
        <v>0</v>
      </c>
      <c r="AD169" s="35"/>
      <c r="AE169" s="35">
        <v>0</v>
      </c>
      <c r="AF169" s="35"/>
      <c r="AG169" s="35">
        <v>0</v>
      </c>
      <c r="AH169" s="35"/>
      <c r="AI169" s="45">
        <f t="shared" si="29"/>
        <v>0</v>
      </c>
      <c r="AJ169" s="45"/>
      <c r="AK169" s="35">
        <v>0</v>
      </c>
      <c r="AL169" s="35"/>
      <c r="AM169" s="35">
        <v>0</v>
      </c>
      <c r="AN169" s="35"/>
      <c r="AO169" s="35">
        <v>0</v>
      </c>
      <c r="AP169" s="35"/>
      <c r="AQ169" s="35">
        <v>0</v>
      </c>
      <c r="AR169" s="35"/>
      <c r="AS169" s="45">
        <f t="shared" si="26"/>
        <v>0</v>
      </c>
      <c r="AT169" s="45"/>
      <c r="AU169" s="35">
        <v>0</v>
      </c>
      <c r="AV169" s="35"/>
      <c r="AW169" s="35">
        <v>0</v>
      </c>
      <c r="AX169" s="35"/>
      <c r="AY169" s="35">
        <f t="shared" si="27"/>
        <v>0</v>
      </c>
      <c r="AZ169" s="35"/>
      <c r="BA169" s="35" t="s">
        <v>206</v>
      </c>
      <c r="BB169" s="55"/>
      <c r="BC169" s="35" t="s">
        <v>47</v>
      </c>
      <c r="BD169" s="35"/>
      <c r="BE169" s="35">
        <v>0</v>
      </c>
      <c r="BF169" s="35"/>
      <c r="BG169" s="35">
        <v>0</v>
      </c>
      <c r="BH169" s="35"/>
      <c r="BI169" s="35">
        <v>0</v>
      </c>
      <c r="BJ169" s="35"/>
      <c r="BK169" s="35">
        <v>0</v>
      </c>
      <c r="BL169" s="35"/>
      <c r="BM169" s="35">
        <f t="shared" si="33"/>
        <v>0</v>
      </c>
      <c r="BN169" s="54" t="s">
        <v>347</v>
      </c>
    </row>
    <row r="170" spans="1:67" hidden="1">
      <c r="A170" s="35" t="s">
        <v>207</v>
      </c>
      <c r="C170" s="35" t="s">
        <v>102</v>
      </c>
      <c r="D170" s="35"/>
      <c r="E170" s="35">
        <f t="shared" si="31"/>
        <v>0</v>
      </c>
      <c r="F170" s="35"/>
      <c r="G170" s="35">
        <v>0</v>
      </c>
      <c r="H170" s="35"/>
      <c r="I170" s="35">
        <v>0</v>
      </c>
      <c r="J170" s="35"/>
      <c r="K170" s="35">
        <f t="shared" si="32"/>
        <v>0</v>
      </c>
      <c r="L170" s="35"/>
      <c r="M170" s="35">
        <v>0</v>
      </c>
      <c r="N170" s="35"/>
      <c r="O170" s="35">
        <v>0</v>
      </c>
      <c r="P170" s="35"/>
      <c r="Q170" s="35">
        <v>0</v>
      </c>
      <c r="R170" s="35"/>
      <c r="S170" s="35">
        <v>0</v>
      </c>
      <c r="T170" s="35"/>
      <c r="U170" s="35">
        <v>0</v>
      </c>
      <c r="V170" s="35"/>
      <c r="W170" s="35">
        <f t="shared" si="30"/>
        <v>0</v>
      </c>
      <c r="X170" s="35"/>
      <c r="Y170" s="35" t="s">
        <v>207</v>
      </c>
      <c r="Z170" s="55"/>
      <c r="AA170" s="35" t="s">
        <v>102</v>
      </c>
      <c r="AB170" s="35"/>
      <c r="AC170" s="35">
        <v>0</v>
      </c>
      <c r="AD170" s="35"/>
      <c r="AE170" s="35">
        <v>0</v>
      </c>
      <c r="AF170" s="35"/>
      <c r="AG170" s="35">
        <v>0</v>
      </c>
      <c r="AH170" s="35"/>
      <c r="AI170" s="45">
        <f t="shared" si="29"/>
        <v>0</v>
      </c>
      <c r="AJ170" s="45"/>
      <c r="AK170" s="35">
        <v>0</v>
      </c>
      <c r="AL170" s="35"/>
      <c r="AM170" s="35">
        <v>0</v>
      </c>
      <c r="AN170" s="35"/>
      <c r="AO170" s="35">
        <v>0</v>
      </c>
      <c r="AP170" s="35"/>
      <c r="AQ170" s="35">
        <v>0</v>
      </c>
      <c r="AR170" s="35"/>
      <c r="AS170" s="45">
        <f t="shared" si="26"/>
        <v>0</v>
      </c>
      <c r="AT170" s="45"/>
      <c r="AU170" s="35">
        <v>0</v>
      </c>
      <c r="AV170" s="35"/>
      <c r="AW170" s="35">
        <v>0</v>
      </c>
      <c r="AX170" s="35"/>
      <c r="AY170" s="35">
        <f t="shared" si="27"/>
        <v>0</v>
      </c>
      <c r="AZ170" s="35"/>
      <c r="BA170" s="35" t="s">
        <v>207</v>
      </c>
      <c r="BB170" s="55"/>
      <c r="BC170" s="35" t="s">
        <v>102</v>
      </c>
      <c r="BD170" s="35"/>
      <c r="BE170" s="35">
        <v>0</v>
      </c>
      <c r="BF170" s="35"/>
      <c r="BG170" s="35">
        <v>0</v>
      </c>
      <c r="BH170" s="35"/>
      <c r="BI170" s="35">
        <v>0</v>
      </c>
      <c r="BJ170" s="35"/>
      <c r="BK170" s="35">
        <v>0</v>
      </c>
      <c r="BL170" s="35"/>
      <c r="BM170" s="35">
        <f t="shared" si="33"/>
        <v>0</v>
      </c>
      <c r="BN170" s="54" t="s">
        <v>347</v>
      </c>
    </row>
    <row r="171" spans="1:67" hidden="1">
      <c r="A171" s="35" t="s">
        <v>208</v>
      </c>
      <c r="C171" s="35" t="s">
        <v>209</v>
      </c>
      <c r="D171" s="35"/>
      <c r="E171" s="35">
        <f t="shared" si="31"/>
        <v>0</v>
      </c>
      <c r="F171" s="35"/>
      <c r="G171" s="35">
        <v>0</v>
      </c>
      <c r="H171" s="35"/>
      <c r="I171" s="35">
        <v>0</v>
      </c>
      <c r="J171" s="35"/>
      <c r="K171" s="35">
        <f t="shared" si="32"/>
        <v>0</v>
      </c>
      <c r="L171" s="35"/>
      <c r="M171" s="35">
        <v>0</v>
      </c>
      <c r="N171" s="35"/>
      <c r="O171" s="35">
        <v>0</v>
      </c>
      <c r="P171" s="35"/>
      <c r="Q171" s="35">
        <v>0</v>
      </c>
      <c r="R171" s="35"/>
      <c r="S171" s="35">
        <v>0</v>
      </c>
      <c r="T171" s="35"/>
      <c r="U171" s="35">
        <v>0</v>
      </c>
      <c r="V171" s="35"/>
      <c r="W171" s="35">
        <f t="shared" si="30"/>
        <v>0</v>
      </c>
      <c r="X171" s="35"/>
      <c r="Y171" s="35" t="s">
        <v>208</v>
      </c>
      <c r="Z171" s="55"/>
      <c r="AA171" s="35" t="s">
        <v>209</v>
      </c>
      <c r="AB171" s="35"/>
      <c r="AC171" s="35">
        <v>0</v>
      </c>
      <c r="AD171" s="35"/>
      <c r="AE171" s="35">
        <v>0</v>
      </c>
      <c r="AF171" s="35"/>
      <c r="AG171" s="35">
        <v>0</v>
      </c>
      <c r="AH171" s="35"/>
      <c r="AI171" s="45">
        <f t="shared" si="29"/>
        <v>0</v>
      </c>
      <c r="AJ171" s="45"/>
      <c r="AK171" s="35">
        <v>0</v>
      </c>
      <c r="AL171" s="35"/>
      <c r="AM171" s="35">
        <v>0</v>
      </c>
      <c r="AN171" s="35"/>
      <c r="AO171" s="35">
        <v>0</v>
      </c>
      <c r="AP171" s="35"/>
      <c r="AQ171" s="35">
        <v>0</v>
      </c>
      <c r="AR171" s="35"/>
      <c r="AS171" s="45">
        <f t="shared" si="26"/>
        <v>0</v>
      </c>
      <c r="AT171" s="45"/>
      <c r="AU171" s="35">
        <v>0</v>
      </c>
      <c r="AV171" s="35"/>
      <c r="AW171" s="35">
        <v>0</v>
      </c>
      <c r="AX171" s="35"/>
      <c r="AY171" s="35">
        <f t="shared" si="27"/>
        <v>0</v>
      </c>
      <c r="AZ171" s="35"/>
      <c r="BA171" s="35" t="s">
        <v>208</v>
      </c>
      <c r="BB171" s="55"/>
      <c r="BC171" s="35" t="s">
        <v>209</v>
      </c>
      <c r="BD171" s="35"/>
      <c r="BE171" s="35">
        <v>0</v>
      </c>
      <c r="BF171" s="35"/>
      <c r="BG171" s="35">
        <v>0</v>
      </c>
      <c r="BH171" s="35"/>
      <c r="BI171" s="35">
        <v>0</v>
      </c>
      <c r="BJ171" s="35"/>
      <c r="BK171" s="35">
        <v>0</v>
      </c>
      <c r="BL171" s="35"/>
      <c r="BM171" s="35">
        <f t="shared" si="33"/>
        <v>0</v>
      </c>
      <c r="BN171" s="54" t="s">
        <v>347</v>
      </c>
    </row>
    <row r="172" spans="1:67" hidden="1">
      <c r="A172" s="44" t="s">
        <v>210</v>
      </c>
      <c r="C172" s="44" t="s">
        <v>211</v>
      </c>
      <c r="D172" s="44"/>
      <c r="E172" s="35">
        <f t="shared" si="31"/>
        <v>0</v>
      </c>
      <c r="F172" s="35"/>
      <c r="G172" s="35">
        <v>0</v>
      </c>
      <c r="H172" s="35"/>
      <c r="I172" s="35">
        <v>0</v>
      </c>
      <c r="J172" s="35"/>
      <c r="K172" s="35">
        <f t="shared" si="32"/>
        <v>0</v>
      </c>
      <c r="L172" s="35"/>
      <c r="M172" s="35">
        <v>0</v>
      </c>
      <c r="N172" s="35"/>
      <c r="O172" s="35">
        <v>0</v>
      </c>
      <c r="P172" s="35"/>
      <c r="Q172" s="35">
        <v>0</v>
      </c>
      <c r="R172" s="35"/>
      <c r="S172" s="35">
        <v>0</v>
      </c>
      <c r="T172" s="35"/>
      <c r="U172" s="35">
        <v>0</v>
      </c>
      <c r="V172" s="35"/>
      <c r="W172" s="35">
        <f t="shared" si="30"/>
        <v>0</v>
      </c>
      <c r="X172" s="35"/>
      <c r="Y172" s="44" t="s">
        <v>210</v>
      </c>
      <c r="Z172" s="55"/>
      <c r="AA172" s="44" t="s">
        <v>211</v>
      </c>
      <c r="AB172" s="44"/>
      <c r="AC172" s="35">
        <v>0</v>
      </c>
      <c r="AD172" s="35"/>
      <c r="AE172" s="35">
        <v>0</v>
      </c>
      <c r="AF172" s="35"/>
      <c r="AG172" s="35">
        <v>0</v>
      </c>
      <c r="AH172" s="35"/>
      <c r="AI172" s="45">
        <f t="shared" si="29"/>
        <v>0</v>
      </c>
      <c r="AJ172" s="45"/>
      <c r="AK172" s="35">
        <v>0</v>
      </c>
      <c r="AL172" s="35"/>
      <c r="AM172" s="35">
        <v>0</v>
      </c>
      <c r="AN172" s="35"/>
      <c r="AO172" s="35">
        <v>0</v>
      </c>
      <c r="AP172" s="35"/>
      <c r="AQ172" s="35">
        <v>0</v>
      </c>
      <c r="AR172" s="35"/>
      <c r="AS172" s="45">
        <f t="shared" si="26"/>
        <v>0</v>
      </c>
      <c r="AT172" s="45"/>
      <c r="AU172" s="35">
        <v>0</v>
      </c>
      <c r="AV172" s="35"/>
      <c r="AW172" s="35">
        <v>0</v>
      </c>
      <c r="AX172" s="35"/>
      <c r="AY172" s="35">
        <f t="shared" si="27"/>
        <v>0</v>
      </c>
      <c r="AZ172" s="35"/>
      <c r="BA172" s="44" t="s">
        <v>210</v>
      </c>
      <c r="BB172" s="55"/>
      <c r="BC172" s="44" t="s">
        <v>211</v>
      </c>
      <c r="BD172" s="44"/>
      <c r="BE172" s="35">
        <v>0</v>
      </c>
      <c r="BF172" s="35"/>
      <c r="BG172" s="35">
        <v>0</v>
      </c>
      <c r="BH172" s="35"/>
      <c r="BI172" s="35">
        <v>0</v>
      </c>
      <c r="BJ172" s="35"/>
      <c r="BK172" s="35">
        <v>0</v>
      </c>
      <c r="BL172" s="35"/>
      <c r="BM172" s="35">
        <f t="shared" si="33"/>
        <v>0</v>
      </c>
      <c r="BN172" s="54" t="s">
        <v>347</v>
      </c>
    </row>
    <row r="173" spans="1:67">
      <c r="A173" s="44" t="s">
        <v>212</v>
      </c>
      <c r="C173" s="44" t="s">
        <v>213</v>
      </c>
      <c r="D173" s="44"/>
      <c r="E173" s="35">
        <f t="shared" si="31"/>
        <v>344657</v>
      </c>
      <c r="F173" s="35"/>
      <c r="G173" s="35">
        <v>1049007</v>
      </c>
      <c r="H173" s="35"/>
      <c r="I173" s="35">
        <v>1393664</v>
      </c>
      <c r="J173" s="35"/>
      <c r="K173" s="35">
        <f t="shared" si="32"/>
        <v>128247</v>
      </c>
      <c r="L173" s="35"/>
      <c r="M173" s="35">
        <v>188711</v>
      </c>
      <c r="N173" s="35"/>
      <c r="O173" s="35">
        <v>316958</v>
      </c>
      <c r="P173" s="35"/>
      <c r="Q173" s="35">
        <v>776328</v>
      </c>
      <c r="R173" s="35"/>
      <c r="S173" s="35">
        <v>0</v>
      </c>
      <c r="T173" s="35"/>
      <c r="U173" s="35">
        <v>300378</v>
      </c>
      <c r="V173" s="35"/>
      <c r="W173" s="35">
        <f t="shared" si="30"/>
        <v>1076706</v>
      </c>
      <c r="X173" s="35"/>
      <c r="Y173" s="44" t="s">
        <v>212</v>
      </c>
      <c r="Z173" s="55"/>
      <c r="AA173" s="44" t="s">
        <v>213</v>
      </c>
      <c r="AB173" s="44"/>
      <c r="AC173" s="35">
        <v>1417370</v>
      </c>
      <c r="AD173" s="35"/>
      <c r="AE173" s="35">
        <f>1381395-121648</f>
        <v>1259747</v>
      </c>
      <c r="AF173" s="35"/>
      <c r="AG173" s="35">
        <v>121648</v>
      </c>
      <c r="AH173" s="35"/>
      <c r="AI173" s="45">
        <f t="shared" si="29"/>
        <v>35975</v>
      </c>
      <c r="AJ173" s="45"/>
      <c r="AK173" s="35">
        <v>0</v>
      </c>
      <c r="AL173" s="35"/>
      <c r="AM173" s="35">
        <v>0</v>
      </c>
      <c r="AN173" s="35"/>
      <c r="AO173" s="35">
        <v>0</v>
      </c>
      <c r="AP173" s="35"/>
      <c r="AQ173" s="35">
        <v>62500</v>
      </c>
      <c r="AR173" s="35"/>
      <c r="AS173" s="45">
        <f t="shared" ref="AS173:AS236" si="36">+AI173+AK173+AM173-AO173+AQ173</f>
        <v>98475</v>
      </c>
      <c r="AT173" s="45"/>
      <c r="AU173" s="35">
        <v>0</v>
      </c>
      <c r="AV173" s="35"/>
      <c r="AW173" s="35">
        <v>0</v>
      </c>
      <c r="AX173" s="35"/>
      <c r="AY173" s="35">
        <f t="shared" ref="AY173:AY236" si="37">+E173-K173</f>
        <v>216410</v>
      </c>
      <c r="AZ173" s="35"/>
      <c r="BA173" s="44" t="s">
        <v>212</v>
      </c>
      <c r="BB173" s="55"/>
      <c r="BC173" s="44" t="s">
        <v>213</v>
      </c>
      <c r="BD173" s="44"/>
      <c r="BE173" s="35">
        <v>0</v>
      </c>
      <c r="BF173" s="35"/>
      <c r="BG173" s="35">
        <v>0</v>
      </c>
      <c r="BH173" s="35"/>
      <c r="BI173" s="35">
        <v>0</v>
      </c>
      <c r="BJ173" s="35"/>
      <c r="BK173" s="35">
        <f>185508+3203+87171+1101</f>
        <v>276983</v>
      </c>
      <c r="BL173" s="35"/>
      <c r="BM173" s="35">
        <f t="shared" si="33"/>
        <v>276983</v>
      </c>
      <c r="BN173" s="54" t="s">
        <v>347</v>
      </c>
    </row>
    <row r="174" spans="1:67" hidden="1">
      <c r="A174" s="44" t="s">
        <v>214</v>
      </c>
      <c r="C174" s="44" t="s">
        <v>86</v>
      </c>
      <c r="D174" s="44"/>
      <c r="E174" s="35">
        <f t="shared" si="31"/>
        <v>0</v>
      </c>
      <c r="F174" s="35"/>
      <c r="G174" s="35">
        <v>0</v>
      </c>
      <c r="H174" s="35"/>
      <c r="I174" s="35">
        <v>0</v>
      </c>
      <c r="J174" s="35"/>
      <c r="K174" s="35">
        <f t="shared" si="32"/>
        <v>0</v>
      </c>
      <c r="L174" s="35"/>
      <c r="M174" s="35">
        <v>0</v>
      </c>
      <c r="N174" s="35"/>
      <c r="O174" s="35">
        <v>0</v>
      </c>
      <c r="P174" s="35"/>
      <c r="Q174" s="35">
        <v>0</v>
      </c>
      <c r="R174" s="35"/>
      <c r="S174" s="35">
        <v>0</v>
      </c>
      <c r="T174" s="35"/>
      <c r="U174" s="35">
        <v>0</v>
      </c>
      <c r="V174" s="35"/>
      <c r="W174" s="35">
        <f t="shared" si="30"/>
        <v>0</v>
      </c>
      <c r="X174" s="35"/>
      <c r="Y174" s="44" t="s">
        <v>214</v>
      </c>
      <c r="Z174" s="55"/>
      <c r="AA174" s="44" t="s">
        <v>86</v>
      </c>
      <c r="AB174" s="44"/>
      <c r="AC174" s="35">
        <v>0</v>
      </c>
      <c r="AD174" s="35"/>
      <c r="AE174" s="35">
        <v>0</v>
      </c>
      <c r="AF174" s="35"/>
      <c r="AG174" s="35">
        <v>0</v>
      </c>
      <c r="AH174" s="35"/>
      <c r="AI174" s="45">
        <f t="shared" si="29"/>
        <v>0</v>
      </c>
      <c r="AJ174" s="45"/>
      <c r="AK174" s="35">
        <v>0</v>
      </c>
      <c r="AL174" s="35"/>
      <c r="AM174" s="35">
        <v>0</v>
      </c>
      <c r="AN174" s="35"/>
      <c r="AO174" s="35">
        <v>0</v>
      </c>
      <c r="AP174" s="35"/>
      <c r="AQ174" s="35">
        <v>0</v>
      </c>
      <c r="AR174" s="35"/>
      <c r="AS174" s="45">
        <f t="shared" si="36"/>
        <v>0</v>
      </c>
      <c r="AT174" s="45"/>
      <c r="AU174" s="35">
        <v>0</v>
      </c>
      <c r="AV174" s="35"/>
      <c r="AW174" s="35">
        <v>0</v>
      </c>
      <c r="AX174" s="35"/>
      <c r="AY174" s="35">
        <f t="shared" si="37"/>
        <v>0</v>
      </c>
      <c r="AZ174" s="35"/>
      <c r="BA174" s="44" t="s">
        <v>214</v>
      </c>
      <c r="BB174" s="55"/>
      <c r="BC174" s="44" t="s">
        <v>86</v>
      </c>
      <c r="BD174" s="44"/>
      <c r="BE174" s="35">
        <v>0</v>
      </c>
      <c r="BF174" s="35"/>
      <c r="BG174" s="35">
        <v>0</v>
      </c>
      <c r="BH174" s="35"/>
      <c r="BI174" s="35">
        <v>0</v>
      </c>
      <c r="BJ174" s="35"/>
      <c r="BK174" s="35">
        <v>0</v>
      </c>
      <c r="BL174" s="35"/>
      <c r="BM174" s="35">
        <f t="shared" si="33"/>
        <v>0</v>
      </c>
      <c r="BN174" s="54" t="s">
        <v>347</v>
      </c>
    </row>
    <row r="175" spans="1:67" hidden="1">
      <c r="A175" s="35" t="s">
        <v>215</v>
      </c>
      <c r="C175" s="35" t="s">
        <v>22</v>
      </c>
      <c r="D175" s="35"/>
      <c r="E175" s="35">
        <f t="shared" si="31"/>
        <v>0</v>
      </c>
      <c r="F175" s="35"/>
      <c r="G175" s="35">
        <v>0</v>
      </c>
      <c r="H175" s="35"/>
      <c r="I175" s="35">
        <v>0</v>
      </c>
      <c r="J175" s="35"/>
      <c r="K175" s="35">
        <f t="shared" si="32"/>
        <v>0</v>
      </c>
      <c r="L175" s="35"/>
      <c r="M175" s="35">
        <v>0</v>
      </c>
      <c r="N175" s="35"/>
      <c r="O175" s="35">
        <v>0</v>
      </c>
      <c r="P175" s="35"/>
      <c r="Q175" s="35">
        <v>0</v>
      </c>
      <c r="R175" s="35"/>
      <c r="S175" s="35">
        <v>0</v>
      </c>
      <c r="T175" s="35"/>
      <c r="U175" s="35">
        <v>0</v>
      </c>
      <c r="V175" s="35"/>
      <c r="W175" s="35">
        <f t="shared" si="30"/>
        <v>0</v>
      </c>
      <c r="X175" s="35"/>
      <c r="Y175" s="35" t="s">
        <v>215</v>
      </c>
      <c r="Z175" s="55"/>
      <c r="AA175" s="35" t="s">
        <v>22</v>
      </c>
      <c r="AB175" s="35"/>
      <c r="AC175" s="35">
        <v>0</v>
      </c>
      <c r="AD175" s="35"/>
      <c r="AE175" s="35">
        <v>0</v>
      </c>
      <c r="AF175" s="35"/>
      <c r="AG175" s="35">
        <v>0</v>
      </c>
      <c r="AH175" s="35"/>
      <c r="AI175" s="45">
        <f t="shared" si="29"/>
        <v>0</v>
      </c>
      <c r="AJ175" s="45"/>
      <c r="AK175" s="35">
        <v>0</v>
      </c>
      <c r="AL175" s="35"/>
      <c r="AM175" s="35">
        <v>0</v>
      </c>
      <c r="AN175" s="35"/>
      <c r="AO175" s="35">
        <v>0</v>
      </c>
      <c r="AP175" s="35"/>
      <c r="AQ175" s="35">
        <v>0</v>
      </c>
      <c r="AR175" s="35"/>
      <c r="AS175" s="45">
        <f t="shared" si="36"/>
        <v>0</v>
      </c>
      <c r="AT175" s="45"/>
      <c r="AU175" s="35">
        <v>0</v>
      </c>
      <c r="AV175" s="35"/>
      <c r="AW175" s="35">
        <v>0</v>
      </c>
      <c r="AX175" s="35"/>
      <c r="AY175" s="35">
        <f t="shared" si="37"/>
        <v>0</v>
      </c>
      <c r="AZ175" s="35"/>
      <c r="BA175" s="35" t="s">
        <v>215</v>
      </c>
      <c r="BB175" s="55"/>
      <c r="BC175" s="35" t="s">
        <v>22</v>
      </c>
      <c r="BD175" s="35"/>
      <c r="BE175" s="35">
        <v>0</v>
      </c>
      <c r="BF175" s="35"/>
      <c r="BG175" s="35">
        <v>0</v>
      </c>
      <c r="BH175" s="35"/>
      <c r="BI175" s="35">
        <v>0</v>
      </c>
      <c r="BJ175" s="35"/>
      <c r="BK175" s="35">
        <v>0</v>
      </c>
      <c r="BL175" s="35"/>
      <c r="BM175" s="35">
        <f t="shared" si="33"/>
        <v>0</v>
      </c>
      <c r="BN175" s="54" t="s">
        <v>347</v>
      </c>
    </row>
    <row r="176" spans="1:67" hidden="1">
      <c r="A176" s="35" t="s">
        <v>216</v>
      </c>
      <c r="C176" s="35" t="s">
        <v>45</v>
      </c>
      <c r="D176" s="35"/>
      <c r="E176" s="35">
        <f t="shared" si="31"/>
        <v>0</v>
      </c>
      <c r="F176" s="35"/>
      <c r="G176" s="35">
        <v>0</v>
      </c>
      <c r="H176" s="35"/>
      <c r="I176" s="35">
        <v>0</v>
      </c>
      <c r="J176" s="35"/>
      <c r="K176" s="35">
        <f t="shared" si="32"/>
        <v>0</v>
      </c>
      <c r="L176" s="35"/>
      <c r="M176" s="35">
        <v>0</v>
      </c>
      <c r="N176" s="35"/>
      <c r="O176" s="35">
        <v>0</v>
      </c>
      <c r="P176" s="35"/>
      <c r="Q176" s="35">
        <v>0</v>
      </c>
      <c r="R176" s="35"/>
      <c r="S176" s="35">
        <v>0</v>
      </c>
      <c r="T176" s="35"/>
      <c r="U176" s="35">
        <v>0</v>
      </c>
      <c r="V176" s="35"/>
      <c r="W176" s="35">
        <f t="shared" si="30"/>
        <v>0</v>
      </c>
      <c r="X176" s="35"/>
      <c r="Y176" s="35" t="s">
        <v>216</v>
      </c>
      <c r="Z176" s="55"/>
      <c r="AA176" s="35" t="s">
        <v>45</v>
      </c>
      <c r="AB176" s="35"/>
      <c r="AC176" s="35">
        <v>0</v>
      </c>
      <c r="AD176" s="35"/>
      <c r="AE176" s="35">
        <v>0</v>
      </c>
      <c r="AF176" s="35"/>
      <c r="AG176" s="35">
        <v>0</v>
      </c>
      <c r="AH176" s="35"/>
      <c r="AI176" s="45">
        <f t="shared" si="29"/>
        <v>0</v>
      </c>
      <c r="AJ176" s="45"/>
      <c r="AK176" s="35">
        <v>0</v>
      </c>
      <c r="AL176" s="35"/>
      <c r="AM176" s="35">
        <v>0</v>
      </c>
      <c r="AN176" s="35"/>
      <c r="AO176" s="35">
        <v>0</v>
      </c>
      <c r="AP176" s="35"/>
      <c r="AQ176" s="35">
        <v>0</v>
      </c>
      <c r="AR176" s="35"/>
      <c r="AS176" s="45">
        <f t="shared" si="36"/>
        <v>0</v>
      </c>
      <c r="AT176" s="45"/>
      <c r="AU176" s="35">
        <v>0</v>
      </c>
      <c r="AV176" s="35"/>
      <c r="AW176" s="35">
        <v>0</v>
      </c>
      <c r="AX176" s="35"/>
      <c r="AY176" s="35">
        <f t="shared" si="37"/>
        <v>0</v>
      </c>
      <c r="AZ176" s="35"/>
      <c r="BA176" s="35" t="s">
        <v>216</v>
      </c>
      <c r="BB176" s="55"/>
      <c r="BC176" s="35" t="s">
        <v>45</v>
      </c>
      <c r="BD176" s="35"/>
      <c r="BE176" s="35">
        <v>0</v>
      </c>
      <c r="BF176" s="35"/>
      <c r="BG176" s="35">
        <v>0</v>
      </c>
      <c r="BH176" s="35"/>
      <c r="BI176" s="35">
        <v>0</v>
      </c>
      <c r="BJ176" s="35"/>
      <c r="BK176" s="35">
        <v>0</v>
      </c>
      <c r="BL176" s="35"/>
      <c r="BM176" s="35">
        <f t="shared" si="33"/>
        <v>0</v>
      </c>
      <c r="BN176" s="54" t="s">
        <v>347</v>
      </c>
    </row>
    <row r="177" spans="1:68" hidden="1">
      <c r="A177" s="35" t="s">
        <v>217</v>
      </c>
      <c r="C177" s="35" t="s">
        <v>43</v>
      </c>
      <c r="D177" s="35"/>
      <c r="E177" s="35">
        <f t="shared" si="31"/>
        <v>0</v>
      </c>
      <c r="F177" s="35"/>
      <c r="G177" s="35">
        <v>0</v>
      </c>
      <c r="H177" s="35"/>
      <c r="I177" s="35">
        <v>0</v>
      </c>
      <c r="J177" s="35"/>
      <c r="K177" s="35">
        <f t="shared" si="32"/>
        <v>0</v>
      </c>
      <c r="L177" s="35"/>
      <c r="M177" s="35">
        <v>0</v>
      </c>
      <c r="N177" s="35"/>
      <c r="O177" s="35">
        <v>0</v>
      </c>
      <c r="P177" s="35"/>
      <c r="Q177" s="35">
        <v>0</v>
      </c>
      <c r="R177" s="35"/>
      <c r="S177" s="35">
        <v>0</v>
      </c>
      <c r="T177" s="35"/>
      <c r="U177" s="35">
        <v>0</v>
      </c>
      <c r="V177" s="35"/>
      <c r="W177" s="35">
        <f t="shared" si="30"/>
        <v>0</v>
      </c>
      <c r="X177" s="35"/>
      <c r="Y177" s="35" t="s">
        <v>217</v>
      </c>
      <c r="Z177" s="55"/>
      <c r="AA177" s="35" t="s">
        <v>43</v>
      </c>
      <c r="AB177" s="35"/>
      <c r="AC177" s="35">
        <v>0</v>
      </c>
      <c r="AD177" s="35"/>
      <c r="AE177" s="35">
        <v>0</v>
      </c>
      <c r="AF177" s="35"/>
      <c r="AG177" s="35">
        <v>0</v>
      </c>
      <c r="AH177" s="35"/>
      <c r="AI177" s="45">
        <f t="shared" si="29"/>
        <v>0</v>
      </c>
      <c r="AJ177" s="45"/>
      <c r="AK177" s="35">
        <v>0</v>
      </c>
      <c r="AL177" s="35"/>
      <c r="AM177" s="35">
        <v>0</v>
      </c>
      <c r="AN177" s="35"/>
      <c r="AO177" s="35">
        <v>0</v>
      </c>
      <c r="AP177" s="35"/>
      <c r="AQ177" s="35">
        <v>0</v>
      </c>
      <c r="AR177" s="35"/>
      <c r="AS177" s="45">
        <f t="shared" si="36"/>
        <v>0</v>
      </c>
      <c r="AT177" s="45"/>
      <c r="AU177" s="35">
        <v>0</v>
      </c>
      <c r="AV177" s="35"/>
      <c r="AW177" s="35">
        <v>0</v>
      </c>
      <c r="AX177" s="35"/>
      <c r="AY177" s="35">
        <f t="shared" si="37"/>
        <v>0</v>
      </c>
      <c r="AZ177" s="35"/>
      <c r="BA177" s="35" t="s">
        <v>217</v>
      </c>
      <c r="BB177" s="55"/>
      <c r="BC177" s="35" t="s">
        <v>43</v>
      </c>
      <c r="BD177" s="35"/>
      <c r="BE177" s="35">
        <v>0</v>
      </c>
      <c r="BF177" s="35"/>
      <c r="BG177" s="35">
        <v>0</v>
      </c>
      <c r="BH177" s="35"/>
      <c r="BI177" s="35">
        <v>0</v>
      </c>
      <c r="BJ177" s="35"/>
      <c r="BK177" s="35">
        <v>0</v>
      </c>
      <c r="BL177" s="35"/>
      <c r="BM177" s="35">
        <f t="shared" si="33"/>
        <v>0</v>
      </c>
      <c r="BN177" s="54" t="s">
        <v>347</v>
      </c>
    </row>
    <row r="178" spans="1:68" hidden="1">
      <c r="A178" s="35" t="s">
        <v>218</v>
      </c>
      <c r="C178" s="35" t="s">
        <v>27</v>
      </c>
      <c r="D178" s="35"/>
      <c r="E178" s="35">
        <f t="shared" si="31"/>
        <v>0</v>
      </c>
      <c r="F178" s="35"/>
      <c r="G178" s="35">
        <v>0</v>
      </c>
      <c r="H178" s="35"/>
      <c r="I178" s="35">
        <v>0</v>
      </c>
      <c r="J178" s="35"/>
      <c r="K178" s="35">
        <f t="shared" si="32"/>
        <v>0</v>
      </c>
      <c r="L178" s="35"/>
      <c r="M178" s="35">
        <v>0</v>
      </c>
      <c r="N178" s="35"/>
      <c r="O178" s="35">
        <v>0</v>
      </c>
      <c r="P178" s="35"/>
      <c r="Q178" s="35">
        <v>0</v>
      </c>
      <c r="R178" s="35"/>
      <c r="S178" s="35">
        <v>0</v>
      </c>
      <c r="T178" s="35"/>
      <c r="U178" s="35">
        <v>0</v>
      </c>
      <c r="V178" s="35"/>
      <c r="W178" s="35">
        <f t="shared" si="30"/>
        <v>0</v>
      </c>
      <c r="X178" s="35"/>
      <c r="Y178" s="35" t="s">
        <v>218</v>
      </c>
      <c r="Z178" s="55"/>
      <c r="AA178" s="35" t="s">
        <v>27</v>
      </c>
      <c r="AB178" s="35"/>
      <c r="AC178" s="35">
        <v>0</v>
      </c>
      <c r="AD178" s="35"/>
      <c r="AE178" s="35">
        <v>0</v>
      </c>
      <c r="AF178" s="35"/>
      <c r="AG178" s="35">
        <v>0</v>
      </c>
      <c r="AH178" s="35"/>
      <c r="AI178" s="45">
        <f t="shared" si="29"/>
        <v>0</v>
      </c>
      <c r="AJ178" s="45"/>
      <c r="AK178" s="35">
        <v>0</v>
      </c>
      <c r="AL178" s="35"/>
      <c r="AM178" s="35">
        <v>0</v>
      </c>
      <c r="AN178" s="35"/>
      <c r="AO178" s="35">
        <v>0</v>
      </c>
      <c r="AP178" s="35"/>
      <c r="AQ178" s="35">
        <v>0</v>
      </c>
      <c r="AR178" s="35"/>
      <c r="AS178" s="45">
        <f t="shared" si="36"/>
        <v>0</v>
      </c>
      <c r="AT178" s="45"/>
      <c r="AU178" s="35">
        <v>0</v>
      </c>
      <c r="AV178" s="35"/>
      <c r="AW178" s="35">
        <v>0</v>
      </c>
      <c r="AX178" s="35"/>
      <c r="AY178" s="35">
        <f t="shared" si="37"/>
        <v>0</v>
      </c>
      <c r="AZ178" s="35"/>
      <c r="BA178" s="35" t="s">
        <v>218</v>
      </c>
      <c r="BB178" s="55"/>
      <c r="BC178" s="35" t="s">
        <v>27</v>
      </c>
      <c r="BD178" s="35"/>
      <c r="BE178" s="35">
        <v>0</v>
      </c>
      <c r="BF178" s="35"/>
      <c r="BG178" s="35">
        <v>0</v>
      </c>
      <c r="BH178" s="35"/>
      <c r="BI178" s="35">
        <v>0</v>
      </c>
      <c r="BJ178" s="35"/>
      <c r="BK178" s="35">
        <v>0</v>
      </c>
      <c r="BL178" s="35"/>
      <c r="BM178" s="35">
        <f t="shared" si="33"/>
        <v>0</v>
      </c>
      <c r="BN178" s="54" t="s">
        <v>347</v>
      </c>
      <c r="BO178" s="35"/>
      <c r="BP178" s="35"/>
    </row>
    <row r="179" spans="1:68" hidden="1">
      <c r="A179" s="35" t="s">
        <v>219</v>
      </c>
      <c r="C179" s="35" t="s">
        <v>199</v>
      </c>
      <c r="D179" s="35"/>
      <c r="E179" s="35">
        <f t="shared" si="31"/>
        <v>0</v>
      </c>
      <c r="F179" s="35"/>
      <c r="G179" s="35">
        <v>0</v>
      </c>
      <c r="H179" s="35"/>
      <c r="I179" s="35">
        <v>0</v>
      </c>
      <c r="J179" s="35"/>
      <c r="K179" s="35">
        <f t="shared" si="32"/>
        <v>0</v>
      </c>
      <c r="L179" s="35"/>
      <c r="M179" s="35">
        <v>0</v>
      </c>
      <c r="N179" s="35"/>
      <c r="O179" s="35">
        <v>0</v>
      </c>
      <c r="P179" s="35"/>
      <c r="Q179" s="35">
        <v>0</v>
      </c>
      <c r="R179" s="35"/>
      <c r="S179" s="35">
        <v>0</v>
      </c>
      <c r="T179" s="35"/>
      <c r="U179" s="35">
        <v>0</v>
      </c>
      <c r="V179" s="35"/>
      <c r="W179" s="35">
        <f t="shared" si="30"/>
        <v>0</v>
      </c>
      <c r="X179" s="35"/>
      <c r="Y179" s="35" t="s">
        <v>219</v>
      </c>
      <c r="Z179" s="55"/>
      <c r="AA179" s="35" t="s">
        <v>199</v>
      </c>
      <c r="AB179" s="35"/>
      <c r="AC179" s="35">
        <v>0</v>
      </c>
      <c r="AD179" s="35"/>
      <c r="AE179" s="35">
        <v>0</v>
      </c>
      <c r="AF179" s="35"/>
      <c r="AG179" s="35">
        <v>0</v>
      </c>
      <c r="AH179" s="35"/>
      <c r="AI179" s="45">
        <f t="shared" si="29"/>
        <v>0</v>
      </c>
      <c r="AJ179" s="45"/>
      <c r="AK179" s="35">
        <v>0</v>
      </c>
      <c r="AL179" s="35"/>
      <c r="AM179" s="35">
        <v>0</v>
      </c>
      <c r="AN179" s="35"/>
      <c r="AO179" s="35">
        <v>0</v>
      </c>
      <c r="AP179" s="35"/>
      <c r="AQ179" s="35">
        <v>0</v>
      </c>
      <c r="AR179" s="35"/>
      <c r="AS179" s="45">
        <f t="shared" si="36"/>
        <v>0</v>
      </c>
      <c r="AT179" s="45"/>
      <c r="AU179" s="35">
        <v>0</v>
      </c>
      <c r="AV179" s="35"/>
      <c r="AW179" s="35">
        <v>0</v>
      </c>
      <c r="AX179" s="35"/>
      <c r="AY179" s="35">
        <f t="shared" si="37"/>
        <v>0</v>
      </c>
      <c r="AZ179" s="35"/>
      <c r="BA179" s="35" t="s">
        <v>219</v>
      </c>
      <c r="BB179" s="55"/>
      <c r="BC179" s="35" t="s">
        <v>199</v>
      </c>
      <c r="BD179" s="35"/>
      <c r="BE179" s="35">
        <v>0</v>
      </c>
      <c r="BF179" s="35"/>
      <c r="BG179" s="35">
        <v>0</v>
      </c>
      <c r="BH179" s="35"/>
      <c r="BI179" s="35">
        <v>0</v>
      </c>
      <c r="BJ179" s="35"/>
      <c r="BK179" s="35">
        <v>0</v>
      </c>
      <c r="BL179" s="35"/>
      <c r="BM179" s="35">
        <f t="shared" si="33"/>
        <v>0</v>
      </c>
      <c r="BN179" s="54" t="s">
        <v>347</v>
      </c>
    </row>
    <row r="180" spans="1:68" hidden="1">
      <c r="A180" s="35" t="s">
        <v>220</v>
      </c>
      <c r="C180" s="35" t="s">
        <v>66</v>
      </c>
      <c r="D180" s="35"/>
      <c r="E180" s="35">
        <f t="shared" si="31"/>
        <v>0</v>
      </c>
      <c r="F180" s="35"/>
      <c r="G180" s="35">
        <v>0</v>
      </c>
      <c r="H180" s="35"/>
      <c r="I180" s="35">
        <v>0</v>
      </c>
      <c r="J180" s="35"/>
      <c r="K180" s="35">
        <f t="shared" si="32"/>
        <v>0</v>
      </c>
      <c r="L180" s="35"/>
      <c r="M180" s="35">
        <v>0</v>
      </c>
      <c r="N180" s="35"/>
      <c r="O180" s="35">
        <v>0</v>
      </c>
      <c r="P180" s="35"/>
      <c r="Q180" s="35">
        <v>0</v>
      </c>
      <c r="R180" s="35"/>
      <c r="S180" s="35">
        <v>0</v>
      </c>
      <c r="T180" s="35"/>
      <c r="U180" s="35">
        <v>0</v>
      </c>
      <c r="V180" s="35"/>
      <c r="W180" s="35">
        <f t="shared" si="30"/>
        <v>0</v>
      </c>
      <c r="X180" s="35"/>
      <c r="Y180" s="35" t="s">
        <v>220</v>
      </c>
      <c r="Z180" s="55"/>
      <c r="AA180" s="35" t="s">
        <v>66</v>
      </c>
      <c r="AB180" s="35"/>
      <c r="AC180" s="35">
        <v>0</v>
      </c>
      <c r="AD180" s="35"/>
      <c r="AE180" s="35">
        <v>0</v>
      </c>
      <c r="AF180" s="35"/>
      <c r="AG180" s="35">
        <v>0</v>
      </c>
      <c r="AH180" s="35"/>
      <c r="AI180" s="45">
        <f t="shared" si="29"/>
        <v>0</v>
      </c>
      <c r="AJ180" s="45"/>
      <c r="AK180" s="35">
        <v>0</v>
      </c>
      <c r="AL180" s="35"/>
      <c r="AM180" s="35">
        <v>0</v>
      </c>
      <c r="AN180" s="35"/>
      <c r="AO180" s="35">
        <v>0</v>
      </c>
      <c r="AP180" s="35"/>
      <c r="AQ180" s="35">
        <v>0</v>
      </c>
      <c r="AR180" s="35"/>
      <c r="AS180" s="45">
        <f t="shared" si="36"/>
        <v>0</v>
      </c>
      <c r="AT180" s="45"/>
      <c r="AU180" s="35">
        <v>0</v>
      </c>
      <c r="AV180" s="35"/>
      <c r="AW180" s="35">
        <v>0</v>
      </c>
      <c r="AX180" s="35"/>
      <c r="AY180" s="35">
        <f t="shared" si="37"/>
        <v>0</v>
      </c>
      <c r="AZ180" s="35"/>
      <c r="BA180" s="35" t="s">
        <v>220</v>
      </c>
      <c r="BB180" s="55"/>
      <c r="BC180" s="35" t="s">
        <v>66</v>
      </c>
      <c r="BD180" s="35"/>
      <c r="BE180" s="35">
        <v>0</v>
      </c>
      <c r="BF180" s="35"/>
      <c r="BG180" s="35">
        <v>0</v>
      </c>
      <c r="BH180" s="35"/>
      <c r="BI180" s="35">
        <v>0</v>
      </c>
      <c r="BJ180" s="35"/>
      <c r="BK180" s="35">
        <v>0</v>
      </c>
      <c r="BL180" s="35"/>
      <c r="BM180" s="35">
        <f t="shared" si="33"/>
        <v>0</v>
      </c>
      <c r="BN180" s="89" t="s">
        <v>347</v>
      </c>
    </row>
    <row r="181" spans="1:68" hidden="1">
      <c r="A181" s="35" t="s">
        <v>221</v>
      </c>
      <c r="C181" s="35" t="s">
        <v>27</v>
      </c>
      <c r="D181" s="35"/>
      <c r="E181" s="35">
        <f t="shared" si="31"/>
        <v>0</v>
      </c>
      <c r="F181" s="35"/>
      <c r="G181" s="35">
        <v>0</v>
      </c>
      <c r="H181" s="35"/>
      <c r="I181" s="35">
        <v>0</v>
      </c>
      <c r="J181" s="35"/>
      <c r="K181" s="35">
        <f t="shared" si="32"/>
        <v>0</v>
      </c>
      <c r="L181" s="35"/>
      <c r="M181" s="35">
        <v>0</v>
      </c>
      <c r="N181" s="35"/>
      <c r="O181" s="35">
        <v>0</v>
      </c>
      <c r="P181" s="35"/>
      <c r="Q181" s="35">
        <v>0</v>
      </c>
      <c r="R181" s="35"/>
      <c r="S181" s="35">
        <v>0</v>
      </c>
      <c r="T181" s="35"/>
      <c r="U181" s="35">
        <v>0</v>
      </c>
      <c r="V181" s="35"/>
      <c r="W181" s="35">
        <f t="shared" si="30"/>
        <v>0</v>
      </c>
      <c r="X181" s="35"/>
      <c r="Y181" s="35" t="s">
        <v>221</v>
      </c>
      <c r="Z181" s="55"/>
      <c r="AA181" s="35" t="s">
        <v>27</v>
      </c>
      <c r="AB181" s="35"/>
      <c r="AC181" s="35">
        <v>0</v>
      </c>
      <c r="AD181" s="35"/>
      <c r="AE181" s="35">
        <v>0</v>
      </c>
      <c r="AF181" s="35"/>
      <c r="AG181" s="35">
        <v>0</v>
      </c>
      <c r="AH181" s="35"/>
      <c r="AI181" s="45">
        <f t="shared" si="29"/>
        <v>0</v>
      </c>
      <c r="AJ181" s="45"/>
      <c r="AK181" s="35">
        <v>0</v>
      </c>
      <c r="AL181" s="35"/>
      <c r="AM181" s="35">
        <v>0</v>
      </c>
      <c r="AN181" s="35"/>
      <c r="AO181" s="35">
        <v>0</v>
      </c>
      <c r="AP181" s="35"/>
      <c r="AQ181" s="35">
        <v>0</v>
      </c>
      <c r="AR181" s="35"/>
      <c r="AS181" s="45">
        <f t="shared" si="36"/>
        <v>0</v>
      </c>
      <c r="AT181" s="45"/>
      <c r="AU181" s="35">
        <v>0</v>
      </c>
      <c r="AV181" s="35"/>
      <c r="AW181" s="35">
        <v>0</v>
      </c>
      <c r="AX181" s="35"/>
      <c r="AY181" s="35">
        <f t="shared" si="37"/>
        <v>0</v>
      </c>
      <c r="AZ181" s="35"/>
      <c r="BA181" s="35" t="s">
        <v>221</v>
      </c>
      <c r="BB181" s="55"/>
      <c r="BC181" s="35" t="s">
        <v>27</v>
      </c>
      <c r="BD181" s="35"/>
      <c r="BE181" s="35">
        <v>0</v>
      </c>
      <c r="BF181" s="35"/>
      <c r="BG181" s="35">
        <v>0</v>
      </c>
      <c r="BH181" s="35"/>
      <c r="BI181" s="35">
        <v>0</v>
      </c>
      <c r="BJ181" s="35"/>
      <c r="BK181" s="35">
        <v>0</v>
      </c>
      <c r="BL181" s="35"/>
      <c r="BM181" s="35">
        <f t="shared" si="33"/>
        <v>0</v>
      </c>
      <c r="BN181" s="89" t="s">
        <v>347</v>
      </c>
    </row>
    <row r="182" spans="1:68" hidden="1">
      <c r="A182" s="35" t="s">
        <v>222</v>
      </c>
      <c r="C182" s="35" t="s">
        <v>47</v>
      </c>
      <c r="D182" s="35"/>
      <c r="E182" s="35">
        <f t="shared" si="31"/>
        <v>0</v>
      </c>
      <c r="F182" s="35"/>
      <c r="G182" s="35">
        <v>0</v>
      </c>
      <c r="H182" s="35"/>
      <c r="I182" s="35">
        <v>0</v>
      </c>
      <c r="J182" s="35"/>
      <c r="K182" s="35">
        <f t="shared" si="32"/>
        <v>0</v>
      </c>
      <c r="L182" s="35"/>
      <c r="M182" s="35">
        <v>0</v>
      </c>
      <c r="N182" s="35"/>
      <c r="O182" s="35">
        <v>0</v>
      </c>
      <c r="P182" s="35"/>
      <c r="Q182" s="35">
        <v>0</v>
      </c>
      <c r="R182" s="35"/>
      <c r="S182" s="35">
        <v>0</v>
      </c>
      <c r="T182" s="35"/>
      <c r="U182" s="35">
        <v>0</v>
      </c>
      <c r="V182" s="35"/>
      <c r="W182" s="35">
        <f t="shared" si="30"/>
        <v>0</v>
      </c>
      <c r="X182" s="35"/>
      <c r="Y182" s="35" t="s">
        <v>222</v>
      </c>
      <c r="Z182" s="55"/>
      <c r="AA182" s="35" t="s">
        <v>47</v>
      </c>
      <c r="AB182" s="35"/>
      <c r="AC182" s="35">
        <v>0</v>
      </c>
      <c r="AD182" s="35"/>
      <c r="AE182" s="35">
        <v>0</v>
      </c>
      <c r="AF182" s="35"/>
      <c r="AG182" s="35">
        <v>0</v>
      </c>
      <c r="AH182" s="35"/>
      <c r="AI182" s="45">
        <f t="shared" si="29"/>
        <v>0</v>
      </c>
      <c r="AJ182" s="45"/>
      <c r="AK182" s="35">
        <v>0</v>
      </c>
      <c r="AL182" s="35"/>
      <c r="AM182" s="35">
        <v>0</v>
      </c>
      <c r="AN182" s="35"/>
      <c r="AO182" s="35">
        <v>0</v>
      </c>
      <c r="AP182" s="35"/>
      <c r="AQ182" s="35">
        <v>0</v>
      </c>
      <c r="AR182" s="35"/>
      <c r="AS182" s="45">
        <f t="shared" si="36"/>
        <v>0</v>
      </c>
      <c r="AT182" s="45"/>
      <c r="AU182" s="35">
        <v>0</v>
      </c>
      <c r="AV182" s="35"/>
      <c r="AW182" s="35">
        <v>0</v>
      </c>
      <c r="AX182" s="35"/>
      <c r="AY182" s="35">
        <f t="shared" si="37"/>
        <v>0</v>
      </c>
      <c r="AZ182" s="35"/>
      <c r="BA182" s="35" t="s">
        <v>222</v>
      </c>
      <c r="BB182" s="55"/>
      <c r="BC182" s="35" t="s">
        <v>47</v>
      </c>
      <c r="BD182" s="35"/>
      <c r="BE182" s="35">
        <v>0</v>
      </c>
      <c r="BF182" s="35"/>
      <c r="BG182" s="35">
        <v>0</v>
      </c>
      <c r="BH182" s="35"/>
      <c r="BI182" s="35">
        <v>0</v>
      </c>
      <c r="BJ182" s="35"/>
      <c r="BK182" s="35">
        <v>0</v>
      </c>
      <c r="BL182" s="35"/>
      <c r="BM182" s="35">
        <f t="shared" si="33"/>
        <v>0</v>
      </c>
      <c r="BN182" s="89" t="s">
        <v>347</v>
      </c>
    </row>
    <row r="183" spans="1:68" hidden="1">
      <c r="A183" s="35" t="s">
        <v>223</v>
      </c>
      <c r="C183" s="35" t="s">
        <v>94</v>
      </c>
      <c r="D183" s="35"/>
      <c r="E183" s="35">
        <f t="shared" si="31"/>
        <v>0</v>
      </c>
      <c r="F183" s="35"/>
      <c r="G183" s="35">
        <v>0</v>
      </c>
      <c r="H183" s="35"/>
      <c r="I183" s="35">
        <v>0</v>
      </c>
      <c r="J183" s="35"/>
      <c r="K183" s="35">
        <f t="shared" si="32"/>
        <v>0</v>
      </c>
      <c r="L183" s="35"/>
      <c r="M183" s="35">
        <v>0</v>
      </c>
      <c r="N183" s="35"/>
      <c r="O183" s="35">
        <v>0</v>
      </c>
      <c r="P183" s="35"/>
      <c r="Q183" s="35">
        <v>0</v>
      </c>
      <c r="R183" s="35"/>
      <c r="S183" s="35">
        <v>0</v>
      </c>
      <c r="T183" s="35"/>
      <c r="U183" s="35">
        <v>0</v>
      </c>
      <c r="V183" s="35"/>
      <c r="W183" s="35">
        <f t="shared" si="30"/>
        <v>0</v>
      </c>
      <c r="X183" s="35"/>
      <c r="Y183" s="35" t="s">
        <v>223</v>
      </c>
      <c r="Z183" s="55"/>
      <c r="AA183" s="35" t="s">
        <v>94</v>
      </c>
      <c r="AB183" s="35"/>
      <c r="AC183" s="35">
        <v>0</v>
      </c>
      <c r="AD183" s="35"/>
      <c r="AE183" s="35">
        <v>0</v>
      </c>
      <c r="AF183" s="35"/>
      <c r="AG183" s="35">
        <v>0</v>
      </c>
      <c r="AH183" s="35"/>
      <c r="AI183" s="45">
        <f t="shared" si="29"/>
        <v>0</v>
      </c>
      <c r="AJ183" s="45"/>
      <c r="AK183" s="35">
        <v>0</v>
      </c>
      <c r="AL183" s="35"/>
      <c r="AM183" s="35">
        <v>0</v>
      </c>
      <c r="AN183" s="35"/>
      <c r="AO183" s="35">
        <v>0</v>
      </c>
      <c r="AP183" s="35"/>
      <c r="AQ183" s="35">
        <v>0</v>
      </c>
      <c r="AR183" s="35"/>
      <c r="AS183" s="45">
        <f t="shared" si="36"/>
        <v>0</v>
      </c>
      <c r="AT183" s="45"/>
      <c r="AU183" s="35">
        <v>0</v>
      </c>
      <c r="AV183" s="35"/>
      <c r="AW183" s="35">
        <v>0</v>
      </c>
      <c r="AX183" s="35"/>
      <c r="AY183" s="35">
        <f t="shared" si="37"/>
        <v>0</v>
      </c>
      <c r="AZ183" s="35"/>
      <c r="BA183" s="35" t="s">
        <v>223</v>
      </c>
      <c r="BB183" s="55"/>
      <c r="BC183" s="35" t="s">
        <v>94</v>
      </c>
      <c r="BD183" s="35"/>
      <c r="BE183" s="35">
        <v>0</v>
      </c>
      <c r="BF183" s="35"/>
      <c r="BG183" s="35">
        <v>0</v>
      </c>
      <c r="BH183" s="35"/>
      <c r="BI183" s="35">
        <v>0</v>
      </c>
      <c r="BJ183" s="35"/>
      <c r="BK183" s="35">
        <v>0</v>
      </c>
      <c r="BL183" s="35"/>
      <c r="BM183" s="35">
        <f t="shared" si="33"/>
        <v>0</v>
      </c>
      <c r="BN183" s="89" t="s">
        <v>347</v>
      </c>
    </row>
    <row r="184" spans="1:68" hidden="1">
      <c r="A184" s="35" t="s">
        <v>76</v>
      </c>
      <c r="C184" s="35" t="s">
        <v>132</v>
      </c>
      <c r="D184" s="35"/>
      <c r="E184" s="35">
        <f t="shared" si="31"/>
        <v>0</v>
      </c>
      <c r="F184" s="35"/>
      <c r="G184" s="35">
        <v>0</v>
      </c>
      <c r="H184" s="35"/>
      <c r="I184" s="35">
        <v>0</v>
      </c>
      <c r="J184" s="35"/>
      <c r="K184" s="35">
        <f t="shared" si="32"/>
        <v>0</v>
      </c>
      <c r="L184" s="35"/>
      <c r="M184" s="35">
        <v>0</v>
      </c>
      <c r="N184" s="35"/>
      <c r="O184" s="35">
        <v>0</v>
      </c>
      <c r="P184" s="35"/>
      <c r="Q184" s="35">
        <v>0</v>
      </c>
      <c r="R184" s="35"/>
      <c r="S184" s="35">
        <v>0</v>
      </c>
      <c r="T184" s="35"/>
      <c r="U184" s="35">
        <v>0</v>
      </c>
      <c r="V184" s="35"/>
      <c r="W184" s="35">
        <f t="shared" si="30"/>
        <v>0</v>
      </c>
      <c r="X184" s="35"/>
      <c r="Y184" s="35" t="s">
        <v>76</v>
      </c>
      <c r="Z184" s="55"/>
      <c r="AA184" s="35" t="s">
        <v>132</v>
      </c>
      <c r="AB184" s="35"/>
      <c r="AC184" s="35">
        <v>0</v>
      </c>
      <c r="AD184" s="35"/>
      <c r="AE184" s="35">
        <v>0</v>
      </c>
      <c r="AF184" s="35"/>
      <c r="AG184" s="35">
        <v>0</v>
      </c>
      <c r="AH184" s="35"/>
      <c r="AI184" s="45">
        <f t="shared" si="29"/>
        <v>0</v>
      </c>
      <c r="AJ184" s="45"/>
      <c r="AK184" s="35">
        <v>0</v>
      </c>
      <c r="AL184" s="35"/>
      <c r="AM184" s="35">
        <v>0</v>
      </c>
      <c r="AN184" s="35"/>
      <c r="AO184" s="35">
        <v>0</v>
      </c>
      <c r="AP184" s="35"/>
      <c r="AQ184" s="35">
        <v>0</v>
      </c>
      <c r="AR184" s="35"/>
      <c r="AS184" s="45">
        <f t="shared" si="36"/>
        <v>0</v>
      </c>
      <c r="AT184" s="45"/>
      <c r="AU184" s="35">
        <v>0</v>
      </c>
      <c r="AV184" s="35"/>
      <c r="AW184" s="35">
        <v>0</v>
      </c>
      <c r="AX184" s="35"/>
      <c r="AY184" s="35">
        <f t="shared" si="37"/>
        <v>0</v>
      </c>
      <c r="AZ184" s="35"/>
      <c r="BA184" s="35" t="s">
        <v>76</v>
      </c>
      <c r="BB184" s="55"/>
      <c r="BC184" s="35" t="s">
        <v>132</v>
      </c>
      <c r="BD184" s="35"/>
      <c r="BE184" s="35">
        <v>0</v>
      </c>
      <c r="BF184" s="35"/>
      <c r="BG184" s="35">
        <v>0</v>
      </c>
      <c r="BH184" s="35"/>
      <c r="BI184" s="35">
        <v>0</v>
      </c>
      <c r="BJ184" s="35"/>
      <c r="BK184" s="35">
        <v>0</v>
      </c>
      <c r="BL184" s="35"/>
      <c r="BM184" s="35">
        <f t="shared" si="33"/>
        <v>0</v>
      </c>
      <c r="BN184" s="54" t="s">
        <v>347</v>
      </c>
    </row>
    <row r="185" spans="1:68" hidden="1">
      <c r="A185" s="35" t="s">
        <v>224</v>
      </c>
      <c r="C185" s="35" t="s">
        <v>27</v>
      </c>
      <c r="D185" s="35"/>
      <c r="E185" s="35">
        <f t="shared" si="31"/>
        <v>0</v>
      </c>
      <c r="F185" s="35"/>
      <c r="G185" s="35">
        <v>0</v>
      </c>
      <c r="H185" s="35"/>
      <c r="I185" s="35">
        <v>0</v>
      </c>
      <c r="J185" s="35"/>
      <c r="K185" s="35">
        <f t="shared" si="32"/>
        <v>0</v>
      </c>
      <c r="L185" s="35"/>
      <c r="M185" s="35">
        <v>0</v>
      </c>
      <c r="N185" s="35"/>
      <c r="O185" s="35">
        <v>0</v>
      </c>
      <c r="P185" s="35"/>
      <c r="Q185" s="35">
        <v>0</v>
      </c>
      <c r="R185" s="35"/>
      <c r="S185" s="35">
        <v>0</v>
      </c>
      <c r="T185" s="35"/>
      <c r="U185" s="35">
        <v>0</v>
      </c>
      <c r="V185" s="35"/>
      <c r="W185" s="35">
        <f t="shared" si="30"/>
        <v>0</v>
      </c>
      <c r="X185" s="35"/>
      <c r="Y185" s="35" t="s">
        <v>224</v>
      </c>
      <c r="Z185" s="55"/>
      <c r="AA185" s="35" t="s">
        <v>27</v>
      </c>
      <c r="AB185" s="35"/>
      <c r="AC185" s="35">
        <v>0</v>
      </c>
      <c r="AD185" s="35"/>
      <c r="AE185" s="35">
        <v>0</v>
      </c>
      <c r="AF185" s="35"/>
      <c r="AG185" s="35">
        <v>0</v>
      </c>
      <c r="AH185" s="35"/>
      <c r="AI185" s="45">
        <f t="shared" si="29"/>
        <v>0</v>
      </c>
      <c r="AJ185" s="45"/>
      <c r="AK185" s="35">
        <v>0</v>
      </c>
      <c r="AL185" s="35"/>
      <c r="AM185" s="35">
        <v>0</v>
      </c>
      <c r="AN185" s="35"/>
      <c r="AO185" s="35">
        <v>0</v>
      </c>
      <c r="AP185" s="35"/>
      <c r="AQ185" s="35">
        <v>0</v>
      </c>
      <c r="AR185" s="35"/>
      <c r="AS185" s="45">
        <f t="shared" si="36"/>
        <v>0</v>
      </c>
      <c r="AT185" s="45"/>
      <c r="AU185" s="35">
        <v>0</v>
      </c>
      <c r="AV185" s="35"/>
      <c r="AW185" s="35">
        <v>0</v>
      </c>
      <c r="AX185" s="35"/>
      <c r="AY185" s="35">
        <f t="shared" si="37"/>
        <v>0</v>
      </c>
      <c r="AZ185" s="35"/>
      <c r="BA185" s="35" t="s">
        <v>224</v>
      </c>
      <c r="BB185" s="55"/>
      <c r="BC185" s="35" t="s">
        <v>27</v>
      </c>
      <c r="BD185" s="35"/>
      <c r="BE185" s="35">
        <v>0</v>
      </c>
      <c r="BF185" s="35"/>
      <c r="BG185" s="35">
        <v>0</v>
      </c>
      <c r="BH185" s="35"/>
      <c r="BI185" s="35">
        <v>0</v>
      </c>
      <c r="BJ185" s="35"/>
      <c r="BK185" s="35">
        <v>0</v>
      </c>
      <c r="BL185" s="35"/>
      <c r="BM185" s="35">
        <f t="shared" si="33"/>
        <v>0</v>
      </c>
      <c r="BN185" s="54" t="s">
        <v>347</v>
      </c>
      <c r="BO185" s="35"/>
      <c r="BP185" s="35"/>
    </row>
    <row r="186" spans="1:68" hidden="1">
      <c r="A186" s="35" t="s">
        <v>225</v>
      </c>
      <c r="C186" s="35" t="s">
        <v>27</v>
      </c>
      <c r="D186" s="35"/>
      <c r="E186" s="35">
        <f t="shared" si="31"/>
        <v>0</v>
      </c>
      <c r="F186" s="35"/>
      <c r="G186" s="35">
        <v>0</v>
      </c>
      <c r="H186" s="35"/>
      <c r="I186" s="35">
        <v>0</v>
      </c>
      <c r="J186" s="35"/>
      <c r="K186" s="35">
        <f t="shared" si="32"/>
        <v>0</v>
      </c>
      <c r="L186" s="35"/>
      <c r="M186" s="35">
        <v>0</v>
      </c>
      <c r="N186" s="35"/>
      <c r="O186" s="35">
        <v>0</v>
      </c>
      <c r="P186" s="35"/>
      <c r="Q186" s="35">
        <v>0</v>
      </c>
      <c r="R186" s="35"/>
      <c r="S186" s="35">
        <v>0</v>
      </c>
      <c r="T186" s="35"/>
      <c r="U186" s="35">
        <v>0</v>
      </c>
      <c r="V186" s="35"/>
      <c r="W186" s="35">
        <f t="shared" si="30"/>
        <v>0</v>
      </c>
      <c r="X186" s="35"/>
      <c r="Y186" s="35" t="s">
        <v>225</v>
      </c>
      <c r="Z186" s="55"/>
      <c r="AA186" s="35" t="s">
        <v>27</v>
      </c>
      <c r="AB186" s="35"/>
      <c r="AC186" s="35">
        <v>0</v>
      </c>
      <c r="AD186" s="35"/>
      <c r="AE186" s="35">
        <v>0</v>
      </c>
      <c r="AF186" s="35"/>
      <c r="AG186" s="35">
        <v>0</v>
      </c>
      <c r="AH186" s="35"/>
      <c r="AI186" s="45">
        <f t="shared" si="29"/>
        <v>0</v>
      </c>
      <c r="AJ186" s="45"/>
      <c r="AK186" s="35">
        <v>0</v>
      </c>
      <c r="AL186" s="35"/>
      <c r="AM186" s="35">
        <v>0</v>
      </c>
      <c r="AN186" s="35"/>
      <c r="AO186" s="35">
        <v>0</v>
      </c>
      <c r="AP186" s="35"/>
      <c r="AQ186" s="35">
        <v>0</v>
      </c>
      <c r="AR186" s="35"/>
      <c r="AS186" s="45">
        <f t="shared" si="36"/>
        <v>0</v>
      </c>
      <c r="AT186" s="45"/>
      <c r="AU186" s="35">
        <v>0</v>
      </c>
      <c r="AV186" s="35"/>
      <c r="AW186" s="35">
        <v>0</v>
      </c>
      <c r="AX186" s="35"/>
      <c r="AY186" s="35">
        <f t="shared" si="37"/>
        <v>0</v>
      </c>
      <c r="AZ186" s="35"/>
      <c r="BA186" s="35" t="s">
        <v>225</v>
      </c>
      <c r="BB186" s="55"/>
      <c r="BC186" s="35" t="s">
        <v>27</v>
      </c>
      <c r="BD186" s="35"/>
      <c r="BE186" s="35">
        <v>0</v>
      </c>
      <c r="BF186" s="35"/>
      <c r="BG186" s="35">
        <v>0</v>
      </c>
      <c r="BH186" s="35"/>
      <c r="BI186" s="35">
        <v>0</v>
      </c>
      <c r="BJ186" s="35"/>
      <c r="BK186" s="35">
        <v>0</v>
      </c>
      <c r="BL186" s="35"/>
      <c r="BM186" s="35">
        <f t="shared" si="33"/>
        <v>0</v>
      </c>
      <c r="BN186" s="54" t="s">
        <v>347</v>
      </c>
    </row>
    <row r="187" spans="1:68" hidden="1">
      <c r="A187" s="35" t="s">
        <v>226</v>
      </c>
      <c r="C187" s="35" t="s">
        <v>45</v>
      </c>
      <c r="D187" s="35"/>
      <c r="E187" s="35">
        <f t="shared" si="31"/>
        <v>0</v>
      </c>
      <c r="F187" s="35"/>
      <c r="G187" s="35">
        <v>0</v>
      </c>
      <c r="H187" s="35"/>
      <c r="I187" s="35">
        <v>0</v>
      </c>
      <c r="J187" s="35"/>
      <c r="K187" s="35">
        <f t="shared" si="32"/>
        <v>0</v>
      </c>
      <c r="L187" s="35"/>
      <c r="M187" s="35">
        <v>0</v>
      </c>
      <c r="N187" s="35"/>
      <c r="O187" s="35">
        <v>0</v>
      </c>
      <c r="P187" s="35"/>
      <c r="Q187" s="35">
        <v>0</v>
      </c>
      <c r="R187" s="35"/>
      <c r="S187" s="35">
        <v>0</v>
      </c>
      <c r="T187" s="35"/>
      <c r="U187" s="35">
        <v>0</v>
      </c>
      <c r="V187" s="35"/>
      <c r="W187" s="35">
        <f t="shared" si="30"/>
        <v>0</v>
      </c>
      <c r="X187" s="35"/>
      <c r="Y187" s="35" t="s">
        <v>226</v>
      </c>
      <c r="Z187" s="55"/>
      <c r="AA187" s="35" t="s">
        <v>45</v>
      </c>
      <c r="AB187" s="35"/>
      <c r="AC187" s="35">
        <v>0</v>
      </c>
      <c r="AD187" s="35"/>
      <c r="AE187" s="35">
        <v>0</v>
      </c>
      <c r="AF187" s="35"/>
      <c r="AG187" s="35">
        <v>0</v>
      </c>
      <c r="AH187" s="35"/>
      <c r="AI187" s="45">
        <f t="shared" si="29"/>
        <v>0</v>
      </c>
      <c r="AJ187" s="45"/>
      <c r="AK187" s="35">
        <v>0</v>
      </c>
      <c r="AL187" s="35"/>
      <c r="AM187" s="35">
        <v>0</v>
      </c>
      <c r="AN187" s="35"/>
      <c r="AO187" s="35">
        <v>0</v>
      </c>
      <c r="AP187" s="35"/>
      <c r="AQ187" s="35">
        <v>0</v>
      </c>
      <c r="AR187" s="35"/>
      <c r="AS187" s="45">
        <f t="shared" si="36"/>
        <v>0</v>
      </c>
      <c r="AT187" s="45"/>
      <c r="AU187" s="35">
        <v>0</v>
      </c>
      <c r="AV187" s="35"/>
      <c r="AW187" s="35">
        <v>0</v>
      </c>
      <c r="AX187" s="35"/>
      <c r="AY187" s="35">
        <f t="shared" si="37"/>
        <v>0</v>
      </c>
      <c r="AZ187" s="35"/>
      <c r="BA187" s="35" t="s">
        <v>226</v>
      </c>
      <c r="BB187" s="55"/>
      <c r="BC187" s="35" t="s">
        <v>45</v>
      </c>
      <c r="BD187" s="35"/>
      <c r="BE187" s="35">
        <v>0</v>
      </c>
      <c r="BF187" s="35"/>
      <c r="BG187" s="35">
        <v>0</v>
      </c>
      <c r="BH187" s="35"/>
      <c r="BI187" s="35">
        <v>0</v>
      </c>
      <c r="BJ187" s="35"/>
      <c r="BK187" s="35">
        <v>0</v>
      </c>
      <c r="BL187" s="35"/>
      <c r="BM187" s="35">
        <f t="shared" si="33"/>
        <v>0</v>
      </c>
      <c r="BN187" s="54" t="s">
        <v>347</v>
      </c>
    </row>
    <row r="188" spans="1:68" hidden="1">
      <c r="A188" s="35" t="s">
        <v>227</v>
      </c>
      <c r="C188" s="35" t="s">
        <v>17</v>
      </c>
      <c r="D188" s="35"/>
      <c r="E188" s="35">
        <f t="shared" si="31"/>
        <v>0</v>
      </c>
      <c r="F188" s="35"/>
      <c r="G188" s="35">
        <v>0</v>
      </c>
      <c r="H188" s="35"/>
      <c r="I188" s="35">
        <v>0</v>
      </c>
      <c r="J188" s="35"/>
      <c r="K188" s="35">
        <f t="shared" si="32"/>
        <v>0</v>
      </c>
      <c r="L188" s="35"/>
      <c r="M188" s="35">
        <v>0</v>
      </c>
      <c r="N188" s="35"/>
      <c r="O188" s="35">
        <v>0</v>
      </c>
      <c r="P188" s="35"/>
      <c r="Q188" s="35">
        <v>0</v>
      </c>
      <c r="R188" s="35"/>
      <c r="S188" s="35">
        <v>0</v>
      </c>
      <c r="T188" s="35"/>
      <c r="U188" s="35">
        <v>0</v>
      </c>
      <c r="V188" s="35"/>
      <c r="W188" s="35">
        <f t="shared" si="30"/>
        <v>0</v>
      </c>
      <c r="X188" s="35"/>
      <c r="Y188" s="35" t="s">
        <v>227</v>
      </c>
      <c r="Z188" s="55"/>
      <c r="AA188" s="35" t="s">
        <v>17</v>
      </c>
      <c r="AB188" s="35"/>
      <c r="AC188" s="35">
        <v>0</v>
      </c>
      <c r="AD188" s="35"/>
      <c r="AE188" s="35">
        <v>0</v>
      </c>
      <c r="AF188" s="35"/>
      <c r="AG188" s="35">
        <v>0</v>
      </c>
      <c r="AH188" s="35"/>
      <c r="AI188" s="45">
        <f t="shared" si="29"/>
        <v>0</v>
      </c>
      <c r="AJ188" s="45"/>
      <c r="AK188" s="35">
        <v>0</v>
      </c>
      <c r="AL188" s="35"/>
      <c r="AM188" s="35">
        <v>0</v>
      </c>
      <c r="AN188" s="35"/>
      <c r="AO188" s="35">
        <v>0</v>
      </c>
      <c r="AP188" s="35"/>
      <c r="AQ188" s="35">
        <v>0</v>
      </c>
      <c r="AR188" s="35"/>
      <c r="AS188" s="45">
        <f t="shared" si="36"/>
        <v>0</v>
      </c>
      <c r="AT188" s="45"/>
      <c r="AU188" s="35">
        <v>0</v>
      </c>
      <c r="AV188" s="35"/>
      <c r="AW188" s="35">
        <v>0</v>
      </c>
      <c r="AX188" s="35"/>
      <c r="AY188" s="35">
        <f t="shared" si="37"/>
        <v>0</v>
      </c>
      <c r="AZ188" s="35"/>
      <c r="BA188" s="35" t="s">
        <v>227</v>
      </c>
      <c r="BB188" s="55"/>
      <c r="BC188" s="35" t="s">
        <v>17</v>
      </c>
      <c r="BD188" s="35"/>
      <c r="BE188" s="35">
        <v>0</v>
      </c>
      <c r="BF188" s="35"/>
      <c r="BG188" s="35">
        <v>0</v>
      </c>
      <c r="BH188" s="35"/>
      <c r="BI188" s="35">
        <v>0</v>
      </c>
      <c r="BJ188" s="35"/>
      <c r="BK188" s="35">
        <v>0</v>
      </c>
      <c r="BL188" s="35"/>
      <c r="BM188" s="35">
        <v>0</v>
      </c>
      <c r="BN188" s="54" t="s">
        <v>347</v>
      </c>
    </row>
    <row r="189" spans="1:68" hidden="1">
      <c r="A189" s="35" t="s">
        <v>228</v>
      </c>
      <c r="C189" s="35" t="s">
        <v>153</v>
      </c>
      <c r="D189" s="35"/>
      <c r="E189" s="35">
        <f t="shared" si="31"/>
        <v>0</v>
      </c>
      <c r="F189" s="35"/>
      <c r="G189" s="35">
        <v>0</v>
      </c>
      <c r="H189" s="35"/>
      <c r="I189" s="35">
        <v>0</v>
      </c>
      <c r="J189" s="35"/>
      <c r="K189" s="35">
        <f t="shared" si="32"/>
        <v>0</v>
      </c>
      <c r="L189" s="35"/>
      <c r="M189" s="35">
        <v>0</v>
      </c>
      <c r="N189" s="35"/>
      <c r="O189" s="35">
        <v>0</v>
      </c>
      <c r="P189" s="35"/>
      <c r="Q189" s="35">
        <v>0</v>
      </c>
      <c r="R189" s="35"/>
      <c r="S189" s="35">
        <v>0</v>
      </c>
      <c r="T189" s="35"/>
      <c r="U189" s="35">
        <v>0</v>
      </c>
      <c r="V189" s="35"/>
      <c r="W189" s="35">
        <f t="shared" si="30"/>
        <v>0</v>
      </c>
      <c r="X189" s="35"/>
      <c r="Y189" s="35" t="s">
        <v>228</v>
      </c>
      <c r="Z189" s="55"/>
      <c r="AA189" s="35" t="s">
        <v>153</v>
      </c>
      <c r="AB189" s="35"/>
      <c r="AC189" s="35">
        <v>0</v>
      </c>
      <c r="AD189" s="35"/>
      <c r="AE189" s="35">
        <v>0</v>
      </c>
      <c r="AF189" s="35"/>
      <c r="AG189" s="35">
        <v>0</v>
      </c>
      <c r="AH189" s="35"/>
      <c r="AI189" s="45">
        <f t="shared" si="29"/>
        <v>0</v>
      </c>
      <c r="AJ189" s="45"/>
      <c r="AK189" s="35">
        <v>0</v>
      </c>
      <c r="AL189" s="35"/>
      <c r="AM189" s="35">
        <v>0</v>
      </c>
      <c r="AN189" s="35"/>
      <c r="AO189" s="35">
        <v>0</v>
      </c>
      <c r="AP189" s="35"/>
      <c r="AQ189" s="35">
        <v>0</v>
      </c>
      <c r="AR189" s="35"/>
      <c r="AS189" s="45">
        <f t="shared" si="36"/>
        <v>0</v>
      </c>
      <c r="AT189" s="45"/>
      <c r="AU189" s="35">
        <v>0</v>
      </c>
      <c r="AV189" s="35"/>
      <c r="AW189" s="35">
        <v>0</v>
      </c>
      <c r="AX189" s="35"/>
      <c r="AY189" s="35">
        <f t="shared" si="37"/>
        <v>0</v>
      </c>
      <c r="AZ189" s="35"/>
      <c r="BA189" s="35" t="s">
        <v>228</v>
      </c>
      <c r="BB189" s="55"/>
      <c r="BC189" s="35" t="s">
        <v>153</v>
      </c>
      <c r="BD189" s="35"/>
      <c r="BE189" s="35">
        <v>0</v>
      </c>
      <c r="BF189" s="35"/>
      <c r="BG189" s="35">
        <v>0</v>
      </c>
      <c r="BH189" s="35"/>
      <c r="BI189" s="35">
        <v>0</v>
      </c>
      <c r="BJ189" s="35"/>
      <c r="BK189" s="35">
        <v>0</v>
      </c>
      <c r="BL189" s="35"/>
      <c r="BM189" s="35">
        <f t="shared" ref="BM189:BM244" si="38">SUM(BE189:BK189)</f>
        <v>0</v>
      </c>
      <c r="BN189" s="54" t="s">
        <v>347</v>
      </c>
    </row>
    <row r="190" spans="1:68" hidden="1">
      <c r="A190" s="35" t="s">
        <v>229</v>
      </c>
      <c r="C190" s="35" t="s">
        <v>228</v>
      </c>
      <c r="D190" s="35"/>
      <c r="E190" s="35">
        <f t="shared" si="31"/>
        <v>0</v>
      </c>
      <c r="F190" s="35"/>
      <c r="G190" s="35">
        <v>0</v>
      </c>
      <c r="H190" s="35"/>
      <c r="I190" s="35">
        <v>0</v>
      </c>
      <c r="J190" s="35"/>
      <c r="K190" s="35">
        <f t="shared" si="32"/>
        <v>0</v>
      </c>
      <c r="L190" s="35"/>
      <c r="M190" s="35">
        <v>0</v>
      </c>
      <c r="N190" s="35"/>
      <c r="O190" s="35">
        <v>0</v>
      </c>
      <c r="P190" s="35"/>
      <c r="Q190" s="35">
        <v>0</v>
      </c>
      <c r="R190" s="35"/>
      <c r="S190" s="35">
        <v>0</v>
      </c>
      <c r="T190" s="35"/>
      <c r="U190" s="35">
        <v>0</v>
      </c>
      <c r="V190" s="35"/>
      <c r="W190" s="35">
        <f t="shared" si="30"/>
        <v>0</v>
      </c>
      <c r="X190" s="35"/>
      <c r="Y190" s="35" t="s">
        <v>229</v>
      </c>
      <c r="Z190" s="55"/>
      <c r="AA190" s="35" t="s">
        <v>228</v>
      </c>
      <c r="AB190" s="35"/>
      <c r="AC190" s="35">
        <v>0</v>
      </c>
      <c r="AD190" s="35"/>
      <c r="AE190" s="35">
        <v>0</v>
      </c>
      <c r="AF190" s="35"/>
      <c r="AG190" s="35">
        <v>0</v>
      </c>
      <c r="AH190" s="35"/>
      <c r="AI190" s="45">
        <f t="shared" si="29"/>
        <v>0</v>
      </c>
      <c r="AJ190" s="45"/>
      <c r="AK190" s="35">
        <v>0</v>
      </c>
      <c r="AL190" s="35"/>
      <c r="AM190" s="35">
        <v>0</v>
      </c>
      <c r="AN190" s="35"/>
      <c r="AO190" s="35">
        <v>0</v>
      </c>
      <c r="AP190" s="35"/>
      <c r="AQ190" s="35">
        <v>0</v>
      </c>
      <c r="AR190" s="35"/>
      <c r="AS190" s="45">
        <f t="shared" si="36"/>
        <v>0</v>
      </c>
      <c r="AT190" s="45"/>
      <c r="AU190" s="35">
        <v>0</v>
      </c>
      <c r="AV190" s="35"/>
      <c r="AW190" s="35">
        <v>0</v>
      </c>
      <c r="AX190" s="35"/>
      <c r="AY190" s="35">
        <f t="shared" si="37"/>
        <v>0</v>
      </c>
      <c r="AZ190" s="35"/>
      <c r="BA190" s="35" t="s">
        <v>229</v>
      </c>
      <c r="BB190" s="55"/>
      <c r="BC190" s="35" t="s">
        <v>228</v>
      </c>
      <c r="BD190" s="35"/>
      <c r="BE190" s="35">
        <v>0</v>
      </c>
      <c r="BF190" s="35"/>
      <c r="BG190" s="35">
        <v>0</v>
      </c>
      <c r="BH190" s="35"/>
      <c r="BI190" s="35">
        <v>0</v>
      </c>
      <c r="BJ190" s="35"/>
      <c r="BK190" s="35">
        <v>0</v>
      </c>
      <c r="BL190" s="35"/>
      <c r="BM190" s="35">
        <f t="shared" si="38"/>
        <v>0</v>
      </c>
      <c r="BN190" s="54" t="s">
        <v>347</v>
      </c>
    </row>
    <row r="191" spans="1:68" hidden="1">
      <c r="A191" s="35" t="s">
        <v>230</v>
      </c>
      <c r="C191" s="35" t="s">
        <v>45</v>
      </c>
      <c r="D191" s="35"/>
      <c r="E191" s="35">
        <f t="shared" si="31"/>
        <v>0</v>
      </c>
      <c r="F191" s="35"/>
      <c r="G191" s="35">
        <v>0</v>
      </c>
      <c r="H191" s="35"/>
      <c r="I191" s="35">
        <v>0</v>
      </c>
      <c r="J191" s="35"/>
      <c r="K191" s="35">
        <f t="shared" si="32"/>
        <v>0</v>
      </c>
      <c r="L191" s="35"/>
      <c r="M191" s="35">
        <v>0</v>
      </c>
      <c r="N191" s="35"/>
      <c r="O191" s="35">
        <v>0</v>
      </c>
      <c r="P191" s="35"/>
      <c r="Q191" s="35">
        <v>0</v>
      </c>
      <c r="R191" s="35"/>
      <c r="S191" s="35">
        <v>0</v>
      </c>
      <c r="T191" s="35"/>
      <c r="U191" s="35">
        <v>0</v>
      </c>
      <c r="V191" s="35"/>
      <c r="W191" s="35">
        <f t="shared" si="30"/>
        <v>0</v>
      </c>
      <c r="X191" s="35"/>
      <c r="Y191" s="35" t="s">
        <v>230</v>
      </c>
      <c r="Z191" s="55"/>
      <c r="AA191" s="35" t="s">
        <v>45</v>
      </c>
      <c r="AB191" s="35"/>
      <c r="AC191" s="35">
        <v>0</v>
      </c>
      <c r="AD191" s="35"/>
      <c r="AE191" s="35">
        <v>0</v>
      </c>
      <c r="AF191" s="35"/>
      <c r="AG191" s="35">
        <v>0</v>
      </c>
      <c r="AH191" s="35"/>
      <c r="AI191" s="45">
        <f t="shared" si="29"/>
        <v>0</v>
      </c>
      <c r="AJ191" s="45"/>
      <c r="AK191" s="35">
        <v>0</v>
      </c>
      <c r="AL191" s="35"/>
      <c r="AM191" s="35">
        <v>0</v>
      </c>
      <c r="AN191" s="35"/>
      <c r="AO191" s="35">
        <v>0</v>
      </c>
      <c r="AP191" s="35"/>
      <c r="AQ191" s="35">
        <v>0</v>
      </c>
      <c r="AR191" s="35"/>
      <c r="AS191" s="45">
        <f t="shared" si="36"/>
        <v>0</v>
      </c>
      <c r="AT191" s="45"/>
      <c r="AU191" s="35">
        <v>0</v>
      </c>
      <c r="AV191" s="35"/>
      <c r="AW191" s="35">
        <v>0</v>
      </c>
      <c r="AX191" s="35"/>
      <c r="AY191" s="35">
        <f t="shared" si="37"/>
        <v>0</v>
      </c>
      <c r="AZ191" s="35"/>
      <c r="BA191" s="35" t="s">
        <v>230</v>
      </c>
      <c r="BB191" s="55"/>
      <c r="BC191" s="35" t="s">
        <v>45</v>
      </c>
      <c r="BD191" s="35"/>
      <c r="BE191" s="35">
        <v>0</v>
      </c>
      <c r="BF191" s="35"/>
      <c r="BG191" s="35">
        <v>0</v>
      </c>
      <c r="BH191" s="35"/>
      <c r="BI191" s="35">
        <v>0</v>
      </c>
      <c r="BJ191" s="35"/>
      <c r="BK191" s="35">
        <v>0</v>
      </c>
      <c r="BL191" s="35"/>
      <c r="BM191" s="35">
        <f t="shared" si="38"/>
        <v>0</v>
      </c>
      <c r="BN191" s="54" t="s">
        <v>347</v>
      </c>
    </row>
    <row r="192" spans="1:68" hidden="1">
      <c r="A192" s="35" t="s">
        <v>231</v>
      </c>
      <c r="C192" s="35" t="s">
        <v>27</v>
      </c>
      <c r="D192" s="35"/>
      <c r="E192" s="35">
        <f t="shared" si="31"/>
        <v>0</v>
      </c>
      <c r="F192" s="35"/>
      <c r="G192" s="35">
        <v>0</v>
      </c>
      <c r="H192" s="35"/>
      <c r="I192" s="35">
        <v>0</v>
      </c>
      <c r="J192" s="35"/>
      <c r="K192" s="35">
        <f t="shared" si="32"/>
        <v>0</v>
      </c>
      <c r="L192" s="35"/>
      <c r="M192" s="35">
        <v>0</v>
      </c>
      <c r="N192" s="35"/>
      <c r="O192" s="35">
        <v>0</v>
      </c>
      <c r="P192" s="35"/>
      <c r="Q192" s="35">
        <v>0</v>
      </c>
      <c r="R192" s="35"/>
      <c r="S192" s="35">
        <v>0</v>
      </c>
      <c r="T192" s="35"/>
      <c r="U192" s="35">
        <v>0</v>
      </c>
      <c r="V192" s="35"/>
      <c r="W192" s="35">
        <f t="shared" si="30"/>
        <v>0</v>
      </c>
      <c r="X192" s="35"/>
      <c r="Y192" s="35" t="s">
        <v>231</v>
      </c>
      <c r="Z192" s="55"/>
      <c r="AA192" s="35" t="s">
        <v>27</v>
      </c>
      <c r="AB192" s="35"/>
      <c r="AC192" s="35">
        <v>0</v>
      </c>
      <c r="AD192" s="35"/>
      <c r="AE192" s="35">
        <v>0</v>
      </c>
      <c r="AF192" s="35"/>
      <c r="AG192" s="35">
        <v>0</v>
      </c>
      <c r="AH192" s="35"/>
      <c r="AI192" s="45">
        <v>0</v>
      </c>
      <c r="AJ192" s="45"/>
      <c r="AK192" s="35">
        <v>0</v>
      </c>
      <c r="AL192" s="35"/>
      <c r="AM192" s="35">
        <v>0</v>
      </c>
      <c r="AN192" s="35"/>
      <c r="AO192" s="35">
        <v>0</v>
      </c>
      <c r="AP192" s="35"/>
      <c r="AQ192" s="35">
        <v>0</v>
      </c>
      <c r="AR192" s="35"/>
      <c r="AS192" s="45">
        <f t="shared" si="36"/>
        <v>0</v>
      </c>
      <c r="AT192" s="45"/>
      <c r="AU192" s="35">
        <v>0</v>
      </c>
      <c r="AV192" s="35"/>
      <c r="AW192" s="35">
        <v>0</v>
      </c>
      <c r="AX192" s="35"/>
      <c r="AY192" s="35">
        <f t="shared" si="37"/>
        <v>0</v>
      </c>
      <c r="AZ192" s="35"/>
      <c r="BA192" s="35" t="s">
        <v>231</v>
      </c>
      <c r="BB192" s="55"/>
      <c r="BC192" s="35" t="s">
        <v>27</v>
      </c>
      <c r="BD192" s="35"/>
      <c r="BE192" s="35">
        <v>0</v>
      </c>
      <c r="BF192" s="35"/>
      <c r="BG192" s="35">
        <v>0</v>
      </c>
      <c r="BH192" s="35"/>
      <c r="BI192" s="35">
        <v>0</v>
      </c>
      <c r="BJ192" s="35"/>
      <c r="BK192" s="35">
        <v>0</v>
      </c>
      <c r="BL192" s="35"/>
      <c r="BM192" s="35">
        <f t="shared" si="38"/>
        <v>0</v>
      </c>
      <c r="BN192" s="54" t="s">
        <v>347</v>
      </c>
    </row>
    <row r="193" spans="1:74" hidden="1">
      <c r="A193" s="35" t="s">
        <v>232</v>
      </c>
      <c r="C193" s="35" t="s">
        <v>27</v>
      </c>
      <c r="D193" s="35"/>
      <c r="E193" s="35">
        <f t="shared" si="31"/>
        <v>0</v>
      </c>
      <c r="F193" s="35"/>
      <c r="G193" s="35">
        <v>0</v>
      </c>
      <c r="H193" s="35"/>
      <c r="I193" s="35">
        <v>0</v>
      </c>
      <c r="J193" s="35"/>
      <c r="K193" s="35">
        <f t="shared" si="32"/>
        <v>0</v>
      </c>
      <c r="L193" s="35"/>
      <c r="M193" s="35">
        <v>0</v>
      </c>
      <c r="N193" s="35"/>
      <c r="O193" s="35">
        <v>0</v>
      </c>
      <c r="P193" s="35"/>
      <c r="Q193" s="35">
        <v>0</v>
      </c>
      <c r="R193" s="35"/>
      <c r="S193" s="35">
        <v>0</v>
      </c>
      <c r="T193" s="35"/>
      <c r="U193" s="35">
        <v>0</v>
      </c>
      <c r="V193" s="35"/>
      <c r="W193" s="35">
        <f t="shared" si="30"/>
        <v>0</v>
      </c>
      <c r="X193" s="35"/>
      <c r="Y193" s="35" t="s">
        <v>232</v>
      </c>
      <c r="Z193" s="55"/>
      <c r="AA193" s="35" t="s">
        <v>27</v>
      </c>
      <c r="AB193" s="35"/>
      <c r="AC193" s="35">
        <v>0</v>
      </c>
      <c r="AD193" s="35"/>
      <c r="AE193" s="35">
        <v>0</v>
      </c>
      <c r="AF193" s="35"/>
      <c r="AG193" s="35">
        <v>0</v>
      </c>
      <c r="AH193" s="35"/>
      <c r="AI193" s="45">
        <f t="shared" ref="AI193:AI202" si="39">+AC193-AE193-AG193</f>
        <v>0</v>
      </c>
      <c r="AJ193" s="45"/>
      <c r="AK193" s="35">
        <v>0</v>
      </c>
      <c r="AL193" s="35"/>
      <c r="AM193" s="35">
        <v>0</v>
      </c>
      <c r="AN193" s="35"/>
      <c r="AO193" s="35">
        <v>0</v>
      </c>
      <c r="AP193" s="35"/>
      <c r="AQ193" s="35">
        <v>0</v>
      </c>
      <c r="AR193" s="35"/>
      <c r="AS193" s="45">
        <f t="shared" si="36"/>
        <v>0</v>
      </c>
      <c r="AT193" s="45"/>
      <c r="AU193" s="35">
        <v>0</v>
      </c>
      <c r="AV193" s="35"/>
      <c r="AW193" s="35">
        <v>0</v>
      </c>
      <c r="AX193" s="35"/>
      <c r="AY193" s="35">
        <f t="shared" si="37"/>
        <v>0</v>
      </c>
      <c r="AZ193" s="35"/>
      <c r="BA193" s="35" t="s">
        <v>232</v>
      </c>
      <c r="BB193" s="55"/>
      <c r="BC193" s="35" t="s">
        <v>27</v>
      </c>
      <c r="BD193" s="35"/>
      <c r="BE193" s="35">
        <v>0</v>
      </c>
      <c r="BF193" s="35"/>
      <c r="BG193" s="35">
        <v>0</v>
      </c>
      <c r="BH193" s="35"/>
      <c r="BI193" s="35">
        <v>0</v>
      </c>
      <c r="BJ193" s="35"/>
      <c r="BK193" s="35">
        <v>0</v>
      </c>
      <c r="BL193" s="35"/>
      <c r="BM193" s="35">
        <f t="shared" si="38"/>
        <v>0</v>
      </c>
      <c r="BN193" s="54" t="s">
        <v>347</v>
      </c>
      <c r="BO193" s="35"/>
      <c r="BP193" s="35"/>
      <c r="BQ193" s="35"/>
      <c r="BR193" s="35"/>
      <c r="BS193" s="35"/>
      <c r="BT193" s="35"/>
      <c r="BU193" s="35"/>
      <c r="BV193" s="35"/>
    </row>
    <row r="194" spans="1:74" hidden="1">
      <c r="A194" s="35" t="s">
        <v>233</v>
      </c>
      <c r="C194" s="35" t="s">
        <v>111</v>
      </c>
      <c r="D194" s="35"/>
      <c r="E194" s="35">
        <f t="shared" si="31"/>
        <v>0</v>
      </c>
      <c r="F194" s="35"/>
      <c r="G194" s="35">
        <v>0</v>
      </c>
      <c r="H194" s="35"/>
      <c r="I194" s="35">
        <v>0</v>
      </c>
      <c r="J194" s="35"/>
      <c r="K194" s="35">
        <f t="shared" si="32"/>
        <v>0</v>
      </c>
      <c r="L194" s="35"/>
      <c r="M194" s="35">
        <v>0</v>
      </c>
      <c r="N194" s="35"/>
      <c r="O194" s="35">
        <v>0</v>
      </c>
      <c r="P194" s="35"/>
      <c r="Q194" s="35">
        <v>0</v>
      </c>
      <c r="R194" s="35"/>
      <c r="S194" s="35">
        <v>0</v>
      </c>
      <c r="T194" s="35"/>
      <c r="U194" s="35">
        <v>0</v>
      </c>
      <c r="V194" s="35"/>
      <c r="W194" s="35">
        <f t="shared" si="30"/>
        <v>0</v>
      </c>
      <c r="X194" s="35"/>
      <c r="Y194" s="35" t="s">
        <v>233</v>
      </c>
      <c r="Z194" s="55"/>
      <c r="AA194" s="35" t="s">
        <v>111</v>
      </c>
      <c r="AB194" s="35"/>
      <c r="AC194" s="35">
        <v>0</v>
      </c>
      <c r="AD194" s="35"/>
      <c r="AE194" s="35">
        <v>0</v>
      </c>
      <c r="AF194" s="35"/>
      <c r="AG194" s="35">
        <v>0</v>
      </c>
      <c r="AH194" s="35"/>
      <c r="AI194" s="45">
        <f t="shared" si="39"/>
        <v>0</v>
      </c>
      <c r="AJ194" s="45"/>
      <c r="AK194" s="35">
        <v>0</v>
      </c>
      <c r="AL194" s="35"/>
      <c r="AM194" s="35">
        <v>0</v>
      </c>
      <c r="AN194" s="35"/>
      <c r="AO194" s="35">
        <v>0</v>
      </c>
      <c r="AP194" s="35"/>
      <c r="AQ194" s="35">
        <v>0</v>
      </c>
      <c r="AR194" s="35"/>
      <c r="AS194" s="45">
        <f t="shared" si="36"/>
        <v>0</v>
      </c>
      <c r="AT194" s="45"/>
      <c r="AU194" s="35">
        <v>0</v>
      </c>
      <c r="AV194" s="35"/>
      <c r="AW194" s="35">
        <v>0</v>
      </c>
      <c r="AX194" s="35"/>
      <c r="AY194" s="35">
        <f t="shared" si="37"/>
        <v>0</v>
      </c>
      <c r="AZ194" s="35"/>
      <c r="BA194" s="35" t="s">
        <v>233</v>
      </c>
      <c r="BB194" s="55"/>
      <c r="BC194" s="35" t="s">
        <v>111</v>
      </c>
      <c r="BD194" s="35"/>
      <c r="BE194" s="35">
        <v>0</v>
      </c>
      <c r="BF194" s="35"/>
      <c r="BG194" s="35">
        <v>0</v>
      </c>
      <c r="BH194" s="35"/>
      <c r="BI194" s="35">
        <v>0</v>
      </c>
      <c r="BJ194" s="35"/>
      <c r="BK194" s="35">
        <v>0</v>
      </c>
      <c r="BL194" s="35"/>
      <c r="BM194" s="35">
        <f t="shared" si="38"/>
        <v>0</v>
      </c>
      <c r="BN194" s="54" t="s">
        <v>347</v>
      </c>
      <c r="BO194" s="35"/>
      <c r="BP194" s="35"/>
      <c r="BQ194" s="35"/>
      <c r="BR194" s="35"/>
      <c r="BS194" s="35"/>
      <c r="BT194" s="35"/>
      <c r="BU194" s="35"/>
      <c r="BV194" s="35"/>
    </row>
    <row r="195" spans="1:74" hidden="1">
      <c r="A195" s="35" t="s">
        <v>234</v>
      </c>
      <c r="C195" s="35" t="s">
        <v>45</v>
      </c>
      <c r="D195" s="35"/>
      <c r="E195" s="35">
        <f t="shared" si="31"/>
        <v>0</v>
      </c>
      <c r="F195" s="35"/>
      <c r="G195" s="35">
        <v>0</v>
      </c>
      <c r="H195" s="35"/>
      <c r="I195" s="35">
        <v>0</v>
      </c>
      <c r="J195" s="35"/>
      <c r="K195" s="35">
        <f t="shared" si="32"/>
        <v>0</v>
      </c>
      <c r="L195" s="35"/>
      <c r="M195" s="35">
        <v>0</v>
      </c>
      <c r="N195" s="35"/>
      <c r="O195" s="35">
        <v>0</v>
      </c>
      <c r="P195" s="35"/>
      <c r="Q195" s="35">
        <v>0</v>
      </c>
      <c r="R195" s="35"/>
      <c r="S195" s="35">
        <v>0</v>
      </c>
      <c r="T195" s="35"/>
      <c r="U195" s="35">
        <v>0</v>
      </c>
      <c r="V195" s="35"/>
      <c r="W195" s="35">
        <f t="shared" si="30"/>
        <v>0</v>
      </c>
      <c r="X195" s="35"/>
      <c r="Y195" s="35" t="s">
        <v>234</v>
      </c>
      <c r="Z195" s="55"/>
      <c r="AA195" s="35" t="s">
        <v>45</v>
      </c>
      <c r="AB195" s="35"/>
      <c r="AC195" s="35">
        <v>0</v>
      </c>
      <c r="AD195" s="35"/>
      <c r="AE195" s="35">
        <v>0</v>
      </c>
      <c r="AF195" s="35"/>
      <c r="AG195" s="35">
        <v>0</v>
      </c>
      <c r="AH195" s="35"/>
      <c r="AI195" s="45">
        <f t="shared" si="39"/>
        <v>0</v>
      </c>
      <c r="AJ195" s="45"/>
      <c r="AK195" s="35">
        <v>0</v>
      </c>
      <c r="AL195" s="35"/>
      <c r="AM195" s="35">
        <v>0</v>
      </c>
      <c r="AN195" s="35"/>
      <c r="AO195" s="35">
        <v>0</v>
      </c>
      <c r="AP195" s="35"/>
      <c r="AQ195" s="35">
        <v>0</v>
      </c>
      <c r="AR195" s="35"/>
      <c r="AS195" s="45">
        <f t="shared" si="36"/>
        <v>0</v>
      </c>
      <c r="AT195" s="45"/>
      <c r="AU195" s="35">
        <v>0</v>
      </c>
      <c r="AV195" s="35"/>
      <c r="AW195" s="35">
        <v>0</v>
      </c>
      <c r="AX195" s="35"/>
      <c r="AY195" s="35">
        <f t="shared" si="37"/>
        <v>0</v>
      </c>
      <c r="AZ195" s="35"/>
      <c r="BA195" s="35" t="s">
        <v>234</v>
      </c>
      <c r="BB195" s="55"/>
      <c r="BC195" s="35" t="s">
        <v>45</v>
      </c>
      <c r="BD195" s="35"/>
      <c r="BE195" s="35">
        <v>0</v>
      </c>
      <c r="BF195" s="35"/>
      <c r="BG195" s="35">
        <v>0</v>
      </c>
      <c r="BH195" s="35"/>
      <c r="BI195" s="35">
        <v>0</v>
      </c>
      <c r="BJ195" s="35"/>
      <c r="BK195" s="35">
        <v>0</v>
      </c>
      <c r="BL195" s="35"/>
      <c r="BM195" s="35">
        <f t="shared" si="38"/>
        <v>0</v>
      </c>
      <c r="BN195" s="54" t="s">
        <v>347</v>
      </c>
      <c r="BO195" s="35" t="s">
        <v>371</v>
      </c>
      <c r="BP195" s="35"/>
      <c r="BQ195" s="35"/>
      <c r="BR195" s="35"/>
      <c r="BS195" s="35"/>
      <c r="BT195" s="35"/>
      <c r="BU195" s="35"/>
      <c r="BV195" s="35"/>
    </row>
    <row r="196" spans="1:74" hidden="1">
      <c r="A196" s="35" t="s">
        <v>235</v>
      </c>
      <c r="C196" s="35" t="s">
        <v>183</v>
      </c>
      <c r="D196" s="35"/>
      <c r="E196" s="35">
        <f t="shared" si="31"/>
        <v>0</v>
      </c>
      <c r="F196" s="35"/>
      <c r="G196" s="35">
        <v>0</v>
      </c>
      <c r="H196" s="35"/>
      <c r="I196" s="35">
        <v>0</v>
      </c>
      <c r="J196" s="35"/>
      <c r="K196" s="35">
        <f t="shared" si="32"/>
        <v>0</v>
      </c>
      <c r="L196" s="35"/>
      <c r="M196" s="35">
        <v>0</v>
      </c>
      <c r="N196" s="35"/>
      <c r="O196" s="35">
        <v>0</v>
      </c>
      <c r="P196" s="35"/>
      <c r="Q196" s="35">
        <v>0</v>
      </c>
      <c r="R196" s="35"/>
      <c r="S196" s="35">
        <v>0</v>
      </c>
      <c r="T196" s="35"/>
      <c r="U196" s="35">
        <v>0</v>
      </c>
      <c r="V196" s="35"/>
      <c r="W196" s="35">
        <f t="shared" si="30"/>
        <v>0</v>
      </c>
      <c r="X196" s="35"/>
      <c r="Y196" s="35" t="s">
        <v>235</v>
      </c>
      <c r="Z196" s="55"/>
      <c r="AA196" s="35" t="s">
        <v>183</v>
      </c>
      <c r="AB196" s="35"/>
      <c r="AC196" s="35">
        <v>0</v>
      </c>
      <c r="AD196" s="35"/>
      <c r="AE196" s="35">
        <v>0</v>
      </c>
      <c r="AF196" s="35"/>
      <c r="AG196" s="35">
        <v>0</v>
      </c>
      <c r="AH196" s="35"/>
      <c r="AI196" s="45">
        <f t="shared" si="39"/>
        <v>0</v>
      </c>
      <c r="AJ196" s="45"/>
      <c r="AK196" s="35">
        <v>0</v>
      </c>
      <c r="AL196" s="35"/>
      <c r="AM196" s="35">
        <v>0</v>
      </c>
      <c r="AN196" s="35"/>
      <c r="AO196" s="35">
        <v>0</v>
      </c>
      <c r="AP196" s="35"/>
      <c r="AQ196" s="35">
        <v>0</v>
      </c>
      <c r="AR196" s="35"/>
      <c r="AS196" s="45">
        <f t="shared" si="36"/>
        <v>0</v>
      </c>
      <c r="AT196" s="45"/>
      <c r="AU196" s="35">
        <v>0</v>
      </c>
      <c r="AV196" s="35"/>
      <c r="AW196" s="35">
        <v>0</v>
      </c>
      <c r="AX196" s="35"/>
      <c r="AY196" s="35">
        <f t="shared" si="37"/>
        <v>0</v>
      </c>
      <c r="AZ196" s="35"/>
      <c r="BA196" s="35" t="s">
        <v>235</v>
      </c>
      <c r="BB196" s="55"/>
      <c r="BC196" s="35" t="s">
        <v>183</v>
      </c>
      <c r="BD196" s="35"/>
      <c r="BE196" s="35">
        <v>0</v>
      </c>
      <c r="BF196" s="35"/>
      <c r="BG196" s="35">
        <v>0</v>
      </c>
      <c r="BH196" s="35"/>
      <c r="BI196" s="35">
        <v>0</v>
      </c>
      <c r="BJ196" s="35"/>
      <c r="BK196" s="35">
        <v>0</v>
      </c>
      <c r="BL196" s="35"/>
      <c r="BM196" s="35">
        <f t="shared" si="38"/>
        <v>0</v>
      </c>
      <c r="BN196" s="54" t="s">
        <v>347</v>
      </c>
      <c r="BO196" s="35"/>
      <c r="BP196" s="35"/>
    </row>
    <row r="197" spans="1:74" hidden="1">
      <c r="A197" s="35" t="s">
        <v>236</v>
      </c>
      <c r="C197" s="35" t="s">
        <v>45</v>
      </c>
      <c r="D197" s="35"/>
      <c r="E197" s="35">
        <f t="shared" si="31"/>
        <v>0</v>
      </c>
      <c r="F197" s="35"/>
      <c r="G197" s="35">
        <v>0</v>
      </c>
      <c r="H197" s="35"/>
      <c r="I197" s="35">
        <v>0</v>
      </c>
      <c r="J197" s="35"/>
      <c r="K197" s="35">
        <f t="shared" si="32"/>
        <v>0</v>
      </c>
      <c r="L197" s="35"/>
      <c r="M197" s="35">
        <v>0</v>
      </c>
      <c r="N197" s="35"/>
      <c r="O197" s="35">
        <v>0</v>
      </c>
      <c r="P197" s="35"/>
      <c r="Q197" s="35">
        <v>0</v>
      </c>
      <c r="R197" s="35"/>
      <c r="S197" s="35">
        <v>0</v>
      </c>
      <c r="T197" s="35"/>
      <c r="U197" s="35">
        <v>0</v>
      </c>
      <c r="V197" s="35"/>
      <c r="W197" s="35">
        <f t="shared" si="30"/>
        <v>0</v>
      </c>
      <c r="X197" s="35"/>
      <c r="Y197" s="35" t="s">
        <v>236</v>
      </c>
      <c r="Z197" s="55"/>
      <c r="AA197" s="35" t="s">
        <v>45</v>
      </c>
      <c r="AB197" s="35"/>
      <c r="AC197" s="35">
        <v>0</v>
      </c>
      <c r="AD197" s="35"/>
      <c r="AE197" s="35">
        <v>0</v>
      </c>
      <c r="AF197" s="35"/>
      <c r="AG197" s="35">
        <v>0</v>
      </c>
      <c r="AH197" s="35"/>
      <c r="AI197" s="45">
        <f t="shared" si="39"/>
        <v>0</v>
      </c>
      <c r="AJ197" s="45"/>
      <c r="AK197" s="35">
        <v>0</v>
      </c>
      <c r="AL197" s="35"/>
      <c r="AM197" s="35">
        <v>0</v>
      </c>
      <c r="AN197" s="35"/>
      <c r="AO197" s="35">
        <v>0</v>
      </c>
      <c r="AP197" s="35"/>
      <c r="AQ197" s="35">
        <v>0</v>
      </c>
      <c r="AR197" s="35"/>
      <c r="AS197" s="45">
        <f t="shared" si="36"/>
        <v>0</v>
      </c>
      <c r="AT197" s="45"/>
      <c r="AU197" s="35">
        <v>0</v>
      </c>
      <c r="AV197" s="35"/>
      <c r="AW197" s="35">
        <v>0</v>
      </c>
      <c r="AX197" s="35"/>
      <c r="AY197" s="35">
        <f t="shared" si="37"/>
        <v>0</v>
      </c>
      <c r="AZ197" s="35"/>
      <c r="BA197" s="35" t="s">
        <v>236</v>
      </c>
      <c r="BB197" s="55"/>
      <c r="BC197" s="35" t="s">
        <v>45</v>
      </c>
      <c r="BD197" s="35"/>
      <c r="BE197" s="35">
        <v>0</v>
      </c>
      <c r="BF197" s="35"/>
      <c r="BG197" s="35">
        <v>0</v>
      </c>
      <c r="BH197" s="35"/>
      <c r="BI197" s="35">
        <v>0</v>
      </c>
      <c r="BJ197" s="35"/>
      <c r="BK197" s="35">
        <v>0</v>
      </c>
      <c r="BL197" s="35"/>
      <c r="BM197" s="35">
        <f t="shared" si="38"/>
        <v>0</v>
      </c>
      <c r="BN197" s="54" t="s">
        <v>347</v>
      </c>
    </row>
    <row r="198" spans="1:74" hidden="1">
      <c r="A198" s="35" t="s">
        <v>237</v>
      </c>
      <c r="C198" s="35" t="s">
        <v>33</v>
      </c>
      <c r="D198" s="35"/>
      <c r="E198" s="35">
        <f t="shared" si="31"/>
        <v>0</v>
      </c>
      <c r="F198" s="35"/>
      <c r="G198" s="35">
        <v>0</v>
      </c>
      <c r="H198" s="35"/>
      <c r="I198" s="35">
        <v>0</v>
      </c>
      <c r="J198" s="35"/>
      <c r="K198" s="35">
        <f t="shared" si="32"/>
        <v>0</v>
      </c>
      <c r="L198" s="35"/>
      <c r="M198" s="35">
        <v>0</v>
      </c>
      <c r="N198" s="35"/>
      <c r="O198" s="35">
        <v>0</v>
      </c>
      <c r="P198" s="35"/>
      <c r="Q198" s="35">
        <v>0</v>
      </c>
      <c r="R198" s="35"/>
      <c r="S198" s="35">
        <v>0</v>
      </c>
      <c r="T198" s="35"/>
      <c r="U198" s="35">
        <v>0</v>
      </c>
      <c r="V198" s="35"/>
      <c r="W198" s="35">
        <f t="shared" si="30"/>
        <v>0</v>
      </c>
      <c r="X198" s="35"/>
      <c r="Y198" s="35" t="s">
        <v>237</v>
      </c>
      <c r="Z198" s="55"/>
      <c r="AA198" s="35" t="s">
        <v>33</v>
      </c>
      <c r="AB198" s="35"/>
      <c r="AC198" s="35">
        <v>0</v>
      </c>
      <c r="AD198" s="35"/>
      <c r="AE198" s="35">
        <v>0</v>
      </c>
      <c r="AF198" s="35"/>
      <c r="AG198" s="35">
        <v>0</v>
      </c>
      <c r="AH198" s="35"/>
      <c r="AI198" s="45">
        <f t="shared" si="39"/>
        <v>0</v>
      </c>
      <c r="AJ198" s="45"/>
      <c r="AK198" s="35">
        <v>0</v>
      </c>
      <c r="AL198" s="35"/>
      <c r="AM198" s="35">
        <v>0</v>
      </c>
      <c r="AN198" s="35"/>
      <c r="AO198" s="35">
        <v>0</v>
      </c>
      <c r="AP198" s="35"/>
      <c r="AQ198" s="35">
        <v>0</v>
      </c>
      <c r="AR198" s="35"/>
      <c r="AS198" s="45">
        <f t="shared" si="36"/>
        <v>0</v>
      </c>
      <c r="AT198" s="45"/>
      <c r="AU198" s="35">
        <v>0</v>
      </c>
      <c r="AV198" s="35"/>
      <c r="AW198" s="35">
        <v>0</v>
      </c>
      <c r="AX198" s="35"/>
      <c r="AY198" s="35">
        <f t="shared" si="37"/>
        <v>0</v>
      </c>
      <c r="AZ198" s="35"/>
      <c r="BA198" s="35" t="s">
        <v>237</v>
      </c>
      <c r="BB198" s="55"/>
      <c r="BC198" s="35" t="s">
        <v>33</v>
      </c>
      <c r="BD198" s="35"/>
      <c r="BE198" s="35">
        <v>0</v>
      </c>
      <c r="BF198" s="35"/>
      <c r="BG198" s="35">
        <v>0</v>
      </c>
      <c r="BH198" s="35"/>
      <c r="BI198" s="35">
        <v>0</v>
      </c>
      <c r="BJ198" s="35"/>
      <c r="BK198" s="35">
        <v>0</v>
      </c>
      <c r="BL198" s="35"/>
      <c r="BM198" s="35">
        <f t="shared" si="38"/>
        <v>0</v>
      </c>
      <c r="BN198" s="54" t="s">
        <v>347</v>
      </c>
    </row>
    <row r="199" spans="1:74" ht="12">
      <c r="A199" s="64" t="s">
        <v>238</v>
      </c>
      <c r="B199" s="90"/>
      <c r="C199" s="64" t="s">
        <v>239</v>
      </c>
      <c r="D199" s="64"/>
      <c r="E199" s="35">
        <f t="shared" si="31"/>
        <v>1958954</v>
      </c>
      <c r="F199" s="35"/>
      <c r="G199" s="35">
        <v>1828902</v>
      </c>
      <c r="H199" s="35"/>
      <c r="I199" s="35">
        <v>3787856</v>
      </c>
      <c r="J199" s="35"/>
      <c r="K199" s="35">
        <f t="shared" si="32"/>
        <v>32405</v>
      </c>
      <c r="L199" s="35"/>
      <c r="M199" s="35">
        <f>19671+3629040</f>
        <v>3648711</v>
      </c>
      <c r="N199" s="35"/>
      <c r="O199" s="35">
        <v>3681116</v>
      </c>
      <c r="P199" s="35"/>
      <c r="Q199" s="35">
        <v>1828902</v>
      </c>
      <c r="R199" s="35"/>
      <c r="S199" s="35">
        <v>0</v>
      </c>
      <c r="T199" s="35"/>
      <c r="U199" s="35">
        <v>-1722162</v>
      </c>
      <c r="V199" s="35"/>
      <c r="W199" s="35">
        <f t="shared" si="30"/>
        <v>106740</v>
      </c>
      <c r="X199" s="64"/>
      <c r="Y199" s="64" t="s">
        <v>238</v>
      </c>
      <c r="Z199" s="90"/>
      <c r="AA199" s="64" t="s">
        <v>239</v>
      </c>
      <c r="AB199" s="64"/>
      <c r="AC199" s="35">
        <v>829732</v>
      </c>
      <c r="AD199" s="35"/>
      <c r="AE199" s="35">
        <f>620397-112783</f>
        <v>507614</v>
      </c>
      <c r="AF199" s="35"/>
      <c r="AG199" s="35">
        <v>112783</v>
      </c>
      <c r="AH199" s="35"/>
      <c r="AI199" s="45">
        <f t="shared" si="39"/>
        <v>209335</v>
      </c>
      <c r="AJ199" s="45"/>
      <c r="AK199" s="35">
        <v>13124</v>
      </c>
      <c r="AL199" s="35"/>
      <c r="AM199" s="35">
        <v>0</v>
      </c>
      <c r="AN199" s="35"/>
      <c r="AO199" s="35">
        <v>0</v>
      </c>
      <c r="AP199" s="35"/>
      <c r="AQ199" s="35">
        <v>0</v>
      </c>
      <c r="AR199" s="35"/>
      <c r="AS199" s="45">
        <f>+AI199+AK199+AM199-AO199+AQ199</f>
        <v>222459</v>
      </c>
      <c r="AT199" s="45"/>
      <c r="AU199" s="35">
        <v>0</v>
      </c>
      <c r="AV199" s="35"/>
      <c r="AW199" s="35">
        <v>0</v>
      </c>
      <c r="AX199" s="35"/>
      <c r="AY199" s="35">
        <f t="shared" si="37"/>
        <v>1926549</v>
      </c>
      <c r="AZ199" s="35"/>
      <c r="BA199" s="64" t="s">
        <v>238</v>
      </c>
      <c r="BB199" s="90"/>
      <c r="BC199" s="64" t="s">
        <v>239</v>
      </c>
      <c r="BD199" s="64"/>
      <c r="BE199" s="35">
        <v>0</v>
      </c>
      <c r="BF199" s="35"/>
      <c r="BG199" s="35">
        <v>0</v>
      </c>
      <c r="BH199" s="35"/>
      <c r="BI199" s="35">
        <v>0</v>
      </c>
      <c r="BJ199" s="35"/>
      <c r="BK199" s="35">
        <f>3626070+19671+6843</f>
        <v>3652584</v>
      </c>
      <c r="BL199" s="35"/>
      <c r="BM199" s="35">
        <f t="shared" si="38"/>
        <v>3652584</v>
      </c>
      <c r="BN199" s="54" t="s">
        <v>347</v>
      </c>
    </row>
    <row r="200" spans="1:74" ht="12">
      <c r="A200" s="35" t="s">
        <v>486</v>
      </c>
      <c r="B200" s="55"/>
      <c r="C200" s="35" t="s">
        <v>249</v>
      </c>
      <c r="D200" s="35"/>
      <c r="E200" s="35">
        <f t="shared" si="31"/>
        <v>1468753</v>
      </c>
      <c r="F200" s="35"/>
      <c r="G200" s="35">
        <v>251886</v>
      </c>
      <c r="H200" s="35"/>
      <c r="I200" s="35">
        <v>1720639</v>
      </c>
      <c r="J200" s="35"/>
      <c r="K200" s="35">
        <f t="shared" si="32"/>
        <v>271812</v>
      </c>
      <c r="L200" s="35"/>
      <c r="M200" s="35">
        <v>4747077</v>
      </c>
      <c r="N200" s="35"/>
      <c r="O200" s="35">
        <v>5018889</v>
      </c>
      <c r="P200" s="35"/>
      <c r="Q200" s="35">
        <v>200594</v>
      </c>
      <c r="R200" s="35"/>
      <c r="S200" s="35">
        <v>0</v>
      </c>
      <c r="T200" s="35"/>
      <c r="U200" s="35">
        <v>-3498844</v>
      </c>
      <c r="V200" s="35"/>
      <c r="W200" s="35">
        <f t="shared" si="30"/>
        <v>-3298250</v>
      </c>
      <c r="X200" s="35"/>
      <c r="Y200" s="35" t="s">
        <v>486</v>
      </c>
      <c r="Z200" s="55"/>
      <c r="AA200" s="35" t="s">
        <v>249</v>
      </c>
      <c r="AB200" s="35"/>
      <c r="AC200" s="35">
        <v>2205853</v>
      </c>
      <c r="AD200" s="35"/>
      <c r="AE200" s="35">
        <f>1669941-1077507</f>
        <v>592434</v>
      </c>
      <c r="AF200" s="35"/>
      <c r="AG200" s="35">
        <v>1077507</v>
      </c>
      <c r="AH200" s="35"/>
      <c r="AI200" s="45">
        <f t="shared" si="39"/>
        <v>535912</v>
      </c>
      <c r="AJ200" s="45"/>
      <c r="AK200" s="35">
        <v>1891</v>
      </c>
      <c r="AL200" s="35"/>
      <c r="AM200" s="35">
        <v>0</v>
      </c>
      <c r="AN200" s="35"/>
      <c r="AO200" s="35">
        <v>443542</v>
      </c>
      <c r="AP200" s="35"/>
      <c r="AQ200" s="35">
        <v>0</v>
      </c>
      <c r="AR200" s="35"/>
      <c r="AS200" s="45">
        <f t="shared" si="36"/>
        <v>94261</v>
      </c>
      <c r="AT200" s="45"/>
      <c r="AU200" s="35">
        <v>0</v>
      </c>
      <c r="AV200" s="35"/>
      <c r="AW200" s="35">
        <v>0</v>
      </c>
      <c r="AX200" s="35"/>
      <c r="AY200" s="35">
        <f t="shared" si="37"/>
        <v>1196941</v>
      </c>
      <c r="AZ200" s="35"/>
      <c r="BA200" s="35" t="s">
        <v>486</v>
      </c>
      <c r="BB200" s="55"/>
      <c r="BC200" s="35" t="s">
        <v>249</v>
      </c>
      <c r="BD200" s="35"/>
      <c r="BE200" s="35">
        <v>0</v>
      </c>
      <c r="BF200" s="35"/>
      <c r="BG200" s="35">
        <v>0</v>
      </c>
      <c r="BH200" s="35"/>
      <c r="BI200" s="35">
        <v>0</v>
      </c>
      <c r="BJ200" s="35"/>
      <c r="BK200" s="35">
        <f>32339+26304+4688434+6669+100000+24988</f>
        <v>4878734</v>
      </c>
      <c r="BL200" s="35"/>
      <c r="BM200" s="35">
        <f t="shared" si="38"/>
        <v>4878734</v>
      </c>
      <c r="BN200" s="54"/>
    </row>
    <row r="201" spans="1:74" hidden="1">
      <c r="A201" s="35" t="s">
        <v>240</v>
      </c>
      <c r="C201" s="35" t="s">
        <v>13</v>
      </c>
      <c r="D201" s="35"/>
      <c r="E201" s="35">
        <f t="shared" si="31"/>
        <v>0</v>
      </c>
      <c r="F201" s="35"/>
      <c r="G201" s="35">
        <v>0</v>
      </c>
      <c r="H201" s="35"/>
      <c r="I201" s="35">
        <v>0</v>
      </c>
      <c r="J201" s="35"/>
      <c r="K201" s="35">
        <f t="shared" si="32"/>
        <v>0</v>
      </c>
      <c r="L201" s="35"/>
      <c r="M201" s="35">
        <v>0</v>
      </c>
      <c r="N201" s="35"/>
      <c r="O201" s="35">
        <v>0</v>
      </c>
      <c r="P201" s="35"/>
      <c r="Q201" s="35">
        <v>0</v>
      </c>
      <c r="R201" s="35"/>
      <c r="S201" s="35">
        <v>0</v>
      </c>
      <c r="T201" s="35"/>
      <c r="U201" s="35">
        <v>0</v>
      </c>
      <c r="V201" s="35"/>
      <c r="W201" s="35">
        <f t="shared" si="30"/>
        <v>0</v>
      </c>
      <c r="X201" s="35"/>
      <c r="Y201" s="35" t="s">
        <v>240</v>
      </c>
      <c r="Z201" s="55"/>
      <c r="AA201" s="35" t="s">
        <v>13</v>
      </c>
      <c r="AB201" s="35"/>
      <c r="AC201" s="35">
        <v>0</v>
      </c>
      <c r="AD201" s="35"/>
      <c r="AE201" s="35">
        <v>0</v>
      </c>
      <c r="AF201" s="35"/>
      <c r="AG201" s="35">
        <v>0</v>
      </c>
      <c r="AH201" s="35"/>
      <c r="AI201" s="45">
        <f t="shared" si="39"/>
        <v>0</v>
      </c>
      <c r="AJ201" s="45"/>
      <c r="AK201" s="35">
        <v>0</v>
      </c>
      <c r="AL201" s="35"/>
      <c r="AM201" s="35">
        <v>0</v>
      </c>
      <c r="AN201" s="35"/>
      <c r="AO201" s="35">
        <v>0</v>
      </c>
      <c r="AP201" s="35"/>
      <c r="AQ201" s="35">
        <v>0</v>
      </c>
      <c r="AR201" s="35"/>
      <c r="AS201" s="45">
        <f t="shared" si="36"/>
        <v>0</v>
      </c>
      <c r="AT201" s="45"/>
      <c r="AU201" s="35">
        <v>0</v>
      </c>
      <c r="AV201" s="35"/>
      <c r="AW201" s="35">
        <v>0</v>
      </c>
      <c r="AX201" s="35"/>
      <c r="AY201" s="35">
        <f t="shared" si="37"/>
        <v>0</v>
      </c>
      <c r="AZ201" s="35"/>
      <c r="BA201" s="35" t="s">
        <v>240</v>
      </c>
      <c r="BB201" s="55"/>
      <c r="BC201" s="35" t="s">
        <v>13</v>
      </c>
      <c r="BD201" s="35"/>
      <c r="BE201" s="35">
        <v>0</v>
      </c>
      <c r="BF201" s="35"/>
      <c r="BG201" s="35">
        <v>0</v>
      </c>
      <c r="BH201" s="35"/>
      <c r="BI201" s="35">
        <v>0</v>
      </c>
      <c r="BJ201" s="35"/>
      <c r="BK201" s="35">
        <v>0</v>
      </c>
      <c r="BL201" s="35"/>
      <c r="BM201" s="35">
        <f t="shared" si="38"/>
        <v>0</v>
      </c>
      <c r="BN201" s="54" t="s">
        <v>347</v>
      </c>
      <c r="BO201" s="35" t="s">
        <v>371</v>
      </c>
      <c r="BP201" s="35"/>
    </row>
    <row r="202" spans="1:74" hidden="1">
      <c r="A202" s="35" t="s">
        <v>241</v>
      </c>
      <c r="C202" s="35" t="s">
        <v>22</v>
      </c>
      <c r="D202" s="35"/>
      <c r="E202" s="35">
        <f t="shared" si="31"/>
        <v>0</v>
      </c>
      <c r="F202" s="35"/>
      <c r="G202" s="35">
        <v>0</v>
      </c>
      <c r="H202" s="35"/>
      <c r="I202" s="35">
        <v>0</v>
      </c>
      <c r="J202" s="35"/>
      <c r="K202" s="35">
        <f t="shared" si="32"/>
        <v>0</v>
      </c>
      <c r="L202" s="35"/>
      <c r="M202" s="35">
        <v>0</v>
      </c>
      <c r="N202" s="35"/>
      <c r="O202" s="35">
        <v>0</v>
      </c>
      <c r="P202" s="35"/>
      <c r="Q202" s="35">
        <v>0</v>
      </c>
      <c r="R202" s="35"/>
      <c r="S202" s="35">
        <v>0</v>
      </c>
      <c r="T202" s="35"/>
      <c r="U202" s="35">
        <v>0</v>
      </c>
      <c r="V202" s="35"/>
      <c r="W202" s="35">
        <f t="shared" ref="W202:W213" si="40">SUM(Q202:U202)</f>
        <v>0</v>
      </c>
      <c r="X202" s="35"/>
      <c r="Y202" s="35" t="s">
        <v>241</v>
      </c>
      <c r="Z202" s="55"/>
      <c r="AA202" s="35" t="s">
        <v>22</v>
      </c>
      <c r="AB202" s="35"/>
      <c r="AC202" s="35">
        <v>0</v>
      </c>
      <c r="AD202" s="35"/>
      <c r="AE202" s="35">
        <v>0</v>
      </c>
      <c r="AF202" s="35"/>
      <c r="AG202" s="35">
        <v>0</v>
      </c>
      <c r="AH202" s="35"/>
      <c r="AI202" s="45">
        <f t="shared" si="39"/>
        <v>0</v>
      </c>
      <c r="AJ202" s="45"/>
      <c r="AK202" s="35">
        <v>0</v>
      </c>
      <c r="AL202" s="35"/>
      <c r="AM202" s="35">
        <v>0</v>
      </c>
      <c r="AN202" s="35"/>
      <c r="AO202" s="35">
        <v>0</v>
      </c>
      <c r="AP202" s="35"/>
      <c r="AQ202" s="35">
        <v>0</v>
      </c>
      <c r="AR202" s="35"/>
      <c r="AS202" s="45">
        <f t="shared" si="36"/>
        <v>0</v>
      </c>
      <c r="AT202" s="45"/>
      <c r="AU202" s="35">
        <v>0</v>
      </c>
      <c r="AV202" s="35"/>
      <c r="AW202" s="35">
        <v>0</v>
      </c>
      <c r="AX202" s="35"/>
      <c r="AY202" s="35">
        <f t="shared" si="37"/>
        <v>0</v>
      </c>
      <c r="AZ202" s="35"/>
      <c r="BA202" s="35" t="s">
        <v>241</v>
      </c>
      <c r="BB202" s="55"/>
      <c r="BC202" s="35" t="s">
        <v>22</v>
      </c>
      <c r="BD202" s="35"/>
      <c r="BE202" s="35">
        <v>0</v>
      </c>
      <c r="BF202" s="35"/>
      <c r="BG202" s="35">
        <v>0</v>
      </c>
      <c r="BH202" s="35"/>
      <c r="BI202" s="35">
        <v>0</v>
      </c>
      <c r="BJ202" s="35"/>
      <c r="BK202" s="35">
        <v>0</v>
      </c>
      <c r="BL202" s="35"/>
      <c r="BM202" s="35">
        <f t="shared" si="38"/>
        <v>0</v>
      </c>
      <c r="BN202" s="54" t="s">
        <v>347</v>
      </c>
    </row>
    <row r="203" spans="1:74" hidden="1">
      <c r="A203" s="35" t="s">
        <v>242</v>
      </c>
      <c r="C203" s="35" t="s">
        <v>27</v>
      </c>
      <c r="D203" s="35"/>
      <c r="E203" s="35">
        <f t="shared" ref="E203:E244" si="41">I203-G203</f>
        <v>0</v>
      </c>
      <c r="F203" s="35"/>
      <c r="G203" s="35">
        <v>0</v>
      </c>
      <c r="H203" s="35"/>
      <c r="I203" s="35">
        <v>0</v>
      </c>
      <c r="J203" s="35"/>
      <c r="K203" s="35">
        <f t="shared" ref="K203:K244" si="42">O203-M203</f>
        <v>0</v>
      </c>
      <c r="L203" s="35"/>
      <c r="M203" s="35">
        <v>0</v>
      </c>
      <c r="N203" s="35"/>
      <c r="O203" s="35">
        <v>0</v>
      </c>
      <c r="P203" s="35"/>
      <c r="Q203" s="35">
        <v>0</v>
      </c>
      <c r="R203" s="35"/>
      <c r="S203" s="35">
        <v>0</v>
      </c>
      <c r="T203" s="35"/>
      <c r="U203" s="35">
        <v>0</v>
      </c>
      <c r="V203" s="35"/>
      <c r="W203" s="35">
        <f t="shared" si="40"/>
        <v>0</v>
      </c>
      <c r="X203" s="35"/>
      <c r="Y203" s="35" t="s">
        <v>242</v>
      </c>
      <c r="Z203" s="55"/>
      <c r="AA203" s="35" t="s">
        <v>27</v>
      </c>
      <c r="AB203" s="35"/>
      <c r="AC203" s="35">
        <v>0</v>
      </c>
      <c r="AD203" s="35"/>
      <c r="AE203" s="35">
        <v>0</v>
      </c>
      <c r="AF203" s="35"/>
      <c r="AG203" s="35">
        <v>0</v>
      </c>
      <c r="AH203" s="35"/>
      <c r="AI203" s="45">
        <v>0</v>
      </c>
      <c r="AJ203" s="45"/>
      <c r="AK203" s="35">
        <v>0</v>
      </c>
      <c r="AL203" s="35"/>
      <c r="AM203" s="35">
        <v>0</v>
      </c>
      <c r="AN203" s="35"/>
      <c r="AO203" s="35">
        <v>0</v>
      </c>
      <c r="AP203" s="35"/>
      <c r="AQ203" s="35">
        <v>0</v>
      </c>
      <c r="AR203" s="35"/>
      <c r="AS203" s="45">
        <f t="shared" si="36"/>
        <v>0</v>
      </c>
      <c r="AT203" s="45"/>
      <c r="AU203" s="35">
        <v>0</v>
      </c>
      <c r="AV203" s="35"/>
      <c r="AW203" s="35">
        <v>0</v>
      </c>
      <c r="AX203" s="35"/>
      <c r="AY203" s="35">
        <f t="shared" si="37"/>
        <v>0</v>
      </c>
      <c r="AZ203" s="35"/>
      <c r="BA203" s="35" t="s">
        <v>242</v>
      </c>
      <c r="BB203" s="55"/>
      <c r="BC203" s="35" t="s">
        <v>27</v>
      </c>
      <c r="BD203" s="35"/>
      <c r="BE203" s="35">
        <v>0</v>
      </c>
      <c r="BF203" s="35"/>
      <c r="BG203" s="35">
        <v>0</v>
      </c>
      <c r="BH203" s="35"/>
      <c r="BI203" s="35">
        <v>0</v>
      </c>
      <c r="BJ203" s="35"/>
      <c r="BK203" s="35">
        <v>0</v>
      </c>
      <c r="BL203" s="35"/>
      <c r="BM203" s="35">
        <f t="shared" si="38"/>
        <v>0</v>
      </c>
      <c r="BN203" s="54" t="s">
        <v>347</v>
      </c>
    </row>
    <row r="204" spans="1:74" hidden="1">
      <c r="A204" s="35" t="s">
        <v>243</v>
      </c>
      <c r="C204" s="35" t="s">
        <v>163</v>
      </c>
      <c r="D204" s="35"/>
      <c r="E204" s="35">
        <f t="shared" si="41"/>
        <v>0</v>
      </c>
      <c r="F204" s="35"/>
      <c r="G204" s="35">
        <v>0</v>
      </c>
      <c r="H204" s="35"/>
      <c r="I204" s="35">
        <v>0</v>
      </c>
      <c r="J204" s="35"/>
      <c r="K204" s="35">
        <f t="shared" si="42"/>
        <v>0</v>
      </c>
      <c r="L204" s="35"/>
      <c r="M204" s="35">
        <v>0</v>
      </c>
      <c r="N204" s="35"/>
      <c r="O204" s="35">
        <v>0</v>
      </c>
      <c r="P204" s="35"/>
      <c r="Q204" s="35">
        <v>0</v>
      </c>
      <c r="R204" s="35"/>
      <c r="S204" s="35">
        <v>0</v>
      </c>
      <c r="T204" s="35"/>
      <c r="U204" s="35">
        <v>0</v>
      </c>
      <c r="V204" s="35"/>
      <c r="W204" s="35">
        <f t="shared" si="40"/>
        <v>0</v>
      </c>
      <c r="X204" s="35"/>
      <c r="Y204" s="35" t="s">
        <v>243</v>
      </c>
      <c r="Z204" s="55"/>
      <c r="AA204" s="35" t="s">
        <v>163</v>
      </c>
      <c r="AB204" s="35"/>
      <c r="AC204" s="35">
        <v>0</v>
      </c>
      <c r="AD204" s="35"/>
      <c r="AE204" s="35">
        <v>0</v>
      </c>
      <c r="AF204" s="35"/>
      <c r="AG204" s="35">
        <v>0</v>
      </c>
      <c r="AH204" s="35"/>
      <c r="AI204" s="45">
        <f t="shared" ref="AI204:AI228" si="43">+AC204-AE204-AG204</f>
        <v>0</v>
      </c>
      <c r="AJ204" s="45"/>
      <c r="AK204" s="35">
        <v>0</v>
      </c>
      <c r="AL204" s="35"/>
      <c r="AM204" s="35">
        <v>0</v>
      </c>
      <c r="AN204" s="35"/>
      <c r="AO204" s="35">
        <v>0</v>
      </c>
      <c r="AP204" s="35"/>
      <c r="AQ204" s="35">
        <v>0</v>
      </c>
      <c r="AR204" s="35"/>
      <c r="AS204" s="45">
        <f t="shared" si="36"/>
        <v>0</v>
      </c>
      <c r="AT204" s="45"/>
      <c r="AU204" s="35">
        <v>0</v>
      </c>
      <c r="AV204" s="35"/>
      <c r="AW204" s="35">
        <v>0</v>
      </c>
      <c r="AX204" s="35"/>
      <c r="AY204" s="35">
        <f t="shared" si="37"/>
        <v>0</v>
      </c>
      <c r="AZ204" s="35"/>
      <c r="BA204" s="35" t="s">
        <v>243</v>
      </c>
      <c r="BB204" s="55"/>
      <c r="BC204" s="35" t="s">
        <v>163</v>
      </c>
      <c r="BD204" s="35"/>
      <c r="BE204" s="35">
        <v>0</v>
      </c>
      <c r="BF204" s="35"/>
      <c r="BG204" s="35">
        <v>0</v>
      </c>
      <c r="BH204" s="35"/>
      <c r="BI204" s="35">
        <v>0</v>
      </c>
      <c r="BJ204" s="35"/>
      <c r="BK204" s="35">
        <v>0</v>
      </c>
      <c r="BL204" s="35"/>
      <c r="BM204" s="35">
        <f t="shared" si="38"/>
        <v>0</v>
      </c>
      <c r="BN204" s="89" t="s">
        <v>347</v>
      </c>
    </row>
    <row r="205" spans="1:74" hidden="1">
      <c r="A205" s="35" t="s">
        <v>244</v>
      </c>
      <c r="C205" s="35" t="s">
        <v>13</v>
      </c>
      <c r="D205" s="35"/>
      <c r="E205" s="35">
        <f t="shared" si="41"/>
        <v>0</v>
      </c>
      <c r="F205" s="35"/>
      <c r="G205" s="35">
        <v>0</v>
      </c>
      <c r="H205" s="35"/>
      <c r="I205" s="35">
        <v>0</v>
      </c>
      <c r="J205" s="35"/>
      <c r="K205" s="35">
        <v>3773</v>
      </c>
      <c r="L205" s="35"/>
      <c r="M205" s="35">
        <v>0</v>
      </c>
      <c r="N205" s="35"/>
      <c r="O205" s="35">
        <v>0</v>
      </c>
      <c r="P205" s="35"/>
      <c r="Q205" s="35">
        <v>0</v>
      </c>
      <c r="R205" s="35"/>
      <c r="S205" s="35">
        <v>0</v>
      </c>
      <c r="T205" s="35"/>
      <c r="U205" s="35">
        <v>0</v>
      </c>
      <c r="V205" s="35"/>
      <c r="W205" s="35">
        <f t="shared" si="40"/>
        <v>0</v>
      </c>
      <c r="X205" s="35"/>
      <c r="Y205" s="35" t="s">
        <v>244</v>
      </c>
      <c r="Z205" s="55"/>
      <c r="AA205" s="35" t="s">
        <v>13</v>
      </c>
      <c r="AB205" s="35"/>
      <c r="AC205" s="35">
        <v>0</v>
      </c>
      <c r="AD205" s="35"/>
      <c r="AE205" s="35">
        <v>0</v>
      </c>
      <c r="AF205" s="35"/>
      <c r="AG205" s="35">
        <v>0</v>
      </c>
      <c r="AH205" s="35"/>
      <c r="AI205" s="45">
        <f t="shared" si="43"/>
        <v>0</v>
      </c>
      <c r="AJ205" s="45"/>
      <c r="AK205" s="35">
        <v>0</v>
      </c>
      <c r="AL205" s="35"/>
      <c r="AM205" s="35">
        <v>0</v>
      </c>
      <c r="AN205" s="35"/>
      <c r="AO205" s="35">
        <v>0</v>
      </c>
      <c r="AP205" s="35"/>
      <c r="AQ205" s="35">
        <v>0</v>
      </c>
      <c r="AR205" s="35"/>
      <c r="AS205" s="45">
        <f t="shared" si="36"/>
        <v>0</v>
      </c>
      <c r="AT205" s="45"/>
      <c r="AU205" s="35">
        <v>0</v>
      </c>
      <c r="AV205" s="35"/>
      <c r="AW205" s="35">
        <v>0</v>
      </c>
      <c r="AX205" s="35"/>
      <c r="AY205" s="35">
        <f t="shared" si="37"/>
        <v>-3773</v>
      </c>
      <c r="AZ205" s="35"/>
      <c r="BA205" s="35" t="s">
        <v>244</v>
      </c>
      <c r="BB205" s="55"/>
      <c r="BC205" s="35" t="s">
        <v>13</v>
      </c>
      <c r="BD205" s="35"/>
      <c r="BE205" s="35">
        <v>0</v>
      </c>
      <c r="BF205" s="35"/>
      <c r="BG205" s="35">
        <v>0</v>
      </c>
      <c r="BH205" s="35"/>
      <c r="BI205" s="35">
        <v>0</v>
      </c>
      <c r="BJ205" s="35"/>
      <c r="BK205" s="35">
        <v>0</v>
      </c>
      <c r="BL205" s="35"/>
      <c r="BM205" s="35">
        <f t="shared" si="38"/>
        <v>0</v>
      </c>
      <c r="BN205" s="54" t="s">
        <v>347</v>
      </c>
    </row>
    <row r="206" spans="1:74" hidden="1">
      <c r="A206" s="35" t="s">
        <v>245</v>
      </c>
      <c r="C206" s="35" t="s">
        <v>110</v>
      </c>
      <c r="D206" s="35"/>
      <c r="E206" s="35">
        <f t="shared" si="41"/>
        <v>0</v>
      </c>
      <c r="F206" s="35"/>
      <c r="G206" s="35">
        <v>0</v>
      </c>
      <c r="H206" s="35"/>
      <c r="I206" s="35">
        <v>0</v>
      </c>
      <c r="J206" s="35"/>
      <c r="K206" s="35">
        <f t="shared" si="42"/>
        <v>0</v>
      </c>
      <c r="L206" s="35"/>
      <c r="M206" s="35">
        <v>0</v>
      </c>
      <c r="N206" s="35"/>
      <c r="O206" s="35">
        <v>0</v>
      </c>
      <c r="P206" s="35"/>
      <c r="Q206" s="35">
        <v>0</v>
      </c>
      <c r="R206" s="35"/>
      <c r="S206" s="35">
        <v>0</v>
      </c>
      <c r="T206" s="35"/>
      <c r="U206" s="35">
        <v>0</v>
      </c>
      <c r="V206" s="35"/>
      <c r="W206" s="35">
        <f t="shared" si="40"/>
        <v>0</v>
      </c>
      <c r="X206" s="35"/>
      <c r="Y206" s="35" t="s">
        <v>245</v>
      </c>
      <c r="Z206" s="55"/>
      <c r="AA206" s="35" t="s">
        <v>110</v>
      </c>
      <c r="AB206" s="35"/>
      <c r="AC206" s="35">
        <v>0</v>
      </c>
      <c r="AD206" s="35"/>
      <c r="AE206" s="35">
        <v>0</v>
      </c>
      <c r="AF206" s="35"/>
      <c r="AG206" s="35">
        <v>0</v>
      </c>
      <c r="AH206" s="35"/>
      <c r="AI206" s="45">
        <f t="shared" si="43"/>
        <v>0</v>
      </c>
      <c r="AJ206" s="45"/>
      <c r="AK206" s="35">
        <v>0</v>
      </c>
      <c r="AL206" s="35"/>
      <c r="AM206" s="35">
        <v>0</v>
      </c>
      <c r="AN206" s="35"/>
      <c r="AO206" s="35">
        <v>0</v>
      </c>
      <c r="AP206" s="35"/>
      <c r="AQ206" s="35">
        <v>0</v>
      </c>
      <c r="AR206" s="35"/>
      <c r="AS206" s="45">
        <f t="shared" si="36"/>
        <v>0</v>
      </c>
      <c r="AT206" s="45"/>
      <c r="AU206" s="35">
        <v>0</v>
      </c>
      <c r="AV206" s="35"/>
      <c r="AW206" s="35">
        <v>0</v>
      </c>
      <c r="AX206" s="35"/>
      <c r="AY206" s="35">
        <f t="shared" si="37"/>
        <v>0</v>
      </c>
      <c r="AZ206" s="35"/>
      <c r="BA206" s="35" t="s">
        <v>245</v>
      </c>
      <c r="BB206" s="55"/>
      <c r="BC206" s="35" t="s">
        <v>110</v>
      </c>
      <c r="BD206" s="35"/>
      <c r="BE206" s="35">
        <v>0</v>
      </c>
      <c r="BF206" s="35"/>
      <c r="BG206" s="35">
        <v>0</v>
      </c>
      <c r="BH206" s="35"/>
      <c r="BI206" s="35">
        <v>0</v>
      </c>
      <c r="BJ206" s="35"/>
      <c r="BK206" s="35">
        <v>0</v>
      </c>
      <c r="BL206" s="35"/>
      <c r="BM206" s="35">
        <f t="shared" si="38"/>
        <v>0</v>
      </c>
      <c r="BN206" s="54" t="s">
        <v>347</v>
      </c>
    </row>
    <row r="207" spans="1:74">
      <c r="A207" s="35" t="s">
        <v>246</v>
      </c>
      <c r="C207" s="35" t="s">
        <v>209</v>
      </c>
      <c r="D207" s="35"/>
      <c r="E207" s="35">
        <f t="shared" si="41"/>
        <v>94599</v>
      </c>
      <c r="F207" s="35"/>
      <c r="G207" s="35">
        <v>0</v>
      </c>
      <c r="H207" s="35"/>
      <c r="I207" s="35">
        <v>94599</v>
      </c>
      <c r="J207" s="35"/>
      <c r="K207" s="35">
        <f t="shared" si="42"/>
        <v>60583</v>
      </c>
      <c r="L207" s="35"/>
      <c r="M207" s="35">
        <v>0</v>
      </c>
      <c r="N207" s="35"/>
      <c r="O207" s="35">
        <v>60583</v>
      </c>
      <c r="P207" s="35"/>
      <c r="Q207" s="35">
        <v>0</v>
      </c>
      <c r="R207" s="35"/>
      <c r="S207" s="35">
        <v>0</v>
      </c>
      <c r="T207" s="35"/>
      <c r="U207" s="35">
        <v>34016</v>
      </c>
      <c r="V207" s="35"/>
      <c r="W207" s="35">
        <f t="shared" si="40"/>
        <v>34016</v>
      </c>
      <c r="X207" s="35"/>
      <c r="Y207" s="35" t="s">
        <v>246</v>
      </c>
      <c r="Z207" s="55"/>
      <c r="AA207" s="35" t="s">
        <v>209</v>
      </c>
      <c r="AB207" s="35"/>
      <c r="AC207" s="35">
        <v>738911</v>
      </c>
      <c r="AD207" s="35"/>
      <c r="AE207" s="35">
        <v>741101</v>
      </c>
      <c r="AF207" s="35"/>
      <c r="AG207" s="35">
        <v>0</v>
      </c>
      <c r="AH207" s="35"/>
      <c r="AI207" s="45">
        <f t="shared" si="43"/>
        <v>-2190</v>
      </c>
      <c r="AJ207" s="45"/>
      <c r="AK207" s="35">
        <v>0</v>
      </c>
      <c r="AL207" s="35"/>
      <c r="AM207" s="35">
        <v>0</v>
      </c>
      <c r="AN207" s="35"/>
      <c r="AO207" s="35">
        <v>0</v>
      </c>
      <c r="AP207" s="35"/>
      <c r="AQ207" s="35">
        <v>0</v>
      </c>
      <c r="AR207" s="35"/>
      <c r="AS207" s="45">
        <f t="shared" si="36"/>
        <v>-2190</v>
      </c>
      <c r="AT207" s="45"/>
      <c r="AU207" s="35">
        <v>0</v>
      </c>
      <c r="AV207" s="35"/>
      <c r="AW207" s="35">
        <v>0</v>
      </c>
      <c r="AX207" s="35"/>
      <c r="AY207" s="35">
        <f t="shared" si="37"/>
        <v>34016</v>
      </c>
      <c r="AZ207" s="35"/>
      <c r="BA207" s="35" t="s">
        <v>246</v>
      </c>
      <c r="BB207" s="55"/>
      <c r="BC207" s="35" t="s">
        <v>209</v>
      </c>
      <c r="BD207" s="35"/>
      <c r="BE207" s="35">
        <v>0</v>
      </c>
      <c r="BF207" s="35"/>
      <c r="BG207" s="35">
        <v>0</v>
      </c>
      <c r="BH207" s="35"/>
      <c r="BI207" s="35">
        <v>0</v>
      </c>
      <c r="BJ207" s="35"/>
      <c r="BK207" s="35">
        <v>0</v>
      </c>
      <c r="BL207" s="35"/>
      <c r="BM207" s="35">
        <v>0</v>
      </c>
      <c r="BN207" s="54" t="s">
        <v>347</v>
      </c>
      <c r="BO207" s="55" t="s">
        <v>315</v>
      </c>
    </row>
    <row r="208" spans="1:74" ht="12" hidden="1">
      <c r="A208" s="35" t="s">
        <v>247</v>
      </c>
      <c r="B208" s="55"/>
      <c r="C208" s="35" t="s">
        <v>163</v>
      </c>
      <c r="D208" s="35"/>
      <c r="E208" s="35">
        <f t="shared" si="41"/>
        <v>0</v>
      </c>
      <c r="F208" s="35"/>
      <c r="G208" s="35">
        <v>0</v>
      </c>
      <c r="H208" s="35"/>
      <c r="I208" s="35">
        <v>0</v>
      </c>
      <c r="J208" s="35"/>
      <c r="K208" s="35">
        <f t="shared" si="42"/>
        <v>0</v>
      </c>
      <c r="L208" s="35"/>
      <c r="M208" s="35">
        <v>0</v>
      </c>
      <c r="N208" s="35"/>
      <c r="O208" s="35">
        <v>0</v>
      </c>
      <c r="P208" s="35"/>
      <c r="Q208" s="35">
        <v>0</v>
      </c>
      <c r="R208" s="35"/>
      <c r="S208" s="35">
        <v>0</v>
      </c>
      <c r="T208" s="35"/>
      <c r="U208" s="35">
        <v>0</v>
      </c>
      <c r="V208" s="35"/>
      <c r="W208" s="35">
        <f t="shared" si="40"/>
        <v>0</v>
      </c>
      <c r="X208" s="35"/>
      <c r="Y208" s="35" t="s">
        <v>247</v>
      </c>
      <c r="Z208" s="55"/>
      <c r="AA208" s="35" t="s">
        <v>163</v>
      </c>
      <c r="AB208" s="35"/>
      <c r="AC208" s="35">
        <v>0</v>
      </c>
      <c r="AD208" s="35"/>
      <c r="AE208" s="35">
        <v>0</v>
      </c>
      <c r="AF208" s="35"/>
      <c r="AG208" s="35">
        <v>0</v>
      </c>
      <c r="AH208" s="35"/>
      <c r="AI208" s="45">
        <f t="shared" si="43"/>
        <v>0</v>
      </c>
      <c r="AJ208" s="45"/>
      <c r="AK208" s="35">
        <v>0</v>
      </c>
      <c r="AL208" s="35"/>
      <c r="AM208" s="35">
        <v>0</v>
      </c>
      <c r="AN208" s="35"/>
      <c r="AO208" s="35">
        <v>0</v>
      </c>
      <c r="AP208" s="35"/>
      <c r="AQ208" s="35">
        <v>0</v>
      </c>
      <c r="AR208" s="35"/>
      <c r="AS208" s="45">
        <f t="shared" si="36"/>
        <v>0</v>
      </c>
      <c r="AT208" s="45"/>
      <c r="AU208" s="35">
        <v>0</v>
      </c>
      <c r="AV208" s="35"/>
      <c r="AW208" s="35">
        <v>0</v>
      </c>
      <c r="AX208" s="35"/>
      <c r="AY208" s="35">
        <f t="shared" si="37"/>
        <v>0</v>
      </c>
      <c r="AZ208" s="35"/>
      <c r="BA208" s="35" t="s">
        <v>247</v>
      </c>
      <c r="BB208" s="55"/>
      <c r="BC208" s="35" t="s">
        <v>163</v>
      </c>
      <c r="BD208" s="35"/>
      <c r="BE208" s="35">
        <v>0</v>
      </c>
      <c r="BF208" s="35"/>
      <c r="BG208" s="35">
        <v>0</v>
      </c>
      <c r="BH208" s="35"/>
      <c r="BI208" s="35">
        <v>0</v>
      </c>
      <c r="BJ208" s="35"/>
      <c r="BK208" s="35">
        <v>0</v>
      </c>
      <c r="BL208" s="35"/>
      <c r="BM208" s="35">
        <f t="shared" si="38"/>
        <v>0</v>
      </c>
      <c r="BN208" s="54" t="s">
        <v>347</v>
      </c>
    </row>
    <row r="209" spans="1:66" ht="12">
      <c r="A209" s="35" t="s">
        <v>248</v>
      </c>
      <c r="B209" s="55"/>
      <c r="C209" s="35" t="s">
        <v>249</v>
      </c>
      <c r="D209" s="35"/>
      <c r="E209" s="35">
        <f t="shared" si="41"/>
        <v>138343</v>
      </c>
      <c r="F209" s="35"/>
      <c r="G209" s="35">
        <v>195338</v>
      </c>
      <c r="H209" s="35"/>
      <c r="I209" s="35">
        <v>333681</v>
      </c>
      <c r="J209" s="35"/>
      <c r="K209" s="35">
        <f t="shared" si="42"/>
        <v>12745</v>
      </c>
      <c r="L209" s="35"/>
      <c r="M209" s="35">
        <v>27515</v>
      </c>
      <c r="N209" s="35"/>
      <c r="O209" s="35">
        <v>40260</v>
      </c>
      <c r="P209" s="35"/>
      <c r="Q209" s="35">
        <v>195339</v>
      </c>
      <c r="R209" s="35"/>
      <c r="S209" s="35">
        <v>0</v>
      </c>
      <c r="T209" s="35"/>
      <c r="U209" s="35">
        <v>98082</v>
      </c>
      <c r="V209" s="35"/>
      <c r="W209" s="35">
        <f t="shared" si="40"/>
        <v>293421</v>
      </c>
      <c r="X209" s="35"/>
      <c r="Y209" s="35" t="s">
        <v>248</v>
      </c>
      <c r="Z209" s="55"/>
      <c r="AA209" s="35" t="s">
        <v>249</v>
      </c>
      <c r="AB209" s="35"/>
      <c r="AC209" s="35">
        <v>382285</v>
      </c>
      <c r="AD209" s="35"/>
      <c r="AE209" s="35">
        <f>484739-17663</f>
        <v>467076</v>
      </c>
      <c r="AF209" s="35"/>
      <c r="AG209" s="35">
        <v>17663</v>
      </c>
      <c r="AH209" s="35"/>
      <c r="AI209" s="45">
        <f t="shared" si="43"/>
        <v>-102454</v>
      </c>
      <c r="AJ209" s="45"/>
      <c r="AK209" s="35">
        <v>0</v>
      </c>
      <c r="AL209" s="35"/>
      <c r="AM209" s="35">
        <v>0</v>
      </c>
      <c r="AN209" s="35"/>
      <c r="AO209" s="35">
        <v>0</v>
      </c>
      <c r="AP209" s="35"/>
      <c r="AQ209" s="35">
        <v>0</v>
      </c>
      <c r="AR209" s="35"/>
      <c r="AS209" s="45">
        <f t="shared" si="36"/>
        <v>-102454</v>
      </c>
      <c r="AT209" s="45"/>
      <c r="AU209" s="35">
        <v>0</v>
      </c>
      <c r="AV209" s="35"/>
      <c r="AW209" s="35">
        <v>0</v>
      </c>
      <c r="AX209" s="35"/>
      <c r="AY209" s="35">
        <f t="shared" si="37"/>
        <v>125598</v>
      </c>
      <c r="AZ209" s="35"/>
      <c r="BA209" s="35" t="s">
        <v>248</v>
      </c>
      <c r="BB209" s="55"/>
      <c r="BC209" s="35" t="s">
        <v>249</v>
      </c>
      <c r="BD209" s="35"/>
      <c r="BE209" s="35">
        <v>0</v>
      </c>
      <c r="BF209" s="35"/>
      <c r="BG209" s="35">
        <v>0</v>
      </c>
      <c r="BH209" s="35"/>
      <c r="BI209" s="35">
        <v>0</v>
      </c>
      <c r="BJ209" s="35"/>
      <c r="BK209" s="35">
        <f>27515+4883</f>
        <v>32398</v>
      </c>
      <c r="BL209" s="35"/>
      <c r="BM209" s="35">
        <f t="shared" si="38"/>
        <v>32398</v>
      </c>
      <c r="BN209" s="54"/>
    </row>
    <row r="210" spans="1:66">
      <c r="A210" s="35" t="s">
        <v>250</v>
      </c>
      <c r="C210" s="35" t="s">
        <v>103</v>
      </c>
      <c r="D210" s="35"/>
      <c r="E210" s="35">
        <f t="shared" si="41"/>
        <v>262355</v>
      </c>
      <c r="F210" s="35"/>
      <c r="G210" s="35">
        <v>3336</v>
      </c>
      <c r="H210" s="35"/>
      <c r="I210" s="35">
        <v>265691</v>
      </c>
      <c r="J210" s="35"/>
      <c r="K210" s="35">
        <f t="shared" si="42"/>
        <v>93745</v>
      </c>
      <c r="L210" s="35"/>
      <c r="M210" s="35">
        <v>16402</v>
      </c>
      <c r="N210" s="35"/>
      <c r="O210" s="35">
        <v>110147</v>
      </c>
      <c r="P210" s="35"/>
      <c r="Q210" s="35">
        <v>-24395</v>
      </c>
      <c r="R210" s="35"/>
      <c r="S210" s="35">
        <v>179939</v>
      </c>
      <c r="T210" s="35"/>
      <c r="U210" s="35">
        <v>0</v>
      </c>
      <c r="V210" s="35"/>
      <c r="W210" s="35">
        <f t="shared" si="40"/>
        <v>155544</v>
      </c>
      <c r="X210" s="35"/>
      <c r="Y210" s="35" t="s">
        <v>250</v>
      </c>
      <c r="Z210" s="55"/>
      <c r="AA210" s="35" t="s">
        <v>103</v>
      </c>
      <c r="AB210" s="35"/>
      <c r="AC210" s="35">
        <v>861301</v>
      </c>
      <c r="AD210" s="35"/>
      <c r="AE210" s="35">
        <f>905583-833</f>
        <v>904750</v>
      </c>
      <c r="AF210" s="35"/>
      <c r="AG210" s="35">
        <v>833</v>
      </c>
      <c r="AH210" s="35"/>
      <c r="AI210" s="45">
        <f t="shared" si="43"/>
        <v>-44282</v>
      </c>
      <c r="AJ210" s="45"/>
      <c r="AK210" s="35">
        <v>-1259</v>
      </c>
      <c r="AL210" s="35"/>
      <c r="AM210" s="35">
        <v>2630</v>
      </c>
      <c r="AN210" s="35"/>
      <c r="AO210" s="35">
        <v>5000</v>
      </c>
      <c r="AP210" s="35"/>
      <c r="AQ210" s="35">
        <v>0</v>
      </c>
      <c r="AR210" s="35"/>
      <c r="AS210" s="45">
        <f t="shared" si="36"/>
        <v>-47911</v>
      </c>
      <c r="AT210" s="45"/>
      <c r="AU210" s="35">
        <v>0</v>
      </c>
      <c r="AV210" s="35"/>
      <c r="AW210" s="35">
        <v>0</v>
      </c>
      <c r="AX210" s="35"/>
      <c r="AY210" s="35">
        <f t="shared" si="37"/>
        <v>168610</v>
      </c>
      <c r="AZ210" s="35"/>
      <c r="BA210" s="35" t="s">
        <v>250</v>
      </c>
      <c r="BB210" s="55"/>
      <c r="BC210" s="35" t="s">
        <v>103</v>
      </c>
      <c r="BD210" s="35"/>
      <c r="BE210" s="35">
        <v>6731</v>
      </c>
      <c r="BF210" s="35"/>
      <c r="BG210" s="35">
        <v>0</v>
      </c>
      <c r="BH210" s="35"/>
      <c r="BI210" s="35">
        <v>0</v>
      </c>
      <c r="BJ210" s="35"/>
      <c r="BK210" s="35">
        <f>6486+16402</f>
        <v>22888</v>
      </c>
      <c r="BL210" s="35"/>
      <c r="BM210" s="35">
        <f t="shared" si="38"/>
        <v>29619</v>
      </c>
      <c r="BN210" s="54" t="s">
        <v>347</v>
      </c>
    </row>
    <row r="211" spans="1:66">
      <c r="A211" s="35" t="s">
        <v>251</v>
      </c>
      <c r="C211" s="35" t="s">
        <v>66</v>
      </c>
      <c r="D211" s="35"/>
      <c r="E211" s="35">
        <f t="shared" si="41"/>
        <v>940682</v>
      </c>
      <c r="F211" s="35"/>
      <c r="G211" s="35">
        <v>0</v>
      </c>
      <c r="H211" s="35"/>
      <c r="I211" s="35">
        <v>940682</v>
      </c>
      <c r="J211" s="35"/>
      <c r="K211" s="35">
        <f t="shared" si="42"/>
        <v>441604</v>
      </c>
      <c r="L211" s="35"/>
      <c r="M211" s="35">
        <v>2332</v>
      </c>
      <c r="N211" s="35"/>
      <c r="O211" s="35">
        <v>443936</v>
      </c>
      <c r="P211" s="35"/>
      <c r="Q211" s="35">
        <v>0</v>
      </c>
      <c r="R211" s="35"/>
      <c r="S211" s="35">
        <v>0</v>
      </c>
      <c r="T211" s="35"/>
      <c r="U211" s="35">
        <v>496746</v>
      </c>
      <c r="V211" s="35"/>
      <c r="W211" s="35">
        <f t="shared" si="40"/>
        <v>496746</v>
      </c>
      <c r="X211" s="35"/>
      <c r="Y211" s="35" t="s">
        <v>251</v>
      </c>
      <c r="Z211" s="55"/>
      <c r="AA211" s="35" t="s">
        <v>66</v>
      </c>
      <c r="AB211" s="35"/>
      <c r="AC211" s="35">
        <v>1474799</v>
      </c>
      <c r="AD211" s="35"/>
      <c r="AE211" s="35">
        <v>1448058</v>
      </c>
      <c r="AF211" s="35"/>
      <c r="AG211" s="35">
        <v>0</v>
      </c>
      <c r="AH211" s="35"/>
      <c r="AI211" s="45">
        <f t="shared" si="43"/>
        <v>26741</v>
      </c>
      <c r="AJ211" s="45"/>
      <c r="AK211" s="35">
        <v>131</v>
      </c>
      <c r="AL211" s="35"/>
      <c r="AM211" s="35">
        <v>0</v>
      </c>
      <c r="AN211" s="35"/>
      <c r="AO211" s="35">
        <v>0</v>
      </c>
      <c r="AP211" s="35"/>
      <c r="AQ211" s="35">
        <v>0</v>
      </c>
      <c r="AR211" s="35"/>
      <c r="AS211" s="45">
        <f t="shared" si="36"/>
        <v>26872</v>
      </c>
      <c r="AT211" s="45"/>
      <c r="AU211" s="35">
        <v>0</v>
      </c>
      <c r="AV211" s="35"/>
      <c r="AW211" s="35">
        <v>0</v>
      </c>
      <c r="AX211" s="35"/>
      <c r="AY211" s="35">
        <f t="shared" si="37"/>
        <v>499078</v>
      </c>
      <c r="AZ211" s="35"/>
      <c r="BA211" s="35" t="s">
        <v>251</v>
      </c>
      <c r="BB211" s="55"/>
      <c r="BC211" s="35" t="s">
        <v>66</v>
      </c>
      <c r="BD211" s="35"/>
      <c r="BE211" s="35">
        <v>0</v>
      </c>
      <c r="BF211" s="35"/>
      <c r="BG211" s="35">
        <v>0</v>
      </c>
      <c r="BH211" s="35"/>
      <c r="BI211" s="35">
        <v>0</v>
      </c>
      <c r="BJ211" s="35"/>
      <c r="BK211" s="35">
        <f>2332+953</f>
        <v>3285</v>
      </c>
      <c r="BL211" s="35"/>
      <c r="BM211" s="35">
        <f t="shared" si="38"/>
        <v>3285</v>
      </c>
      <c r="BN211" s="54" t="s">
        <v>347</v>
      </c>
    </row>
    <row r="212" spans="1:66" hidden="1">
      <c r="A212" s="35" t="s">
        <v>252</v>
      </c>
      <c r="C212" s="35" t="s">
        <v>209</v>
      </c>
      <c r="D212" s="35"/>
      <c r="E212" s="35">
        <f t="shared" si="41"/>
        <v>0</v>
      </c>
      <c r="F212" s="35"/>
      <c r="G212" s="35">
        <v>0</v>
      </c>
      <c r="H212" s="35"/>
      <c r="I212" s="35">
        <v>0</v>
      </c>
      <c r="J212" s="35"/>
      <c r="K212" s="35">
        <f t="shared" si="42"/>
        <v>0</v>
      </c>
      <c r="L212" s="35"/>
      <c r="M212" s="35">
        <v>0</v>
      </c>
      <c r="N212" s="35"/>
      <c r="O212" s="35">
        <v>0</v>
      </c>
      <c r="P212" s="35"/>
      <c r="Q212" s="35">
        <v>0</v>
      </c>
      <c r="R212" s="35"/>
      <c r="S212" s="35">
        <v>0</v>
      </c>
      <c r="T212" s="35"/>
      <c r="U212" s="35">
        <v>0</v>
      </c>
      <c r="V212" s="35"/>
      <c r="W212" s="35">
        <f t="shared" si="40"/>
        <v>0</v>
      </c>
      <c r="X212" s="35"/>
      <c r="Y212" s="35" t="s">
        <v>252</v>
      </c>
      <c r="Z212" s="55"/>
      <c r="AA212" s="35" t="s">
        <v>209</v>
      </c>
      <c r="AB212" s="35"/>
      <c r="AC212" s="35">
        <v>0</v>
      </c>
      <c r="AD212" s="35"/>
      <c r="AE212" s="35">
        <v>0</v>
      </c>
      <c r="AF212" s="35"/>
      <c r="AG212" s="35">
        <v>0</v>
      </c>
      <c r="AH212" s="35"/>
      <c r="AI212" s="45">
        <f t="shared" si="43"/>
        <v>0</v>
      </c>
      <c r="AJ212" s="45"/>
      <c r="AK212" s="35">
        <v>0</v>
      </c>
      <c r="AL212" s="35"/>
      <c r="AM212" s="35">
        <v>0</v>
      </c>
      <c r="AN212" s="35"/>
      <c r="AO212" s="35">
        <v>0</v>
      </c>
      <c r="AP212" s="35"/>
      <c r="AQ212" s="35">
        <v>0</v>
      </c>
      <c r="AR212" s="35"/>
      <c r="AS212" s="45">
        <f t="shared" si="36"/>
        <v>0</v>
      </c>
      <c r="AT212" s="45"/>
      <c r="AU212" s="35">
        <v>0</v>
      </c>
      <c r="AV212" s="35"/>
      <c r="AW212" s="35">
        <v>0</v>
      </c>
      <c r="AX212" s="35"/>
      <c r="AY212" s="35">
        <f t="shared" si="37"/>
        <v>0</v>
      </c>
      <c r="AZ212" s="35"/>
      <c r="BA212" s="35" t="s">
        <v>252</v>
      </c>
      <c r="BB212" s="55"/>
      <c r="BC212" s="35" t="s">
        <v>209</v>
      </c>
      <c r="BD212" s="35"/>
      <c r="BE212" s="35">
        <v>0</v>
      </c>
      <c r="BF212" s="35"/>
      <c r="BG212" s="35">
        <v>0</v>
      </c>
      <c r="BH212" s="35"/>
      <c r="BI212" s="35">
        <v>0</v>
      </c>
      <c r="BJ212" s="35"/>
      <c r="BK212" s="35">
        <v>0</v>
      </c>
      <c r="BL212" s="35"/>
      <c r="BM212" s="35">
        <f t="shared" si="38"/>
        <v>0</v>
      </c>
      <c r="BN212" s="54" t="s">
        <v>347</v>
      </c>
    </row>
    <row r="213" spans="1:66" hidden="1">
      <c r="A213" s="35" t="s">
        <v>253</v>
      </c>
      <c r="C213" s="35" t="s">
        <v>13</v>
      </c>
      <c r="D213" s="35"/>
      <c r="E213" s="35">
        <f t="shared" si="41"/>
        <v>0</v>
      </c>
      <c r="F213" s="35"/>
      <c r="G213" s="35">
        <v>0</v>
      </c>
      <c r="H213" s="35"/>
      <c r="I213" s="35">
        <v>0</v>
      </c>
      <c r="J213" s="35"/>
      <c r="K213" s="35">
        <f t="shared" si="42"/>
        <v>0</v>
      </c>
      <c r="L213" s="35"/>
      <c r="M213" s="35">
        <v>0</v>
      </c>
      <c r="N213" s="35"/>
      <c r="O213" s="35">
        <v>0</v>
      </c>
      <c r="P213" s="35"/>
      <c r="Q213" s="35">
        <v>0</v>
      </c>
      <c r="R213" s="35"/>
      <c r="S213" s="35">
        <v>0</v>
      </c>
      <c r="T213" s="35"/>
      <c r="U213" s="35">
        <v>0</v>
      </c>
      <c r="V213" s="35"/>
      <c r="W213" s="35">
        <f t="shared" si="40"/>
        <v>0</v>
      </c>
      <c r="X213" s="35"/>
      <c r="Y213" s="35" t="s">
        <v>253</v>
      </c>
      <c r="Z213" s="55"/>
      <c r="AA213" s="35" t="s">
        <v>13</v>
      </c>
      <c r="AB213" s="35"/>
      <c r="AC213" s="35">
        <v>0</v>
      </c>
      <c r="AD213" s="35"/>
      <c r="AE213" s="35">
        <v>0</v>
      </c>
      <c r="AF213" s="35"/>
      <c r="AG213" s="35">
        <v>0</v>
      </c>
      <c r="AH213" s="35"/>
      <c r="AI213" s="45">
        <f t="shared" si="43"/>
        <v>0</v>
      </c>
      <c r="AJ213" s="45"/>
      <c r="AK213" s="35">
        <v>0</v>
      </c>
      <c r="AL213" s="35"/>
      <c r="AM213" s="35">
        <v>0</v>
      </c>
      <c r="AN213" s="35"/>
      <c r="AO213" s="35">
        <v>0</v>
      </c>
      <c r="AP213" s="35"/>
      <c r="AQ213" s="35">
        <v>0</v>
      </c>
      <c r="AR213" s="35"/>
      <c r="AS213" s="45">
        <f t="shared" si="36"/>
        <v>0</v>
      </c>
      <c r="AT213" s="45"/>
      <c r="AU213" s="35">
        <v>0</v>
      </c>
      <c r="AV213" s="35"/>
      <c r="AW213" s="35">
        <v>0</v>
      </c>
      <c r="AX213" s="35"/>
      <c r="AY213" s="35">
        <f t="shared" si="37"/>
        <v>0</v>
      </c>
      <c r="AZ213" s="35"/>
      <c r="BA213" s="35" t="s">
        <v>253</v>
      </c>
      <c r="BB213" s="55"/>
      <c r="BC213" s="35" t="s">
        <v>13</v>
      </c>
      <c r="BD213" s="35"/>
      <c r="BE213" s="35">
        <v>0</v>
      </c>
      <c r="BF213" s="35"/>
      <c r="BG213" s="35">
        <v>0</v>
      </c>
      <c r="BH213" s="35"/>
      <c r="BI213" s="35">
        <v>0</v>
      </c>
      <c r="BJ213" s="35"/>
      <c r="BK213" s="35">
        <v>0</v>
      </c>
      <c r="BL213" s="35"/>
      <c r="BM213" s="35">
        <f t="shared" si="38"/>
        <v>0</v>
      </c>
      <c r="BN213" s="54" t="s">
        <v>347</v>
      </c>
    </row>
    <row r="214" spans="1:66" hidden="1">
      <c r="A214" s="35" t="s">
        <v>254</v>
      </c>
      <c r="C214" s="35" t="s">
        <v>89</v>
      </c>
      <c r="D214" s="35"/>
      <c r="E214" s="35">
        <f t="shared" si="41"/>
        <v>0</v>
      </c>
      <c r="F214" s="35"/>
      <c r="G214" s="35">
        <v>0</v>
      </c>
      <c r="H214" s="35"/>
      <c r="I214" s="35">
        <v>0</v>
      </c>
      <c r="J214" s="35"/>
      <c r="K214" s="35">
        <f t="shared" si="42"/>
        <v>0</v>
      </c>
      <c r="L214" s="35"/>
      <c r="M214" s="35">
        <v>0</v>
      </c>
      <c r="N214" s="35"/>
      <c r="O214" s="35">
        <v>0</v>
      </c>
      <c r="P214" s="35"/>
      <c r="Q214" s="35">
        <v>0</v>
      </c>
      <c r="R214" s="35"/>
      <c r="S214" s="35">
        <v>0</v>
      </c>
      <c r="T214" s="35"/>
      <c r="U214" s="35">
        <v>0</v>
      </c>
      <c r="V214" s="35"/>
      <c r="W214" s="35">
        <v>0</v>
      </c>
      <c r="X214" s="35"/>
      <c r="Y214" s="35" t="s">
        <v>254</v>
      </c>
      <c r="Z214" s="55"/>
      <c r="AA214" s="35" t="s">
        <v>89</v>
      </c>
      <c r="AB214" s="35"/>
      <c r="AC214" s="35">
        <v>0</v>
      </c>
      <c r="AD214" s="35"/>
      <c r="AE214" s="35">
        <v>0</v>
      </c>
      <c r="AF214" s="35"/>
      <c r="AG214" s="35">
        <v>0</v>
      </c>
      <c r="AH214" s="35"/>
      <c r="AI214" s="45">
        <f t="shared" si="43"/>
        <v>0</v>
      </c>
      <c r="AJ214" s="45"/>
      <c r="AK214" s="35">
        <v>0</v>
      </c>
      <c r="AL214" s="35"/>
      <c r="AM214" s="35">
        <v>0</v>
      </c>
      <c r="AN214" s="35"/>
      <c r="AO214" s="35">
        <v>0</v>
      </c>
      <c r="AP214" s="35"/>
      <c r="AQ214" s="35">
        <v>0</v>
      </c>
      <c r="AR214" s="35"/>
      <c r="AS214" s="45">
        <f t="shared" si="36"/>
        <v>0</v>
      </c>
      <c r="AT214" s="45"/>
      <c r="AU214" s="35">
        <v>0</v>
      </c>
      <c r="AV214" s="35"/>
      <c r="AW214" s="35">
        <v>0</v>
      </c>
      <c r="AX214" s="35"/>
      <c r="AY214" s="35">
        <f t="shared" si="37"/>
        <v>0</v>
      </c>
      <c r="AZ214" s="35"/>
      <c r="BA214" s="35" t="s">
        <v>254</v>
      </c>
      <c r="BB214" s="55"/>
      <c r="BC214" s="35" t="s">
        <v>89</v>
      </c>
      <c r="BD214" s="35"/>
      <c r="BE214" s="35">
        <v>0</v>
      </c>
      <c r="BF214" s="35"/>
      <c r="BG214" s="35">
        <v>0</v>
      </c>
      <c r="BH214" s="35"/>
      <c r="BI214" s="35">
        <v>0</v>
      </c>
      <c r="BJ214" s="35"/>
      <c r="BK214" s="35">
        <v>0</v>
      </c>
      <c r="BL214" s="35"/>
      <c r="BM214" s="35">
        <f t="shared" si="38"/>
        <v>0</v>
      </c>
      <c r="BN214" s="54" t="s">
        <v>347</v>
      </c>
    </row>
    <row r="215" spans="1:66" hidden="1">
      <c r="A215" s="35" t="s">
        <v>159</v>
      </c>
      <c r="C215" s="35" t="s">
        <v>66</v>
      </c>
      <c r="D215" s="35"/>
      <c r="E215" s="35">
        <f t="shared" si="41"/>
        <v>0</v>
      </c>
      <c r="F215" s="35"/>
      <c r="G215" s="35">
        <v>0</v>
      </c>
      <c r="H215" s="35"/>
      <c r="I215" s="35">
        <v>0</v>
      </c>
      <c r="J215" s="35"/>
      <c r="K215" s="35">
        <f t="shared" si="42"/>
        <v>0</v>
      </c>
      <c r="L215" s="35"/>
      <c r="M215" s="35">
        <v>0</v>
      </c>
      <c r="N215" s="35"/>
      <c r="O215" s="35">
        <v>0</v>
      </c>
      <c r="P215" s="35"/>
      <c r="Q215" s="35">
        <v>0</v>
      </c>
      <c r="R215" s="35"/>
      <c r="S215" s="35">
        <v>0</v>
      </c>
      <c r="T215" s="35"/>
      <c r="U215" s="35">
        <v>0</v>
      </c>
      <c r="V215" s="35"/>
      <c r="W215" s="35">
        <f t="shared" ref="W215:W227" si="44">SUM(Q215:U215)</f>
        <v>0</v>
      </c>
      <c r="X215" s="35"/>
      <c r="Y215" s="35" t="s">
        <v>159</v>
      </c>
      <c r="Z215" s="55"/>
      <c r="AA215" s="35" t="s">
        <v>66</v>
      </c>
      <c r="AB215" s="35"/>
      <c r="AC215" s="35">
        <v>0</v>
      </c>
      <c r="AD215" s="35"/>
      <c r="AE215" s="35">
        <v>0</v>
      </c>
      <c r="AF215" s="35"/>
      <c r="AG215" s="35">
        <v>0</v>
      </c>
      <c r="AH215" s="35"/>
      <c r="AI215" s="45">
        <f t="shared" si="43"/>
        <v>0</v>
      </c>
      <c r="AJ215" s="45"/>
      <c r="AK215" s="35">
        <v>0</v>
      </c>
      <c r="AL215" s="35"/>
      <c r="AM215" s="35">
        <v>0</v>
      </c>
      <c r="AN215" s="35"/>
      <c r="AO215" s="35">
        <v>0</v>
      </c>
      <c r="AP215" s="35"/>
      <c r="AQ215" s="35">
        <v>0</v>
      </c>
      <c r="AR215" s="35"/>
      <c r="AS215" s="45">
        <f t="shared" si="36"/>
        <v>0</v>
      </c>
      <c r="AT215" s="45"/>
      <c r="AU215" s="35">
        <v>0</v>
      </c>
      <c r="AV215" s="35"/>
      <c r="AW215" s="35">
        <v>0</v>
      </c>
      <c r="AX215" s="35"/>
      <c r="AY215" s="35">
        <f t="shared" si="37"/>
        <v>0</v>
      </c>
      <c r="AZ215" s="35"/>
      <c r="BA215" s="35" t="s">
        <v>159</v>
      </c>
      <c r="BB215" s="55"/>
      <c r="BC215" s="35" t="s">
        <v>66</v>
      </c>
      <c r="BD215" s="35"/>
      <c r="BE215" s="35">
        <v>0</v>
      </c>
      <c r="BF215" s="35"/>
      <c r="BG215" s="35">
        <v>0</v>
      </c>
      <c r="BH215" s="35"/>
      <c r="BI215" s="35">
        <v>0</v>
      </c>
      <c r="BJ215" s="35"/>
      <c r="BK215" s="35">
        <v>0</v>
      </c>
      <c r="BL215" s="35"/>
      <c r="BM215" s="35">
        <f t="shared" si="38"/>
        <v>0</v>
      </c>
      <c r="BN215" s="54" t="s">
        <v>347</v>
      </c>
    </row>
    <row r="216" spans="1:66" hidden="1">
      <c r="A216" s="35" t="s">
        <v>255</v>
      </c>
      <c r="C216" s="35" t="s">
        <v>27</v>
      </c>
      <c r="D216" s="35"/>
      <c r="E216" s="35">
        <f t="shared" si="41"/>
        <v>0</v>
      </c>
      <c r="F216" s="35"/>
      <c r="G216" s="35">
        <v>0</v>
      </c>
      <c r="H216" s="35"/>
      <c r="I216" s="35">
        <v>0</v>
      </c>
      <c r="J216" s="35"/>
      <c r="K216" s="35">
        <f t="shared" si="42"/>
        <v>0</v>
      </c>
      <c r="L216" s="35"/>
      <c r="M216" s="35">
        <v>0</v>
      </c>
      <c r="N216" s="35"/>
      <c r="O216" s="35">
        <v>0</v>
      </c>
      <c r="P216" s="35"/>
      <c r="Q216" s="35">
        <v>0</v>
      </c>
      <c r="R216" s="35"/>
      <c r="S216" s="35">
        <v>0</v>
      </c>
      <c r="T216" s="35"/>
      <c r="U216" s="35">
        <v>0</v>
      </c>
      <c r="V216" s="35"/>
      <c r="W216" s="35">
        <f t="shared" si="44"/>
        <v>0</v>
      </c>
      <c r="X216" s="35"/>
      <c r="Y216" s="35" t="s">
        <v>255</v>
      </c>
      <c r="Z216" s="55"/>
      <c r="AA216" s="35" t="s">
        <v>27</v>
      </c>
      <c r="AB216" s="35"/>
      <c r="AC216" s="35">
        <v>0</v>
      </c>
      <c r="AD216" s="35"/>
      <c r="AE216" s="35">
        <v>0</v>
      </c>
      <c r="AF216" s="35"/>
      <c r="AG216" s="35">
        <v>0</v>
      </c>
      <c r="AH216" s="35"/>
      <c r="AI216" s="45">
        <f t="shared" si="43"/>
        <v>0</v>
      </c>
      <c r="AJ216" s="45"/>
      <c r="AK216" s="35">
        <v>0</v>
      </c>
      <c r="AL216" s="35"/>
      <c r="AM216" s="35">
        <v>0</v>
      </c>
      <c r="AN216" s="35"/>
      <c r="AO216" s="35">
        <v>0</v>
      </c>
      <c r="AP216" s="35"/>
      <c r="AQ216" s="35">
        <v>0</v>
      </c>
      <c r="AR216" s="35"/>
      <c r="AS216" s="45">
        <f t="shared" si="36"/>
        <v>0</v>
      </c>
      <c r="AT216" s="45"/>
      <c r="AU216" s="35">
        <v>0</v>
      </c>
      <c r="AV216" s="35"/>
      <c r="AW216" s="35">
        <v>0</v>
      </c>
      <c r="AX216" s="35"/>
      <c r="AY216" s="35">
        <f t="shared" si="37"/>
        <v>0</v>
      </c>
      <c r="AZ216" s="35"/>
      <c r="BA216" s="35" t="s">
        <v>255</v>
      </c>
      <c r="BB216" s="55"/>
      <c r="BC216" s="35" t="s">
        <v>27</v>
      </c>
      <c r="BD216" s="35"/>
      <c r="BE216" s="35">
        <v>0</v>
      </c>
      <c r="BF216" s="35"/>
      <c r="BG216" s="35">
        <v>0</v>
      </c>
      <c r="BH216" s="35"/>
      <c r="BI216" s="35">
        <v>0</v>
      </c>
      <c r="BJ216" s="35"/>
      <c r="BK216" s="35">
        <v>0</v>
      </c>
      <c r="BL216" s="35"/>
      <c r="BM216" s="35">
        <f t="shared" si="38"/>
        <v>0</v>
      </c>
      <c r="BN216" s="54" t="s">
        <v>347</v>
      </c>
    </row>
    <row r="217" spans="1:66">
      <c r="A217" s="35" t="s">
        <v>256</v>
      </c>
      <c r="C217" s="35" t="s">
        <v>43</v>
      </c>
      <c r="D217" s="35"/>
      <c r="E217" s="35">
        <f t="shared" si="41"/>
        <v>122153</v>
      </c>
      <c r="F217" s="35"/>
      <c r="G217" s="35">
        <v>0</v>
      </c>
      <c r="H217" s="35"/>
      <c r="I217" s="35">
        <v>122153</v>
      </c>
      <c r="J217" s="35"/>
      <c r="K217" s="35">
        <f t="shared" si="42"/>
        <v>165960</v>
      </c>
      <c r="L217" s="35"/>
      <c r="M217" s="35">
        <v>0</v>
      </c>
      <c r="N217" s="35"/>
      <c r="O217" s="35">
        <v>165960</v>
      </c>
      <c r="P217" s="35"/>
      <c r="Q217" s="35">
        <v>0</v>
      </c>
      <c r="R217" s="35"/>
      <c r="S217" s="35">
        <v>0</v>
      </c>
      <c r="T217" s="35"/>
      <c r="U217" s="35">
        <v>-43807</v>
      </c>
      <c r="V217" s="35"/>
      <c r="W217" s="35">
        <f t="shared" si="44"/>
        <v>-43807</v>
      </c>
      <c r="X217" s="35"/>
      <c r="Y217" s="35" t="s">
        <v>256</v>
      </c>
      <c r="Z217" s="55"/>
      <c r="AA217" s="35" t="s">
        <v>43</v>
      </c>
      <c r="AB217" s="35"/>
      <c r="AC217" s="35">
        <v>1663863</v>
      </c>
      <c r="AD217" s="35"/>
      <c r="AE217" s="35">
        <v>1946147</v>
      </c>
      <c r="AF217" s="35"/>
      <c r="AG217" s="35">
        <v>0</v>
      </c>
      <c r="AH217" s="35"/>
      <c r="AI217" s="45">
        <f t="shared" si="43"/>
        <v>-282284</v>
      </c>
      <c r="AJ217" s="45"/>
      <c r="AK217" s="35">
        <v>-6258</v>
      </c>
      <c r="AL217" s="35"/>
      <c r="AM217" s="35">
        <v>153500</v>
      </c>
      <c r="AN217" s="35"/>
      <c r="AO217" s="35">
        <v>0</v>
      </c>
      <c r="AP217" s="35"/>
      <c r="AQ217" s="35">
        <v>0</v>
      </c>
      <c r="AR217" s="35"/>
      <c r="AS217" s="45">
        <f t="shared" si="36"/>
        <v>-135042</v>
      </c>
      <c r="AT217" s="45"/>
      <c r="AU217" s="35">
        <v>0</v>
      </c>
      <c r="AV217" s="35"/>
      <c r="AW217" s="35">
        <v>0</v>
      </c>
      <c r="AX217" s="35"/>
      <c r="AY217" s="35">
        <f t="shared" si="37"/>
        <v>-43807</v>
      </c>
      <c r="AZ217" s="35"/>
      <c r="BA217" s="35" t="s">
        <v>256</v>
      </c>
      <c r="BB217" s="55"/>
      <c r="BC217" s="35" t="s">
        <v>43</v>
      </c>
      <c r="BD217" s="35"/>
      <c r="BE217" s="35">
        <v>0</v>
      </c>
      <c r="BF217" s="35"/>
      <c r="BG217" s="35">
        <v>0</v>
      </c>
      <c r="BH217" s="35"/>
      <c r="BI217" s="35">
        <v>0</v>
      </c>
      <c r="BJ217" s="35"/>
      <c r="BK217" s="35">
        <v>0</v>
      </c>
      <c r="BL217" s="35"/>
      <c r="BM217" s="35">
        <f t="shared" si="38"/>
        <v>0</v>
      </c>
      <c r="BN217" s="54" t="s">
        <v>347</v>
      </c>
    </row>
    <row r="218" spans="1:66">
      <c r="A218" s="35" t="s">
        <v>257</v>
      </c>
      <c r="C218" s="35" t="s">
        <v>258</v>
      </c>
      <c r="D218" s="35"/>
      <c r="E218" s="35">
        <f t="shared" si="41"/>
        <v>286476</v>
      </c>
      <c r="F218" s="35"/>
      <c r="G218" s="35">
        <v>24275</v>
      </c>
      <c r="H218" s="35"/>
      <c r="I218" s="35">
        <v>310751</v>
      </c>
      <c r="J218" s="35"/>
      <c r="K218" s="35">
        <f t="shared" si="42"/>
        <v>56403</v>
      </c>
      <c r="L218" s="35"/>
      <c r="M218" s="35">
        <v>7762</v>
      </c>
      <c r="N218" s="35"/>
      <c r="O218" s="35">
        <v>64165</v>
      </c>
      <c r="P218" s="35"/>
      <c r="Q218" s="35">
        <v>24275</v>
      </c>
      <c r="R218" s="35"/>
      <c r="S218" s="35">
        <v>0</v>
      </c>
      <c r="T218" s="35"/>
      <c r="U218" s="35">
        <v>222311</v>
      </c>
      <c r="V218" s="35"/>
      <c r="W218" s="35">
        <f t="shared" si="44"/>
        <v>246586</v>
      </c>
      <c r="X218" s="35"/>
      <c r="Y218" s="35" t="s">
        <v>257</v>
      </c>
      <c r="Z218" s="55"/>
      <c r="AA218" s="35" t="s">
        <v>258</v>
      </c>
      <c r="AB218" s="35"/>
      <c r="AC218" s="35">
        <v>833423</v>
      </c>
      <c r="AD218" s="35"/>
      <c r="AE218" s="35">
        <f>692295-18432</f>
        <v>673863</v>
      </c>
      <c r="AF218" s="35"/>
      <c r="AG218" s="35">
        <v>18432</v>
      </c>
      <c r="AH218" s="35"/>
      <c r="AI218" s="45">
        <f t="shared" si="43"/>
        <v>141128</v>
      </c>
      <c r="AJ218" s="45"/>
      <c r="AK218" s="35">
        <v>616</v>
      </c>
      <c r="AL218" s="35"/>
      <c r="AM218" s="35">
        <v>0</v>
      </c>
      <c r="AN218" s="35"/>
      <c r="AO218" s="35">
        <v>0</v>
      </c>
      <c r="AP218" s="35"/>
      <c r="AQ218" s="35">
        <v>0</v>
      </c>
      <c r="AR218" s="35"/>
      <c r="AS218" s="45">
        <f t="shared" si="36"/>
        <v>141744</v>
      </c>
      <c r="AT218" s="45"/>
      <c r="AU218" s="35">
        <v>0</v>
      </c>
      <c r="AV218" s="35"/>
      <c r="AW218" s="35">
        <v>0</v>
      </c>
      <c r="AX218" s="35"/>
      <c r="AY218" s="35">
        <f t="shared" si="37"/>
        <v>230073</v>
      </c>
      <c r="AZ218" s="35"/>
      <c r="BA218" s="35" t="s">
        <v>257</v>
      </c>
      <c r="BB218" s="55"/>
      <c r="BC218" s="35" t="s">
        <v>258</v>
      </c>
      <c r="BD218" s="35"/>
      <c r="BE218" s="35">
        <v>0</v>
      </c>
      <c r="BF218" s="35"/>
      <c r="BG218" s="35">
        <v>0</v>
      </c>
      <c r="BH218" s="35"/>
      <c r="BI218" s="35">
        <v>0</v>
      </c>
      <c r="BJ218" s="35"/>
      <c r="BK218" s="35">
        <f>7762+10798</f>
        <v>18560</v>
      </c>
      <c r="BL218" s="35"/>
      <c r="BM218" s="35">
        <f t="shared" si="38"/>
        <v>18560</v>
      </c>
      <c r="BN218" s="54" t="s">
        <v>347</v>
      </c>
    </row>
    <row r="219" spans="1:66" hidden="1">
      <c r="A219" s="35" t="s">
        <v>259</v>
      </c>
      <c r="C219" s="35" t="s">
        <v>369</v>
      </c>
      <c r="D219" s="35"/>
      <c r="E219" s="35">
        <f t="shared" si="41"/>
        <v>0</v>
      </c>
      <c r="F219" s="35"/>
      <c r="G219" s="35">
        <v>0</v>
      </c>
      <c r="H219" s="35"/>
      <c r="I219" s="35">
        <v>0</v>
      </c>
      <c r="J219" s="35"/>
      <c r="K219" s="35">
        <f t="shared" si="42"/>
        <v>0</v>
      </c>
      <c r="L219" s="35"/>
      <c r="M219" s="35">
        <v>0</v>
      </c>
      <c r="N219" s="35"/>
      <c r="O219" s="35">
        <v>0</v>
      </c>
      <c r="P219" s="35"/>
      <c r="Q219" s="35">
        <v>0</v>
      </c>
      <c r="R219" s="35"/>
      <c r="S219" s="35">
        <v>0</v>
      </c>
      <c r="T219" s="35"/>
      <c r="U219" s="35">
        <v>0</v>
      </c>
      <c r="V219" s="35"/>
      <c r="W219" s="35">
        <f t="shared" si="44"/>
        <v>0</v>
      </c>
      <c r="X219" s="35"/>
      <c r="Y219" s="35" t="s">
        <v>259</v>
      </c>
      <c r="Z219" s="55"/>
      <c r="AA219" s="35" t="s">
        <v>369</v>
      </c>
      <c r="AB219" s="35"/>
      <c r="AC219" s="35">
        <v>0</v>
      </c>
      <c r="AD219" s="35"/>
      <c r="AE219" s="35">
        <v>0</v>
      </c>
      <c r="AF219" s="35"/>
      <c r="AG219" s="35">
        <v>0</v>
      </c>
      <c r="AH219" s="35"/>
      <c r="AI219" s="45">
        <f t="shared" si="43"/>
        <v>0</v>
      </c>
      <c r="AJ219" s="45"/>
      <c r="AK219" s="35">
        <v>0</v>
      </c>
      <c r="AL219" s="35"/>
      <c r="AM219" s="35">
        <v>0</v>
      </c>
      <c r="AN219" s="35"/>
      <c r="AO219" s="35">
        <v>0</v>
      </c>
      <c r="AP219" s="35"/>
      <c r="AQ219" s="35">
        <v>0</v>
      </c>
      <c r="AR219" s="35"/>
      <c r="AS219" s="45">
        <f t="shared" si="36"/>
        <v>0</v>
      </c>
      <c r="AT219" s="45"/>
      <c r="AU219" s="35">
        <v>0</v>
      </c>
      <c r="AV219" s="35"/>
      <c r="AW219" s="35">
        <v>0</v>
      </c>
      <c r="AX219" s="35"/>
      <c r="AY219" s="35">
        <f t="shared" si="37"/>
        <v>0</v>
      </c>
      <c r="AZ219" s="35"/>
      <c r="BA219" s="35" t="s">
        <v>259</v>
      </c>
      <c r="BB219" s="55"/>
      <c r="BC219" s="35" t="s">
        <v>369</v>
      </c>
      <c r="BD219" s="35"/>
      <c r="BE219" s="35">
        <v>0</v>
      </c>
      <c r="BF219" s="35"/>
      <c r="BG219" s="35">
        <v>0</v>
      </c>
      <c r="BH219" s="35"/>
      <c r="BI219" s="35">
        <v>0</v>
      </c>
      <c r="BJ219" s="35"/>
      <c r="BK219" s="35">
        <v>0</v>
      </c>
      <c r="BL219" s="35"/>
      <c r="BM219" s="35">
        <f t="shared" si="38"/>
        <v>0</v>
      </c>
      <c r="BN219" s="54" t="s">
        <v>347</v>
      </c>
    </row>
    <row r="220" spans="1:66" hidden="1">
      <c r="A220" s="35" t="s">
        <v>261</v>
      </c>
      <c r="C220" s="35" t="s">
        <v>66</v>
      </c>
      <c r="D220" s="35"/>
      <c r="E220" s="35">
        <f t="shared" si="41"/>
        <v>0</v>
      </c>
      <c r="F220" s="35"/>
      <c r="G220" s="35">
        <v>0</v>
      </c>
      <c r="H220" s="35"/>
      <c r="I220" s="35">
        <v>0</v>
      </c>
      <c r="J220" s="35"/>
      <c r="K220" s="35">
        <f t="shared" si="42"/>
        <v>0</v>
      </c>
      <c r="L220" s="35"/>
      <c r="M220" s="35">
        <v>0</v>
      </c>
      <c r="N220" s="35"/>
      <c r="O220" s="35">
        <v>0</v>
      </c>
      <c r="P220" s="35"/>
      <c r="Q220" s="35">
        <v>0</v>
      </c>
      <c r="R220" s="35"/>
      <c r="S220" s="35">
        <v>0</v>
      </c>
      <c r="T220" s="35"/>
      <c r="U220" s="35">
        <v>0</v>
      </c>
      <c r="V220" s="35"/>
      <c r="W220" s="35">
        <f t="shared" si="44"/>
        <v>0</v>
      </c>
      <c r="X220" s="35"/>
      <c r="Y220" s="35" t="s">
        <v>261</v>
      </c>
      <c r="Z220" s="55"/>
      <c r="AA220" s="35" t="s">
        <v>66</v>
      </c>
      <c r="AB220" s="35"/>
      <c r="AC220" s="35">
        <v>0</v>
      </c>
      <c r="AD220" s="35"/>
      <c r="AE220" s="35">
        <v>0</v>
      </c>
      <c r="AF220" s="35"/>
      <c r="AG220" s="35">
        <v>0</v>
      </c>
      <c r="AH220" s="35"/>
      <c r="AI220" s="45">
        <f t="shared" si="43"/>
        <v>0</v>
      </c>
      <c r="AJ220" s="45"/>
      <c r="AK220" s="35">
        <v>0</v>
      </c>
      <c r="AL220" s="35"/>
      <c r="AM220" s="35">
        <v>0</v>
      </c>
      <c r="AN220" s="35"/>
      <c r="AO220" s="35">
        <v>0</v>
      </c>
      <c r="AP220" s="35"/>
      <c r="AQ220" s="35">
        <v>0</v>
      </c>
      <c r="AR220" s="35"/>
      <c r="AS220" s="45">
        <f t="shared" si="36"/>
        <v>0</v>
      </c>
      <c r="AT220" s="45"/>
      <c r="AU220" s="35">
        <v>0</v>
      </c>
      <c r="AV220" s="35"/>
      <c r="AW220" s="35">
        <v>0</v>
      </c>
      <c r="AX220" s="35"/>
      <c r="AY220" s="35">
        <f t="shared" si="37"/>
        <v>0</v>
      </c>
      <c r="AZ220" s="35"/>
      <c r="BA220" s="35" t="s">
        <v>261</v>
      </c>
      <c r="BB220" s="55"/>
      <c r="BC220" s="35" t="s">
        <v>66</v>
      </c>
      <c r="BD220" s="35"/>
      <c r="BE220" s="35">
        <v>0</v>
      </c>
      <c r="BF220" s="35"/>
      <c r="BG220" s="35">
        <v>0</v>
      </c>
      <c r="BH220" s="35"/>
      <c r="BI220" s="35">
        <v>0</v>
      </c>
      <c r="BJ220" s="35"/>
      <c r="BK220" s="35">
        <v>0</v>
      </c>
      <c r="BL220" s="35"/>
      <c r="BM220" s="35">
        <f t="shared" si="38"/>
        <v>0</v>
      </c>
      <c r="BN220" s="54" t="s">
        <v>347</v>
      </c>
    </row>
    <row r="221" spans="1:66" hidden="1">
      <c r="A221" s="35" t="s">
        <v>262</v>
      </c>
      <c r="C221" s="35" t="s">
        <v>132</v>
      </c>
      <c r="D221" s="35"/>
      <c r="E221" s="35">
        <f t="shared" si="41"/>
        <v>0</v>
      </c>
      <c r="F221" s="35"/>
      <c r="G221" s="35">
        <v>0</v>
      </c>
      <c r="H221" s="35"/>
      <c r="I221" s="35">
        <v>0</v>
      </c>
      <c r="J221" s="35"/>
      <c r="K221" s="35">
        <f t="shared" si="42"/>
        <v>0</v>
      </c>
      <c r="L221" s="35"/>
      <c r="M221" s="35">
        <v>0</v>
      </c>
      <c r="N221" s="35"/>
      <c r="O221" s="35">
        <v>0</v>
      </c>
      <c r="P221" s="35"/>
      <c r="Q221" s="35">
        <v>0</v>
      </c>
      <c r="R221" s="35"/>
      <c r="S221" s="35">
        <v>0</v>
      </c>
      <c r="T221" s="35"/>
      <c r="U221" s="35">
        <v>0</v>
      </c>
      <c r="V221" s="35"/>
      <c r="W221" s="35">
        <f t="shared" si="44"/>
        <v>0</v>
      </c>
      <c r="X221" s="35"/>
      <c r="Y221" s="35" t="s">
        <v>262</v>
      </c>
      <c r="Z221" s="55"/>
      <c r="AA221" s="35" t="s">
        <v>132</v>
      </c>
      <c r="AB221" s="35"/>
      <c r="AC221" s="35">
        <v>0</v>
      </c>
      <c r="AD221" s="35"/>
      <c r="AE221" s="35">
        <v>0</v>
      </c>
      <c r="AF221" s="35"/>
      <c r="AG221" s="35">
        <v>0</v>
      </c>
      <c r="AH221" s="35"/>
      <c r="AI221" s="45">
        <f t="shared" si="43"/>
        <v>0</v>
      </c>
      <c r="AJ221" s="45"/>
      <c r="AK221" s="35">
        <v>0</v>
      </c>
      <c r="AL221" s="35"/>
      <c r="AM221" s="35">
        <v>0</v>
      </c>
      <c r="AN221" s="35"/>
      <c r="AO221" s="35">
        <v>0</v>
      </c>
      <c r="AP221" s="35"/>
      <c r="AQ221" s="35">
        <v>0</v>
      </c>
      <c r="AR221" s="35"/>
      <c r="AS221" s="45">
        <f t="shared" si="36"/>
        <v>0</v>
      </c>
      <c r="AT221" s="45"/>
      <c r="AU221" s="35">
        <v>0</v>
      </c>
      <c r="AV221" s="35"/>
      <c r="AW221" s="35">
        <v>0</v>
      </c>
      <c r="AX221" s="35"/>
      <c r="AY221" s="35">
        <f t="shared" si="37"/>
        <v>0</v>
      </c>
      <c r="AZ221" s="35"/>
      <c r="BA221" s="35" t="s">
        <v>262</v>
      </c>
      <c r="BB221" s="55"/>
      <c r="BC221" s="35" t="s">
        <v>132</v>
      </c>
      <c r="BD221" s="35"/>
      <c r="BE221" s="35">
        <v>0</v>
      </c>
      <c r="BF221" s="35"/>
      <c r="BG221" s="35">
        <v>0</v>
      </c>
      <c r="BH221" s="35"/>
      <c r="BI221" s="35">
        <v>0</v>
      </c>
      <c r="BJ221" s="35"/>
      <c r="BK221" s="35">
        <v>0</v>
      </c>
      <c r="BL221" s="35"/>
      <c r="BM221" s="35">
        <f t="shared" si="38"/>
        <v>0</v>
      </c>
      <c r="BN221" s="54" t="s">
        <v>347</v>
      </c>
    </row>
    <row r="222" spans="1:66" hidden="1">
      <c r="A222" s="35" t="s">
        <v>263</v>
      </c>
      <c r="C222" s="35" t="s">
        <v>53</v>
      </c>
      <c r="D222" s="35"/>
      <c r="E222" s="35">
        <f t="shared" si="41"/>
        <v>0</v>
      </c>
      <c r="F222" s="35"/>
      <c r="G222" s="35">
        <v>0</v>
      </c>
      <c r="H222" s="35"/>
      <c r="I222" s="35">
        <v>0</v>
      </c>
      <c r="J222" s="35"/>
      <c r="K222" s="35">
        <f t="shared" si="42"/>
        <v>0</v>
      </c>
      <c r="L222" s="35"/>
      <c r="M222" s="35">
        <v>0</v>
      </c>
      <c r="N222" s="35"/>
      <c r="O222" s="35">
        <v>0</v>
      </c>
      <c r="P222" s="35"/>
      <c r="Q222" s="35">
        <v>0</v>
      </c>
      <c r="R222" s="35"/>
      <c r="S222" s="35">
        <v>0</v>
      </c>
      <c r="T222" s="35"/>
      <c r="U222" s="35">
        <v>0</v>
      </c>
      <c r="V222" s="35"/>
      <c r="W222" s="35">
        <f t="shared" si="44"/>
        <v>0</v>
      </c>
      <c r="X222" s="35"/>
      <c r="Y222" s="35" t="s">
        <v>263</v>
      </c>
      <c r="Z222" s="55"/>
      <c r="AA222" s="35" t="s">
        <v>53</v>
      </c>
      <c r="AB222" s="35"/>
      <c r="AC222" s="35">
        <v>0</v>
      </c>
      <c r="AD222" s="35"/>
      <c r="AE222" s="35">
        <v>0</v>
      </c>
      <c r="AF222" s="35"/>
      <c r="AG222" s="35">
        <v>0</v>
      </c>
      <c r="AH222" s="35"/>
      <c r="AI222" s="45">
        <f t="shared" si="43"/>
        <v>0</v>
      </c>
      <c r="AJ222" s="45"/>
      <c r="AK222" s="35">
        <v>0</v>
      </c>
      <c r="AL222" s="35"/>
      <c r="AM222" s="35">
        <v>0</v>
      </c>
      <c r="AN222" s="35"/>
      <c r="AO222" s="35">
        <v>0</v>
      </c>
      <c r="AP222" s="35"/>
      <c r="AQ222" s="35">
        <v>0</v>
      </c>
      <c r="AR222" s="35"/>
      <c r="AS222" s="45">
        <f t="shared" si="36"/>
        <v>0</v>
      </c>
      <c r="AT222" s="45"/>
      <c r="AU222" s="35">
        <v>0</v>
      </c>
      <c r="AV222" s="35"/>
      <c r="AW222" s="35">
        <v>0</v>
      </c>
      <c r="AX222" s="35"/>
      <c r="AY222" s="35">
        <f t="shared" si="37"/>
        <v>0</v>
      </c>
      <c r="AZ222" s="35"/>
      <c r="BA222" s="35" t="s">
        <v>263</v>
      </c>
      <c r="BB222" s="55"/>
      <c r="BC222" s="35" t="s">
        <v>53</v>
      </c>
      <c r="BD222" s="35"/>
      <c r="BE222" s="35">
        <v>0</v>
      </c>
      <c r="BF222" s="35"/>
      <c r="BG222" s="35">
        <v>0</v>
      </c>
      <c r="BH222" s="35"/>
      <c r="BI222" s="35">
        <v>0</v>
      </c>
      <c r="BJ222" s="35"/>
      <c r="BK222" s="35">
        <v>0</v>
      </c>
      <c r="BL222" s="35"/>
      <c r="BM222" s="35">
        <f t="shared" si="38"/>
        <v>0</v>
      </c>
      <c r="BN222" s="54" t="s">
        <v>347</v>
      </c>
    </row>
    <row r="223" spans="1:66">
      <c r="A223" s="55" t="s">
        <v>263</v>
      </c>
      <c r="C223" s="55" t="s">
        <v>53</v>
      </c>
      <c r="E223" s="35">
        <f t="shared" si="41"/>
        <v>931343</v>
      </c>
      <c r="F223" s="35"/>
      <c r="G223" s="35">
        <v>583837</v>
      </c>
      <c r="H223" s="35"/>
      <c r="I223" s="35">
        <v>1515180</v>
      </c>
      <c r="J223" s="35"/>
      <c r="K223" s="35">
        <f t="shared" si="42"/>
        <v>340817</v>
      </c>
      <c r="L223" s="35"/>
      <c r="M223" s="35">
        <v>108297</v>
      </c>
      <c r="N223" s="35"/>
      <c r="O223" s="35">
        <v>449114</v>
      </c>
      <c r="P223" s="35"/>
      <c r="Q223" s="35">
        <v>583837</v>
      </c>
      <c r="R223" s="35"/>
      <c r="S223" s="35">
        <v>0</v>
      </c>
      <c r="T223" s="35"/>
      <c r="U223" s="35">
        <v>482229</v>
      </c>
      <c r="V223" s="35"/>
      <c r="W223" s="35">
        <f t="shared" si="44"/>
        <v>1066066</v>
      </c>
      <c r="Y223" s="55" t="s">
        <v>263</v>
      </c>
      <c r="Z223" s="55"/>
      <c r="AA223" s="55" t="s">
        <v>53</v>
      </c>
      <c r="AC223" s="35">
        <v>1984672</v>
      </c>
      <c r="AD223" s="35"/>
      <c r="AE223" s="35">
        <f>1950569-121105</f>
        <v>1829464</v>
      </c>
      <c r="AF223" s="35"/>
      <c r="AG223" s="35">
        <v>121105</v>
      </c>
      <c r="AH223" s="35"/>
      <c r="AI223" s="45">
        <f t="shared" si="43"/>
        <v>34103</v>
      </c>
      <c r="AJ223" s="45"/>
      <c r="AK223" s="35">
        <v>2914</v>
      </c>
      <c r="AL223" s="35"/>
      <c r="AM223" s="35">
        <v>0</v>
      </c>
      <c r="AN223" s="35"/>
      <c r="AO223" s="35">
        <v>0</v>
      </c>
      <c r="AP223" s="35"/>
      <c r="AQ223" s="35">
        <v>0</v>
      </c>
      <c r="AR223" s="35"/>
      <c r="AS223" s="45">
        <f t="shared" si="36"/>
        <v>37017</v>
      </c>
      <c r="AT223" s="45"/>
      <c r="AU223" s="35">
        <v>0</v>
      </c>
      <c r="AV223" s="35"/>
      <c r="AW223" s="35">
        <v>0</v>
      </c>
      <c r="AX223" s="35"/>
      <c r="AY223" s="35">
        <f t="shared" si="37"/>
        <v>590526</v>
      </c>
      <c r="AZ223" s="53"/>
      <c r="BA223" s="55" t="s">
        <v>263</v>
      </c>
      <c r="BB223" s="55"/>
      <c r="BC223" s="55" t="s">
        <v>53</v>
      </c>
      <c r="BE223" s="35">
        <v>0</v>
      </c>
      <c r="BF223" s="35"/>
      <c r="BG223" s="35">
        <v>0</v>
      </c>
      <c r="BH223" s="35"/>
      <c r="BI223" s="35">
        <v>0</v>
      </c>
      <c r="BJ223" s="35"/>
      <c r="BK223" s="35">
        <f>108297+20876</f>
        <v>129173</v>
      </c>
      <c r="BL223" s="35"/>
      <c r="BM223" s="35">
        <v>0</v>
      </c>
      <c r="BN223" s="35"/>
    </row>
    <row r="224" spans="1:66" ht="12">
      <c r="A224" s="35" t="s">
        <v>264</v>
      </c>
      <c r="B224" s="55"/>
      <c r="C224" s="35" t="s">
        <v>239</v>
      </c>
      <c r="D224" s="35"/>
      <c r="E224" s="35">
        <f t="shared" si="41"/>
        <v>520947</v>
      </c>
      <c r="F224" s="35"/>
      <c r="G224" s="35">
        <v>967489</v>
      </c>
      <c r="H224" s="35"/>
      <c r="I224" s="35">
        <v>1488436</v>
      </c>
      <c r="J224" s="35"/>
      <c r="K224" s="35">
        <f t="shared" si="42"/>
        <v>203187</v>
      </c>
      <c r="L224" s="35"/>
      <c r="M224" s="35">
        <v>1749231</v>
      </c>
      <c r="N224" s="35"/>
      <c r="O224" s="35">
        <v>1952418</v>
      </c>
      <c r="P224" s="35"/>
      <c r="Q224" s="35">
        <v>728053</v>
      </c>
      <c r="R224" s="35"/>
      <c r="S224" s="35">
        <v>0</v>
      </c>
      <c r="T224" s="35"/>
      <c r="U224" s="35">
        <v>-1192025</v>
      </c>
      <c r="V224" s="35"/>
      <c r="W224" s="35">
        <f t="shared" si="44"/>
        <v>-463972</v>
      </c>
      <c r="X224" s="35"/>
      <c r="Y224" s="35" t="s">
        <v>264</v>
      </c>
      <c r="Z224" s="55"/>
      <c r="AA224" s="35" t="s">
        <v>239</v>
      </c>
      <c r="AB224" s="35"/>
      <c r="AC224" s="35">
        <v>1087055</v>
      </c>
      <c r="AD224" s="35"/>
      <c r="AE224" s="35">
        <f>996659-39961</f>
        <v>956698</v>
      </c>
      <c r="AF224" s="35"/>
      <c r="AG224" s="35">
        <v>39961</v>
      </c>
      <c r="AH224" s="35"/>
      <c r="AI224" s="45">
        <f t="shared" si="43"/>
        <v>90396</v>
      </c>
      <c r="AJ224" s="45"/>
      <c r="AK224" s="35">
        <v>-8560</v>
      </c>
      <c r="AL224" s="35"/>
      <c r="AM224" s="35">
        <v>0</v>
      </c>
      <c r="AN224" s="35"/>
      <c r="AO224" s="35">
        <v>33189</v>
      </c>
      <c r="AP224" s="35"/>
      <c r="AQ224" s="35">
        <v>0</v>
      </c>
      <c r="AR224" s="35"/>
      <c r="AS224" s="45">
        <f t="shared" si="36"/>
        <v>48647</v>
      </c>
      <c r="AT224" s="45"/>
      <c r="AU224" s="35">
        <v>0</v>
      </c>
      <c r="AV224" s="35"/>
      <c r="AW224" s="35">
        <v>0</v>
      </c>
      <c r="AX224" s="35"/>
      <c r="AY224" s="35">
        <f t="shared" si="37"/>
        <v>317760</v>
      </c>
      <c r="AZ224" s="35"/>
      <c r="BA224" s="35" t="s">
        <v>264</v>
      </c>
      <c r="BB224" s="55"/>
      <c r="BC224" s="35" t="s">
        <v>239</v>
      </c>
      <c r="BD224" s="35"/>
      <c r="BE224" s="35">
        <f>23300+22600</f>
        <v>45900</v>
      </c>
      <c r="BF224" s="35"/>
      <c r="BG224" s="35">
        <v>0</v>
      </c>
      <c r="BH224" s="35"/>
      <c r="BI224" s="35">
        <f>142877+50659</f>
        <v>193536</v>
      </c>
      <c r="BJ224" s="35"/>
      <c r="BK224" s="35">
        <f>27427+1555627+12384+67274</f>
        <v>1662712</v>
      </c>
      <c r="BL224" s="35"/>
      <c r="BM224" s="35">
        <f t="shared" si="38"/>
        <v>1902148</v>
      </c>
      <c r="BN224" s="54" t="s">
        <v>347</v>
      </c>
    </row>
    <row r="225" spans="1:67">
      <c r="A225" s="35" t="s">
        <v>111</v>
      </c>
      <c r="C225" s="44" t="s">
        <v>80</v>
      </c>
      <c r="D225" s="44"/>
      <c r="E225" s="35">
        <f t="shared" si="41"/>
        <v>709308</v>
      </c>
      <c r="F225" s="35"/>
      <c r="G225" s="35">
        <v>291412</v>
      </c>
      <c r="H225" s="35"/>
      <c r="I225" s="35">
        <v>1000720</v>
      </c>
      <c r="J225" s="35"/>
      <c r="K225" s="35">
        <f t="shared" si="42"/>
        <v>100764</v>
      </c>
      <c r="L225" s="35"/>
      <c r="M225" s="35">
        <v>83607</v>
      </c>
      <c r="N225" s="35"/>
      <c r="O225" s="35">
        <v>184371</v>
      </c>
      <c r="P225" s="35"/>
      <c r="Q225" s="35">
        <v>291412</v>
      </c>
      <c r="R225" s="35"/>
      <c r="S225" s="35">
        <v>0</v>
      </c>
      <c r="T225" s="35"/>
      <c r="U225" s="35">
        <v>524937</v>
      </c>
      <c r="V225" s="35"/>
      <c r="W225" s="35">
        <f t="shared" si="44"/>
        <v>816349</v>
      </c>
      <c r="X225" s="35"/>
      <c r="Y225" s="35" t="s">
        <v>111</v>
      </c>
      <c r="Z225" s="55"/>
      <c r="AA225" s="44" t="s">
        <v>80</v>
      </c>
      <c r="AB225" s="44"/>
      <c r="AC225" s="35">
        <v>3170632</v>
      </c>
      <c r="AD225" s="35"/>
      <c r="AE225" s="35">
        <f>3135751-167947</f>
        <v>2967804</v>
      </c>
      <c r="AF225" s="35"/>
      <c r="AG225" s="35">
        <v>167947</v>
      </c>
      <c r="AH225" s="35"/>
      <c r="AI225" s="45">
        <f t="shared" si="43"/>
        <v>34881</v>
      </c>
      <c r="AJ225" s="45"/>
      <c r="AK225" s="35">
        <v>-4923</v>
      </c>
      <c r="AL225" s="35"/>
      <c r="AM225" s="35">
        <v>0</v>
      </c>
      <c r="AN225" s="35"/>
      <c r="AO225" s="35">
        <v>0</v>
      </c>
      <c r="AP225" s="35"/>
      <c r="AQ225" s="35">
        <v>0</v>
      </c>
      <c r="AR225" s="35"/>
      <c r="AS225" s="45">
        <f t="shared" si="36"/>
        <v>29958</v>
      </c>
      <c r="AT225" s="45"/>
      <c r="AU225" s="35">
        <v>0</v>
      </c>
      <c r="AV225" s="35"/>
      <c r="AW225" s="35">
        <v>0</v>
      </c>
      <c r="AX225" s="35"/>
      <c r="AY225" s="35">
        <f t="shared" si="37"/>
        <v>608544</v>
      </c>
      <c r="AZ225" s="35"/>
      <c r="BA225" s="35" t="s">
        <v>111</v>
      </c>
      <c r="BB225" s="55"/>
      <c r="BC225" s="44" t="s">
        <v>80</v>
      </c>
      <c r="BD225" s="44"/>
      <c r="BE225" s="35">
        <v>0</v>
      </c>
      <c r="BF225" s="35"/>
      <c r="BG225" s="35">
        <v>0</v>
      </c>
      <c r="BH225" s="35"/>
      <c r="BI225" s="35">
        <v>0</v>
      </c>
      <c r="BJ225" s="35"/>
      <c r="BK225" s="35">
        <f>83607+43932</f>
        <v>127539</v>
      </c>
      <c r="BL225" s="35"/>
      <c r="BM225" s="35">
        <f t="shared" si="38"/>
        <v>127539</v>
      </c>
      <c r="BN225" s="54" t="s">
        <v>347</v>
      </c>
    </row>
    <row r="226" spans="1:67" hidden="1">
      <c r="A226" s="35" t="s">
        <v>265</v>
      </c>
      <c r="C226" s="44" t="s">
        <v>27</v>
      </c>
      <c r="D226" s="44"/>
      <c r="E226" s="35">
        <f t="shared" si="41"/>
        <v>0</v>
      </c>
      <c r="F226" s="35"/>
      <c r="G226" s="35">
        <v>0</v>
      </c>
      <c r="H226" s="35"/>
      <c r="I226" s="35">
        <v>0</v>
      </c>
      <c r="J226" s="35"/>
      <c r="K226" s="35">
        <f t="shared" si="42"/>
        <v>0</v>
      </c>
      <c r="L226" s="35"/>
      <c r="M226" s="35">
        <v>0</v>
      </c>
      <c r="N226" s="35"/>
      <c r="O226" s="35">
        <v>0</v>
      </c>
      <c r="P226" s="35"/>
      <c r="Q226" s="35">
        <v>0</v>
      </c>
      <c r="R226" s="35"/>
      <c r="S226" s="35">
        <v>0</v>
      </c>
      <c r="T226" s="35"/>
      <c r="U226" s="35">
        <v>0</v>
      </c>
      <c r="V226" s="35"/>
      <c r="W226" s="35">
        <f t="shared" si="44"/>
        <v>0</v>
      </c>
      <c r="X226" s="35"/>
      <c r="Y226" s="35" t="s">
        <v>265</v>
      </c>
      <c r="Z226" s="55"/>
      <c r="AA226" s="44" t="s">
        <v>27</v>
      </c>
      <c r="AB226" s="44"/>
      <c r="AC226" s="35">
        <v>0</v>
      </c>
      <c r="AD226" s="35"/>
      <c r="AE226" s="35">
        <v>0</v>
      </c>
      <c r="AF226" s="35"/>
      <c r="AG226" s="35">
        <v>0</v>
      </c>
      <c r="AH226" s="35"/>
      <c r="AI226" s="45">
        <f t="shared" si="43"/>
        <v>0</v>
      </c>
      <c r="AJ226" s="45"/>
      <c r="AK226" s="35">
        <v>0</v>
      </c>
      <c r="AL226" s="35"/>
      <c r="AM226" s="35">
        <v>0</v>
      </c>
      <c r="AN226" s="35"/>
      <c r="AO226" s="35">
        <v>0</v>
      </c>
      <c r="AP226" s="35"/>
      <c r="AQ226" s="35">
        <v>0</v>
      </c>
      <c r="AR226" s="35"/>
      <c r="AS226" s="45">
        <f t="shared" si="36"/>
        <v>0</v>
      </c>
      <c r="AT226" s="45"/>
      <c r="AU226" s="35">
        <v>0</v>
      </c>
      <c r="AV226" s="35"/>
      <c r="AW226" s="35">
        <v>0</v>
      </c>
      <c r="AX226" s="35"/>
      <c r="AY226" s="35">
        <f t="shared" si="37"/>
        <v>0</v>
      </c>
      <c r="AZ226" s="35"/>
      <c r="BA226" s="35" t="s">
        <v>265</v>
      </c>
      <c r="BB226" s="55"/>
      <c r="BC226" s="44" t="s">
        <v>27</v>
      </c>
      <c r="BD226" s="44"/>
      <c r="BE226" s="35">
        <v>0</v>
      </c>
      <c r="BF226" s="35"/>
      <c r="BG226" s="35">
        <v>0</v>
      </c>
      <c r="BH226" s="35"/>
      <c r="BI226" s="35">
        <v>0</v>
      </c>
      <c r="BJ226" s="35"/>
      <c r="BK226" s="35">
        <v>0</v>
      </c>
      <c r="BL226" s="35"/>
      <c r="BM226" s="35">
        <f t="shared" si="38"/>
        <v>0</v>
      </c>
      <c r="BN226" s="54" t="s">
        <v>347</v>
      </c>
    </row>
    <row r="227" spans="1:67" hidden="1">
      <c r="A227" s="35" t="s">
        <v>40</v>
      </c>
      <c r="C227" s="47" t="s">
        <v>451</v>
      </c>
      <c r="D227" s="35"/>
      <c r="E227" s="35">
        <f t="shared" si="41"/>
        <v>0</v>
      </c>
      <c r="F227" s="35"/>
      <c r="G227" s="35">
        <v>0</v>
      </c>
      <c r="H227" s="35"/>
      <c r="I227" s="35">
        <v>0</v>
      </c>
      <c r="J227" s="35"/>
      <c r="K227" s="35">
        <f t="shared" si="42"/>
        <v>0</v>
      </c>
      <c r="L227" s="35"/>
      <c r="M227" s="35">
        <v>0</v>
      </c>
      <c r="N227" s="35"/>
      <c r="O227" s="35">
        <v>0</v>
      </c>
      <c r="P227" s="35"/>
      <c r="Q227" s="35">
        <v>0</v>
      </c>
      <c r="R227" s="35"/>
      <c r="S227" s="35">
        <v>0</v>
      </c>
      <c r="T227" s="35"/>
      <c r="U227" s="35">
        <v>0</v>
      </c>
      <c r="V227" s="35"/>
      <c r="W227" s="35">
        <f t="shared" si="44"/>
        <v>0</v>
      </c>
      <c r="X227" s="35"/>
      <c r="Y227" s="35" t="s">
        <v>40</v>
      </c>
      <c r="Z227" s="55"/>
      <c r="AA227" s="47" t="s">
        <v>451</v>
      </c>
      <c r="AB227" s="35"/>
      <c r="AC227" s="35">
        <v>0</v>
      </c>
      <c r="AD227" s="35"/>
      <c r="AE227" s="35">
        <v>0</v>
      </c>
      <c r="AF227" s="35"/>
      <c r="AG227" s="35">
        <v>0</v>
      </c>
      <c r="AH227" s="35"/>
      <c r="AI227" s="45">
        <f t="shared" si="43"/>
        <v>0</v>
      </c>
      <c r="AJ227" s="45"/>
      <c r="AK227" s="35">
        <v>0</v>
      </c>
      <c r="AL227" s="35"/>
      <c r="AM227" s="35">
        <v>0</v>
      </c>
      <c r="AN227" s="35"/>
      <c r="AO227" s="35">
        <v>0</v>
      </c>
      <c r="AP227" s="35"/>
      <c r="AQ227" s="35">
        <v>0</v>
      </c>
      <c r="AR227" s="35"/>
      <c r="AS227" s="45">
        <f t="shared" si="36"/>
        <v>0</v>
      </c>
      <c r="AT227" s="45"/>
      <c r="AU227" s="35">
        <v>0</v>
      </c>
      <c r="AV227" s="35"/>
      <c r="AW227" s="35">
        <v>0</v>
      </c>
      <c r="AX227" s="35"/>
      <c r="AY227" s="35">
        <f t="shared" si="37"/>
        <v>0</v>
      </c>
      <c r="AZ227" s="35"/>
      <c r="BA227" s="35" t="s">
        <v>40</v>
      </c>
      <c r="BB227" s="55"/>
      <c r="BC227" s="47" t="s">
        <v>451</v>
      </c>
      <c r="BD227" s="35"/>
      <c r="BE227" s="35">
        <v>0</v>
      </c>
      <c r="BF227" s="35"/>
      <c r="BG227" s="35">
        <v>0</v>
      </c>
      <c r="BH227" s="35"/>
      <c r="BI227" s="35">
        <v>0</v>
      </c>
      <c r="BJ227" s="35"/>
      <c r="BK227" s="35">
        <v>0</v>
      </c>
      <c r="BL227" s="35"/>
      <c r="BM227" s="35">
        <f t="shared" si="38"/>
        <v>0</v>
      </c>
      <c r="BN227" s="54" t="s">
        <v>347</v>
      </c>
    </row>
    <row r="228" spans="1:67" hidden="1">
      <c r="A228" s="35" t="s">
        <v>266</v>
      </c>
      <c r="C228" s="35" t="s">
        <v>267</v>
      </c>
      <c r="D228" s="35"/>
      <c r="E228" s="35">
        <f t="shared" si="41"/>
        <v>0</v>
      </c>
      <c r="F228" s="35"/>
      <c r="G228" s="35">
        <v>0</v>
      </c>
      <c r="H228" s="35"/>
      <c r="I228" s="35">
        <v>0</v>
      </c>
      <c r="J228" s="35"/>
      <c r="K228" s="35">
        <f t="shared" si="42"/>
        <v>0</v>
      </c>
      <c r="L228" s="35"/>
      <c r="M228" s="35">
        <v>0</v>
      </c>
      <c r="N228" s="35"/>
      <c r="O228" s="35">
        <v>0</v>
      </c>
      <c r="P228" s="35"/>
      <c r="Q228" s="35">
        <v>0</v>
      </c>
      <c r="R228" s="35"/>
      <c r="S228" s="35">
        <v>0</v>
      </c>
      <c r="T228" s="35"/>
      <c r="U228" s="35">
        <v>0</v>
      </c>
      <c r="V228" s="35"/>
      <c r="W228" s="35">
        <v>0</v>
      </c>
      <c r="X228" s="35"/>
      <c r="Y228" s="35" t="s">
        <v>266</v>
      </c>
      <c r="Z228" s="55"/>
      <c r="AA228" s="35" t="s">
        <v>267</v>
      </c>
      <c r="AB228" s="35"/>
      <c r="AC228" s="35">
        <v>0</v>
      </c>
      <c r="AD228" s="35"/>
      <c r="AE228" s="35">
        <v>0</v>
      </c>
      <c r="AF228" s="35"/>
      <c r="AG228" s="35">
        <v>0</v>
      </c>
      <c r="AH228" s="35"/>
      <c r="AI228" s="45">
        <f t="shared" si="43"/>
        <v>0</v>
      </c>
      <c r="AJ228" s="45"/>
      <c r="AK228" s="35">
        <v>0</v>
      </c>
      <c r="AL228" s="35"/>
      <c r="AM228" s="35">
        <v>0</v>
      </c>
      <c r="AN228" s="35"/>
      <c r="AO228" s="35">
        <v>0</v>
      </c>
      <c r="AP228" s="35"/>
      <c r="AQ228" s="35">
        <v>0</v>
      </c>
      <c r="AR228" s="35"/>
      <c r="AS228" s="45">
        <f t="shared" si="36"/>
        <v>0</v>
      </c>
      <c r="AT228" s="45"/>
      <c r="AU228" s="35">
        <v>0</v>
      </c>
      <c r="AV228" s="35"/>
      <c r="AW228" s="35">
        <v>0</v>
      </c>
      <c r="AX228" s="35"/>
      <c r="AY228" s="35">
        <f t="shared" si="37"/>
        <v>0</v>
      </c>
      <c r="AZ228" s="35"/>
      <c r="BA228" s="35" t="s">
        <v>266</v>
      </c>
      <c r="BB228" s="55"/>
      <c r="BC228" s="35" t="s">
        <v>267</v>
      </c>
      <c r="BD228" s="35"/>
      <c r="BE228" s="35">
        <v>0</v>
      </c>
      <c r="BF228" s="35"/>
      <c r="BG228" s="35">
        <v>0</v>
      </c>
      <c r="BH228" s="35"/>
      <c r="BI228" s="35">
        <v>0</v>
      </c>
      <c r="BJ228" s="35"/>
      <c r="BK228" s="35">
        <v>0</v>
      </c>
      <c r="BL228" s="35"/>
      <c r="BM228" s="35">
        <f t="shared" si="38"/>
        <v>0</v>
      </c>
      <c r="BN228" s="54" t="s">
        <v>347</v>
      </c>
    </row>
    <row r="229" spans="1:67" hidden="1">
      <c r="A229" s="35" t="s">
        <v>268</v>
      </c>
      <c r="C229" s="35" t="s">
        <v>269</v>
      </c>
      <c r="D229" s="35"/>
      <c r="E229" s="35">
        <f t="shared" si="41"/>
        <v>0</v>
      </c>
      <c r="F229" s="35"/>
      <c r="G229" s="35">
        <v>0</v>
      </c>
      <c r="H229" s="35"/>
      <c r="I229" s="35">
        <v>0</v>
      </c>
      <c r="J229" s="35"/>
      <c r="K229" s="35">
        <f t="shared" si="42"/>
        <v>0</v>
      </c>
      <c r="L229" s="35"/>
      <c r="M229" s="35">
        <v>0</v>
      </c>
      <c r="N229" s="35"/>
      <c r="O229" s="35">
        <v>0</v>
      </c>
      <c r="P229" s="35"/>
      <c r="Q229" s="35">
        <v>0</v>
      </c>
      <c r="R229" s="35"/>
      <c r="S229" s="35">
        <v>0</v>
      </c>
      <c r="T229" s="35"/>
      <c r="U229" s="35">
        <v>0</v>
      </c>
      <c r="V229" s="35"/>
      <c r="W229" s="35">
        <f t="shared" ref="W229:W244" si="45">SUM(Q229:U229)</f>
        <v>0</v>
      </c>
      <c r="X229" s="35"/>
      <c r="Y229" s="35" t="s">
        <v>268</v>
      </c>
      <c r="Z229" s="55"/>
      <c r="AA229" s="35" t="s">
        <v>269</v>
      </c>
      <c r="AB229" s="35"/>
      <c r="AC229" s="35">
        <v>0</v>
      </c>
      <c r="AD229" s="35"/>
      <c r="AE229" s="35">
        <v>0</v>
      </c>
      <c r="AF229" s="35"/>
      <c r="AG229" s="35">
        <v>0</v>
      </c>
      <c r="AH229" s="35"/>
      <c r="AI229" s="45">
        <v>0</v>
      </c>
      <c r="AJ229" s="45"/>
      <c r="AK229" s="35">
        <v>0</v>
      </c>
      <c r="AL229" s="35"/>
      <c r="AM229" s="35">
        <v>0</v>
      </c>
      <c r="AN229" s="35"/>
      <c r="AO229" s="35">
        <v>0</v>
      </c>
      <c r="AP229" s="35"/>
      <c r="AQ229" s="35">
        <v>0</v>
      </c>
      <c r="AR229" s="35"/>
      <c r="AS229" s="45">
        <f t="shared" si="36"/>
        <v>0</v>
      </c>
      <c r="AT229" s="45"/>
      <c r="AU229" s="35">
        <v>0</v>
      </c>
      <c r="AV229" s="35"/>
      <c r="AW229" s="35">
        <v>0</v>
      </c>
      <c r="AX229" s="35"/>
      <c r="AY229" s="35">
        <f t="shared" si="37"/>
        <v>0</v>
      </c>
      <c r="AZ229" s="35"/>
      <c r="BA229" s="35" t="s">
        <v>268</v>
      </c>
      <c r="BB229" s="55"/>
      <c r="BC229" s="35" t="s">
        <v>269</v>
      </c>
      <c r="BD229" s="35"/>
      <c r="BE229" s="35">
        <v>0</v>
      </c>
      <c r="BF229" s="35"/>
      <c r="BG229" s="35">
        <v>0</v>
      </c>
      <c r="BH229" s="35"/>
      <c r="BI229" s="35">
        <v>0</v>
      </c>
      <c r="BJ229" s="35"/>
      <c r="BK229" s="35">
        <v>0</v>
      </c>
      <c r="BL229" s="35"/>
      <c r="BM229" s="35">
        <f t="shared" si="38"/>
        <v>0</v>
      </c>
      <c r="BN229" s="54" t="s">
        <v>347</v>
      </c>
    </row>
    <row r="230" spans="1:67">
      <c r="A230" s="35" t="s">
        <v>270</v>
      </c>
      <c r="C230" s="35" t="s">
        <v>136</v>
      </c>
      <c r="D230" s="35"/>
      <c r="E230" s="35">
        <f t="shared" si="41"/>
        <v>19546</v>
      </c>
      <c r="F230" s="35"/>
      <c r="G230" s="35">
        <v>0</v>
      </c>
      <c r="H230" s="35"/>
      <c r="I230" s="35">
        <v>19546</v>
      </c>
      <c r="J230" s="35"/>
      <c r="K230" s="35">
        <f t="shared" si="42"/>
        <v>264315</v>
      </c>
      <c r="L230" s="35"/>
      <c r="M230" s="35">
        <v>20984</v>
      </c>
      <c r="N230" s="35"/>
      <c r="O230" s="35">
        <v>285299</v>
      </c>
      <c r="P230" s="35"/>
      <c r="Q230" s="35">
        <v>-15231</v>
      </c>
      <c r="R230" s="35"/>
      <c r="S230" s="35">
        <v>0</v>
      </c>
      <c r="T230" s="35"/>
      <c r="U230" s="35">
        <v>-250522</v>
      </c>
      <c r="V230" s="35"/>
      <c r="W230" s="35">
        <f t="shared" si="45"/>
        <v>-265753</v>
      </c>
      <c r="X230" s="35"/>
      <c r="Y230" s="35" t="s">
        <v>270</v>
      </c>
      <c r="Z230" s="55"/>
      <c r="AA230" s="35" t="s">
        <v>136</v>
      </c>
      <c r="AB230" s="35"/>
      <c r="AC230" s="35">
        <v>364341</v>
      </c>
      <c r="AD230" s="35"/>
      <c r="AE230" s="35">
        <f>417140-10100</f>
        <v>407040</v>
      </c>
      <c r="AF230" s="35"/>
      <c r="AG230" s="35">
        <v>10100</v>
      </c>
      <c r="AH230" s="35"/>
      <c r="AI230" s="45">
        <f>+AC230-AE230-AG230</f>
        <v>-52799</v>
      </c>
      <c r="AJ230" s="45"/>
      <c r="AK230" s="35">
        <v>-727</v>
      </c>
      <c r="AL230" s="35"/>
      <c r="AM230" s="35">
        <v>0</v>
      </c>
      <c r="AN230" s="35"/>
      <c r="AO230" s="35">
        <v>0</v>
      </c>
      <c r="AP230" s="35"/>
      <c r="AQ230" s="35">
        <v>0</v>
      </c>
      <c r="AR230" s="35"/>
      <c r="AS230" s="45">
        <f t="shared" si="36"/>
        <v>-53526</v>
      </c>
      <c r="AT230" s="45"/>
      <c r="AU230" s="35">
        <v>0</v>
      </c>
      <c r="AV230" s="35"/>
      <c r="AW230" s="35">
        <v>0</v>
      </c>
      <c r="AX230" s="35"/>
      <c r="AY230" s="35">
        <f t="shared" si="37"/>
        <v>-244769</v>
      </c>
      <c r="AZ230" s="35"/>
      <c r="BA230" s="35" t="s">
        <v>270</v>
      </c>
      <c r="BB230" s="55"/>
      <c r="BC230" s="35" t="s">
        <v>136</v>
      </c>
      <c r="BD230" s="35"/>
      <c r="BE230" s="35">
        <v>0</v>
      </c>
      <c r="BF230" s="35"/>
      <c r="BG230" s="35">
        <v>0</v>
      </c>
      <c r="BH230" s="35"/>
      <c r="BI230" s="35">
        <v>0</v>
      </c>
      <c r="BJ230" s="35"/>
      <c r="BK230" s="35">
        <f>2984+22077</f>
        <v>25061</v>
      </c>
      <c r="BL230" s="35"/>
      <c r="BM230" s="35">
        <f t="shared" si="38"/>
        <v>25061</v>
      </c>
      <c r="BN230" s="54" t="s">
        <v>347</v>
      </c>
    </row>
    <row r="231" spans="1:67">
      <c r="A231" s="35" t="s">
        <v>271</v>
      </c>
      <c r="C231" s="35" t="s">
        <v>66</v>
      </c>
      <c r="D231" s="35"/>
      <c r="E231" s="35">
        <f t="shared" si="41"/>
        <v>238511</v>
      </c>
      <c r="F231" s="35"/>
      <c r="G231" s="35">
        <v>172834</v>
      </c>
      <c r="H231" s="35"/>
      <c r="I231" s="35">
        <v>411345</v>
      </c>
      <c r="J231" s="35"/>
      <c r="K231" s="35">
        <f t="shared" si="42"/>
        <v>36865</v>
      </c>
      <c r="L231" s="35"/>
      <c r="M231" s="35">
        <v>15923</v>
      </c>
      <c r="N231" s="35"/>
      <c r="O231" s="35">
        <v>52788</v>
      </c>
      <c r="P231" s="35"/>
      <c r="Q231" s="35">
        <v>172834</v>
      </c>
      <c r="R231" s="35"/>
      <c r="S231" s="35">
        <v>0</v>
      </c>
      <c r="T231" s="35"/>
      <c r="U231" s="35">
        <v>185723</v>
      </c>
      <c r="V231" s="35"/>
      <c r="W231" s="35">
        <f t="shared" si="45"/>
        <v>358557</v>
      </c>
      <c r="X231" s="35"/>
      <c r="Y231" s="35" t="s">
        <v>271</v>
      </c>
      <c r="Z231" s="55"/>
      <c r="AA231" s="35" t="s">
        <v>66</v>
      </c>
      <c r="AB231" s="35"/>
      <c r="AC231" s="35">
        <v>644253</v>
      </c>
      <c r="AD231" s="35"/>
      <c r="AE231" s="35">
        <f>690833-41897</f>
        <v>648936</v>
      </c>
      <c r="AF231" s="35"/>
      <c r="AG231" s="35">
        <v>41897</v>
      </c>
      <c r="AH231" s="35"/>
      <c r="AI231" s="45">
        <f>+AC231-AE231-AG231</f>
        <v>-46580</v>
      </c>
      <c r="AJ231" s="45"/>
      <c r="AK231" s="35">
        <v>3572</v>
      </c>
      <c r="AL231" s="35"/>
      <c r="AM231" s="35">
        <v>0</v>
      </c>
      <c r="AN231" s="35"/>
      <c r="AO231" s="35">
        <v>0</v>
      </c>
      <c r="AP231" s="35"/>
      <c r="AQ231" s="35">
        <v>0</v>
      </c>
      <c r="AR231" s="35"/>
      <c r="AS231" s="45">
        <f t="shared" si="36"/>
        <v>-43008</v>
      </c>
      <c r="AT231" s="45"/>
      <c r="AU231" s="35">
        <v>0</v>
      </c>
      <c r="AV231" s="35"/>
      <c r="AW231" s="35">
        <v>0</v>
      </c>
      <c r="AX231" s="35"/>
      <c r="AY231" s="35">
        <f t="shared" si="37"/>
        <v>201646</v>
      </c>
      <c r="AZ231" s="35"/>
      <c r="BA231" s="35" t="s">
        <v>271</v>
      </c>
      <c r="BB231" s="55"/>
      <c r="BC231" s="35" t="s">
        <v>66</v>
      </c>
      <c r="BD231" s="35"/>
      <c r="BE231" s="35">
        <v>0</v>
      </c>
      <c r="BF231" s="35"/>
      <c r="BG231" s="35">
        <v>0</v>
      </c>
      <c r="BH231" s="35"/>
      <c r="BI231" s="35">
        <v>0</v>
      </c>
      <c r="BJ231" s="35"/>
      <c r="BK231" s="35">
        <f>15923+950</f>
        <v>16873</v>
      </c>
      <c r="BL231" s="35"/>
      <c r="BM231" s="35">
        <f t="shared" si="38"/>
        <v>16873</v>
      </c>
      <c r="BN231" s="54" t="s">
        <v>347</v>
      </c>
    </row>
    <row r="232" spans="1:67" hidden="1">
      <c r="A232" s="35" t="s">
        <v>272</v>
      </c>
      <c r="C232" s="35" t="s">
        <v>43</v>
      </c>
      <c r="D232" s="35"/>
      <c r="E232" s="35">
        <f t="shared" si="41"/>
        <v>0</v>
      </c>
      <c r="F232" s="35"/>
      <c r="G232" s="35">
        <v>0</v>
      </c>
      <c r="H232" s="35"/>
      <c r="I232" s="35">
        <v>0</v>
      </c>
      <c r="J232" s="35"/>
      <c r="K232" s="35">
        <f t="shared" si="42"/>
        <v>0</v>
      </c>
      <c r="L232" s="35"/>
      <c r="M232" s="35">
        <v>0</v>
      </c>
      <c r="N232" s="35"/>
      <c r="O232" s="35">
        <v>0</v>
      </c>
      <c r="P232" s="35"/>
      <c r="Q232" s="35">
        <v>0</v>
      </c>
      <c r="R232" s="35"/>
      <c r="S232" s="35">
        <v>0</v>
      </c>
      <c r="T232" s="35"/>
      <c r="U232" s="35">
        <v>0</v>
      </c>
      <c r="V232" s="35"/>
      <c r="W232" s="35">
        <f t="shared" si="45"/>
        <v>0</v>
      </c>
      <c r="X232" s="35"/>
      <c r="Y232" s="35" t="s">
        <v>272</v>
      </c>
      <c r="Z232" s="55"/>
      <c r="AA232" s="35" t="s">
        <v>43</v>
      </c>
      <c r="AB232" s="35"/>
      <c r="AC232" s="35">
        <v>0</v>
      </c>
      <c r="AD232" s="35"/>
      <c r="AE232" s="35">
        <v>0</v>
      </c>
      <c r="AF232" s="35"/>
      <c r="AG232" s="35">
        <v>0</v>
      </c>
      <c r="AH232" s="35"/>
      <c r="AI232" s="45">
        <f>+AC232-AE232-AG232</f>
        <v>0</v>
      </c>
      <c r="AJ232" s="45"/>
      <c r="AK232" s="35">
        <v>0</v>
      </c>
      <c r="AL232" s="35"/>
      <c r="AM232" s="35">
        <v>0</v>
      </c>
      <c r="AN232" s="35"/>
      <c r="AO232" s="35">
        <v>0</v>
      </c>
      <c r="AP232" s="35"/>
      <c r="AQ232" s="35">
        <v>0</v>
      </c>
      <c r="AR232" s="35"/>
      <c r="AS232" s="45">
        <f t="shared" si="36"/>
        <v>0</v>
      </c>
      <c r="AT232" s="45"/>
      <c r="AU232" s="35">
        <v>0</v>
      </c>
      <c r="AV232" s="35"/>
      <c r="AW232" s="35">
        <v>0</v>
      </c>
      <c r="AX232" s="35"/>
      <c r="AY232" s="35">
        <f t="shared" si="37"/>
        <v>0</v>
      </c>
      <c r="AZ232" s="35"/>
      <c r="BA232" s="35" t="s">
        <v>272</v>
      </c>
      <c r="BB232" s="55"/>
      <c r="BC232" s="35" t="s">
        <v>43</v>
      </c>
      <c r="BD232" s="35"/>
      <c r="BE232" s="35">
        <v>0</v>
      </c>
      <c r="BF232" s="35"/>
      <c r="BG232" s="35">
        <v>0</v>
      </c>
      <c r="BH232" s="35"/>
      <c r="BI232" s="35">
        <v>0</v>
      </c>
      <c r="BJ232" s="35"/>
      <c r="BK232" s="35">
        <v>0</v>
      </c>
      <c r="BL232" s="35"/>
      <c r="BM232" s="35">
        <f t="shared" si="38"/>
        <v>0</v>
      </c>
      <c r="BN232" s="54" t="s">
        <v>347</v>
      </c>
    </row>
    <row r="233" spans="1:67" hidden="1">
      <c r="A233" s="35" t="s">
        <v>273</v>
      </c>
      <c r="C233" s="35" t="s">
        <v>27</v>
      </c>
      <c r="D233" s="35"/>
      <c r="E233" s="35">
        <f t="shared" si="41"/>
        <v>0</v>
      </c>
      <c r="F233" s="35"/>
      <c r="G233" s="35">
        <v>0</v>
      </c>
      <c r="H233" s="35"/>
      <c r="I233" s="35">
        <v>0</v>
      </c>
      <c r="J233" s="35"/>
      <c r="K233" s="35">
        <f t="shared" si="42"/>
        <v>0</v>
      </c>
      <c r="L233" s="35"/>
      <c r="M233" s="35">
        <v>0</v>
      </c>
      <c r="N233" s="35"/>
      <c r="O233" s="35">
        <v>0</v>
      </c>
      <c r="P233" s="35"/>
      <c r="Q233" s="35">
        <v>0</v>
      </c>
      <c r="R233" s="35"/>
      <c r="S233" s="35">
        <v>0</v>
      </c>
      <c r="T233" s="35"/>
      <c r="U233" s="35">
        <v>0</v>
      </c>
      <c r="V233" s="35"/>
      <c r="W233" s="35">
        <f t="shared" si="45"/>
        <v>0</v>
      </c>
      <c r="X233" s="35"/>
      <c r="Y233" s="35" t="s">
        <v>273</v>
      </c>
      <c r="Z233" s="55"/>
      <c r="AA233" s="35" t="s">
        <v>27</v>
      </c>
      <c r="AB233" s="35"/>
      <c r="AC233" s="35">
        <v>0</v>
      </c>
      <c r="AD233" s="35"/>
      <c r="AE233" s="35">
        <v>0</v>
      </c>
      <c r="AF233" s="35"/>
      <c r="AG233" s="35">
        <v>0</v>
      </c>
      <c r="AH233" s="35"/>
      <c r="AI233" s="45">
        <f>+AC233-AE233-AG233</f>
        <v>0</v>
      </c>
      <c r="AJ233" s="45"/>
      <c r="AK233" s="35">
        <v>0</v>
      </c>
      <c r="AL233" s="35"/>
      <c r="AM233" s="35">
        <v>0</v>
      </c>
      <c r="AN233" s="35"/>
      <c r="AO233" s="35">
        <v>0</v>
      </c>
      <c r="AP233" s="35"/>
      <c r="AQ233" s="35">
        <v>0</v>
      </c>
      <c r="AR233" s="35"/>
      <c r="AS233" s="45">
        <f t="shared" si="36"/>
        <v>0</v>
      </c>
      <c r="AT233" s="45"/>
      <c r="AU233" s="35">
        <v>0</v>
      </c>
      <c r="AV233" s="35"/>
      <c r="AW233" s="35">
        <v>0</v>
      </c>
      <c r="AX233" s="35"/>
      <c r="AY233" s="35">
        <f t="shared" si="37"/>
        <v>0</v>
      </c>
      <c r="AZ233" s="35"/>
      <c r="BA233" s="35" t="s">
        <v>273</v>
      </c>
      <c r="BB233" s="55"/>
      <c r="BC233" s="35" t="s">
        <v>27</v>
      </c>
      <c r="BD233" s="35"/>
      <c r="BE233" s="35">
        <v>0</v>
      </c>
      <c r="BF233" s="35"/>
      <c r="BG233" s="35">
        <v>0</v>
      </c>
      <c r="BH233" s="35"/>
      <c r="BI233" s="35">
        <v>0</v>
      </c>
      <c r="BJ233" s="35"/>
      <c r="BK233" s="35">
        <v>0</v>
      </c>
      <c r="BL233" s="35"/>
      <c r="BM233" s="35">
        <f t="shared" si="38"/>
        <v>0</v>
      </c>
      <c r="BN233" s="54" t="s">
        <v>347</v>
      </c>
    </row>
    <row r="234" spans="1:67" hidden="1">
      <c r="A234" s="35" t="s">
        <v>274</v>
      </c>
      <c r="C234" s="35" t="s">
        <v>43</v>
      </c>
      <c r="D234" s="35"/>
      <c r="E234" s="35">
        <f t="shared" si="41"/>
        <v>0</v>
      </c>
      <c r="F234" s="35"/>
      <c r="G234" s="35">
        <v>0</v>
      </c>
      <c r="H234" s="35"/>
      <c r="I234" s="35">
        <v>0</v>
      </c>
      <c r="J234" s="35"/>
      <c r="K234" s="35">
        <f t="shared" si="42"/>
        <v>0</v>
      </c>
      <c r="L234" s="35"/>
      <c r="M234" s="35">
        <v>0</v>
      </c>
      <c r="N234" s="35"/>
      <c r="O234" s="35">
        <v>0</v>
      </c>
      <c r="P234" s="35"/>
      <c r="Q234" s="35">
        <v>0</v>
      </c>
      <c r="R234" s="35"/>
      <c r="S234" s="35">
        <v>0</v>
      </c>
      <c r="T234" s="35"/>
      <c r="U234" s="35">
        <v>0</v>
      </c>
      <c r="V234" s="35"/>
      <c r="W234" s="35">
        <f t="shared" si="45"/>
        <v>0</v>
      </c>
      <c r="X234" s="35"/>
      <c r="Y234" s="35" t="s">
        <v>274</v>
      </c>
      <c r="Z234" s="55"/>
      <c r="AA234" s="35" t="s">
        <v>43</v>
      </c>
      <c r="AB234" s="35"/>
      <c r="AC234" s="35">
        <v>0</v>
      </c>
      <c r="AD234" s="35"/>
      <c r="AE234" s="35">
        <v>0</v>
      </c>
      <c r="AF234" s="35"/>
      <c r="AG234" s="35">
        <v>0</v>
      </c>
      <c r="AH234" s="35"/>
      <c r="AI234" s="45">
        <v>0</v>
      </c>
      <c r="AJ234" s="45"/>
      <c r="AK234" s="35">
        <v>0</v>
      </c>
      <c r="AL234" s="35"/>
      <c r="AM234" s="35">
        <v>0</v>
      </c>
      <c r="AN234" s="35"/>
      <c r="AO234" s="35">
        <v>0</v>
      </c>
      <c r="AP234" s="35"/>
      <c r="AQ234" s="35">
        <v>0</v>
      </c>
      <c r="AR234" s="35"/>
      <c r="AS234" s="45">
        <f t="shared" si="36"/>
        <v>0</v>
      </c>
      <c r="AT234" s="45"/>
      <c r="AU234" s="35">
        <v>0</v>
      </c>
      <c r="AV234" s="35"/>
      <c r="AW234" s="35">
        <v>0</v>
      </c>
      <c r="AX234" s="35"/>
      <c r="AY234" s="35">
        <f t="shared" si="37"/>
        <v>0</v>
      </c>
      <c r="AZ234" s="35"/>
      <c r="BA234" s="35" t="s">
        <v>274</v>
      </c>
      <c r="BB234" s="55"/>
      <c r="BC234" s="35" t="s">
        <v>43</v>
      </c>
      <c r="BD234" s="35"/>
      <c r="BE234" s="35">
        <v>0</v>
      </c>
      <c r="BF234" s="35"/>
      <c r="BG234" s="35">
        <v>0</v>
      </c>
      <c r="BH234" s="35"/>
      <c r="BI234" s="35">
        <v>0</v>
      </c>
      <c r="BJ234" s="35"/>
      <c r="BK234" s="35">
        <v>0</v>
      </c>
      <c r="BL234" s="35"/>
      <c r="BM234" s="35">
        <f t="shared" si="38"/>
        <v>0</v>
      </c>
      <c r="BN234" s="54" t="s">
        <v>347</v>
      </c>
    </row>
    <row r="235" spans="1:67" hidden="1">
      <c r="A235" s="35" t="s">
        <v>275</v>
      </c>
      <c r="C235" s="35" t="s">
        <v>92</v>
      </c>
      <c r="D235" s="35"/>
      <c r="E235" s="35">
        <f t="shared" si="41"/>
        <v>0</v>
      </c>
      <c r="F235" s="35"/>
      <c r="G235" s="35">
        <v>0</v>
      </c>
      <c r="H235" s="35"/>
      <c r="I235" s="35">
        <v>0</v>
      </c>
      <c r="J235" s="35"/>
      <c r="K235" s="35">
        <f t="shared" si="42"/>
        <v>0</v>
      </c>
      <c r="L235" s="35"/>
      <c r="M235" s="35">
        <v>0</v>
      </c>
      <c r="N235" s="35"/>
      <c r="O235" s="35">
        <v>0</v>
      </c>
      <c r="P235" s="35"/>
      <c r="Q235" s="35">
        <v>0</v>
      </c>
      <c r="R235" s="35"/>
      <c r="S235" s="35">
        <v>0</v>
      </c>
      <c r="T235" s="35"/>
      <c r="U235" s="35">
        <v>0</v>
      </c>
      <c r="V235" s="35"/>
      <c r="W235" s="35">
        <f t="shared" si="45"/>
        <v>0</v>
      </c>
      <c r="X235" s="35"/>
      <c r="Y235" s="35" t="s">
        <v>275</v>
      </c>
      <c r="Z235" s="55"/>
      <c r="AA235" s="35" t="s">
        <v>92</v>
      </c>
      <c r="AB235" s="35"/>
      <c r="AC235" s="35">
        <v>0</v>
      </c>
      <c r="AD235" s="35"/>
      <c r="AE235" s="35">
        <v>0</v>
      </c>
      <c r="AF235" s="35"/>
      <c r="AG235" s="35">
        <v>0</v>
      </c>
      <c r="AH235" s="35"/>
      <c r="AI235" s="45">
        <f t="shared" ref="AI235:AI242" si="46">+AC235-AE235-AG235</f>
        <v>0</v>
      </c>
      <c r="AJ235" s="45"/>
      <c r="AK235" s="35">
        <v>0</v>
      </c>
      <c r="AL235" s="35"/>
      <c r="AM235" s="35">
        <v>0</v>
      </c>
      <c r="AN235" s="35"/>
      <c r="AO235" s="35">
        <v>0</v>
      </c>
      <c r="AP235" s="35"/>
      <c r="AQ235" s="35">
        <v>0</v>
      </c>
      <c r="AR235" s="35"/>
      <c r="AS235" s="45">
        <f t="shared" si="36"/>
        <v>0</v>
      </c>
      <c r="AT235" s="45"/>
      <c r="AU235" s="35">
        <v>0</v>
      </c>
      <c r="AV235" s="35"/>
      <c r="AW235" s="35">
        <v>0</v>
      </c>
      <c r="AX235" s="35"/>
      <c r="AY235" s="35">
        <f t="shared" si="37"/>
        <v>0</v>
      </c>
      <c r="AZ235" s="35"/>
      <c r="BA235" s="35" t="s">
        <v>275</v>
      </c>
      <c r="BB235" s="55"/>
      <c r="BC235" s="35" t="s">
        <v>92</v>
      </c>
      <c r="BD235" s="35"/>
      <c r="BE235" s="35">
        <v>0</v>
      </c>
      <c r="BF235" s="35"/>
      <c r="BG235" s="35">
        <v>0</v>
      </c>
      <c r="BH235" s="35"/>
      <c r="BI235" s="35">
        <v>0</v>
      </c>
      <c r="BJ235" s="35"/>
      <c r="BK235" s="35">
        <v>0</v>
      </c>
      <c r="BL235" s="35"/>
      <c r="BM235" s="35">
        <f t="shared" si="38"/>
        <v>0</v>
      </c>
      <c r="BN235" s="54" t="s">
        <v>347</v>
      </c>
    </row>
    <row r="236" spans="1:67" hidden="1">
      <c r="A236" s="35" t="s">
        <v>276</v>
      </c>
      <c r="C236" s="35" t="s">
        <v>38</v>
      </c>
      <c r="D236" s="35"/>
      <c r="E236" s="35">
        <f t="shared" si="41"/>
        <v>0</v>
      </c>
      <c r="F236" s="35"/>
      <c r="G236" s="35">
        <v>0</v>
      </c>
      <c r="H236" s="35"/>
      <c r="I236" s="35">
        <v>0</v>
      </c>
      <c r="J236" s="35"/>
      <c r="K236" s="35">
        <f t="shared" si="42"/>
        <v>0</v>
      </c>
      <c r="L236" s="35"/>
      <c r="M236" s="35">
        <v>0</v>
      </c>
      <c r="N236" s="35"/>
      <c r="O236" s="35">
        <v>0</v>
      </c>
      <c r="P236" s="35"/>
      <c r="Q236" s="35">
        <v>0</v>
      </c>
      <c r="R236" s="35"/>
      <c r="S236" s="35">
        <v>0</v>
      </c>
      <c r="T236" s="35"/>
      <c r="U236" s="35">
        <v>0</v>
      </c>
      <c r="V236" s="35"/>
      <c r="W236" s="35">
        <f t="shared" si="45"/>
        <v>0</v>
      </c>
      <c r="X236" s="35"/>
      <c r="Y236" s="35" t="s">
        <v>276</v>
      </c>
      <c r="Z236" s="55"/>
      <c r="AA236" s="35" t="s">
        <v>38</v>
      </c>
      <c r="AB236" s="35"/>
      <c r="AC236" s="35">
        <v>0</v>
      </c>
      <c r="AD236" s="35"/>
      <c r="AE236" s="35">
        <v>0</v>
      </c>
      <c r="AF236" s="35"/>
      <c r="AG236" s="35">
        <v>0</v>
      </c>
      <c r="AH236" s="35"/>
      <c r="AI236" s="45">
        <f t="shared" si="46"/>
        <v>0</v>
      </c>
      <c r="AJ236" s="45"/>
      <c r="AK236" s="35">
        <v>0</v>
      </c>
      <c r="AL236" s="35"/>
      <c r="AM236" s="35">
        <v>0</v>
      </c>
      <c r="AN236" s="35"/>
      <c r="AO236" s="35">
        <v>0</v>
      </c>
      <c r="AP236" s="35"/>
      <c r="AQ236" s="35">
        <v>0</v>
      </c>
      <c r="AR236" s="35"/>
      <c r="AS236" s="45">
        <f t="shared" si="36"/>
        <v>0</v>
      </c>
      <c r="AT236" s="45"/>
      <c r="AU236" s="35">
        <v>0</v>
      </c>
      <c r="AV236" s="35"/>
      <c r="AW236" s="35">
        <v>0</v>
      </c>
      <c r="AX236" s="35"/>
      <c r="AY236" s="35">
        <f t="shared" si="37"/>
        <v>0</v>
      </c>
      <c r="AZ236" s="35"/>
      <c r="BA236" s="35" t="s">
        <v>276</v>
      </c>
      <c r="BB236" s="55"/>
      <c r="BC236" s="35" t="s">
        <v>38</v>
      </c>
      <c r="BD236" s="35"/>
      <c r="BE236" s="35">
        <v>0</v>
      </c>
      <c r="BF236" s="35"/>
      <c r="BG236" s="35">
        <v>0</v>
      </c>
      <c r="BH236" s="35"/>
      <c r="BI236" s="35">
        <v>0</v>
      </c>
      <c r="BJ236" s="35"/>
      <c r="BK236" s="35">
        <v>0</v>
      </c>
      <c r="BL236" s="35"/>
      <c r="BM236" s="35">
        <f t="shared" si="38"/>
        <v>0</v>
      </c>
      <c r="BN236" s="54" t="s">
        <v>347</v>
      </c>
      <c r="BO236" s="35" t="s">
        <v>366</v>
      </c>
    </row>
    <row r="237" spans="1:67" hidden="1">
      <c r="A237" s="35" t="s">
        <v>277</v>
      </c>
      <c r="C237" s="35" t="s">
        <v>92</v>
      </c>
      <c r="D237" s="35"/>
      <c r="E237" s="35">
        <f t="shared" si="41"/>
        <v>0</v>
      </c>
      <c r="F237" s="35"/>
      <c r="G237" s="35">
        <v>0</v>
      </c>
      <c r="H237" s="35"/>
      <c r="I237" s="35">
        <v>0</v>
      </c>
      <c r="J237" s="35"/>
      <c r="K237" s="35">
        <f t="shared" si="42"/>
        <v>0</v>
      </c>
      <c r="L237" s="35"/>
      <c r="M237" s="35">
        <v>0</v>
      </c>
      <c r="N237" s="35"/>
      <c r="O237" s="35">
        <v>0</v>
      </c>
      <c r="P237" s="35"/>
      <c r="Q237" s="35">
        <v>0</v>
      </c>
      <c r="R237" s="35"/>
      <c r="S237" s="35">
        <v>0</v>
      </c>
      <c r="T237" s="35"/>
      <c r="U237" s="35">
        <v>0</v>
      </c>
      <c r="V237" s="35"/>
      <c r="W237" s="35">
        <f t="shared" si="45"/>
        <v>0</v>
      </c>
      <c r="X237" s="35"/>
      <c r="Y237" s="35" t="s">
        <v>277</v>
      </c>
      <c r="Z237" s="55"/>
      <c r="AA237" s="35" t="s">
        <v>92</v>
      </c>
      <c r="AB237" s="35"/>
      <c r="AC237" s="35">
        <v>0</v>
      </c>
      <c r="AD237" s="35"/>
      <c r="AE237" s="35">
        <v>0</v>
      </c>
      <c r="AF237" s="35"/>
      <c r="AG237" s="35">
        <v>0</v>
      </c>
      <c r="AH237" s="35"/>
      <c r="AI237" s="45">
        <f t="shared" si="46"/>
        <v>0</v>
      </c>
      <c r="AJ237" s="45"/>
      <c r="AK237" s="35">
        <v>0</v>
      </c>
      <c r="AL237" s="35"/>
      <c r="AM237" s="35">
        <v>0</v>
      </c>
      <c r="AN237" s="35"/>
      <c r="AO237" s="35">
        <v>0</v>
      </c>
      <c r="AP237" s="35"/>
      <c r="AQ237" s="35">
        <v>0</v>
      </c>
      <c r="AR237" s="35"/>
      <c r="AS237" s="45">
        <f t="shared" ref="AS237:AS238" si="47">+AI237+AK237+AM237-AO237+AQ237</f>
        <v>0</v>
      </c>
      <c r="AT237" s="45"/>
      <c r="AU237" s="35">
        <v>0</v>
      </c>
      <c r="AV237" s="35"/>
      <c r="AW237" s="35">
        <v>0</v>
      </c>
      <c r="AX237" s="35"/>
      <c r="AY237" s="35">
        <f t="shared" ref="AY237:AY244" si="48">+E237-K237</f>
        <v>0</v>
      </c>
      <c r="AZ237" s="35"/>
      <c r="BA237" s="35" t="s">
        <v>277</v>
      </c>
      <c r="BB237" s="55"/>
      <c r="BC237" s="35" t="s">
        <v>92</v>
      </c>
      <c r="BD237" s="35"/>
      <c r="BE237" s="35">
        <v>0</v>
      </c>
      <c r="BF237" s="35"/>
      <c r="BG237" s="35">
        <v>0</v>
      </c>
      <c r="BH237" s="35"/>
      <c r="BI237" s="35">
        <v>0</v>
      </c>
      <c r="BJ237" s="35"/>
      <c r="BK237" s="35">
        <v>0</v>
      </c>
      <c r="BL237" s="35"/>
      <c r="BM237" s="35">
        <f t="shared" si="38"/>
        <v>0</v>
      </c>
      <c r="BN237" s="54" t="s">
        <v>347</v>
      </c>
    </row>
    <row r="238" spans="1:67" hidden="1">
      <c r="A238" s="35" t="s">
        <v>278</v>
      </c>
      <c r="C238" s="35" t="s">
        <v>92</v>
      </c>
      <c r="D238" s="35"/>
      <c r="E238" s="35">
        <f t="shared" si="41"/>
        <v>0</v>
      </c>
      <c r="F238" s="35"/>
      <c r="G238" s="35">
        <v>0</v>
      </c>
      <c r="H238" s="35"/>
      <c r="I238" s="35">
        <v>0</v>
      </c>
      <c r="J238" s="35"/>
      <c r="K238" s="35">
        <f t="shared" si="42"/>
        <v>0</v>
      </c>
      <c r="L238" s="35"/>
      <c r="M238" s="35">
        <v>0</v>
      </c>
      <c r="N238" s="35"/>
      <c r="O238" s="35">
        <v>0</v>
      </c>
      <c r="P238" s="35"/>
      <c r="Q238" s="35">
        <v>0</v>
      </c>
      <c r="R238" s="35"/>
      <c r="S238" s="35">
        <v>0</v>
      </c>
      <c r="T238" s="35"/>
      <c r="U238" s="35">
        <v>0</v>
      </c>
      <c r="V238" s="35"/>
      <c r="W238" s="35">
        <f t="shared" si="45"/>
        <v>0</v>
      </c>
      <c r="X238" s="35"/>
      <c r="Y238" s="35" t="s">
        <v>278</v>
      </c>
      <c r="Z238" s="55"/>
      <c r="AA238" s="35" t="s">
        <v>92</v>
      </c>
      <c r="AB238" s="35"/>
      <c r="AC238" s="35">
        <v>0</v>
      </c>
      <c r="AD238" s="35"/>
      <c r="AE238" s="35">
        <v>0</v>
      </c>
      <c r="AF238" s="35"/>
      <c r="AG238" s="35">
        <v>0</v>
      </c>
      <c r="AH238" s="35"/>
      <c r="AI238" s="45">
        <f t="shared" si="46"/>
        <v>0</v>
      </c>
      <c r="AJ238" s="45"/>
      <c r="AK238" s="35">
        <v>0</v>
      </c>
      <c r="AL238" s="35"/>
      <c r="AM238" s="35">
        <v>0</v>
      </c>
      <c r="AN238" s="35"/>
      <c r="AO238" s="35">
        <v>0</v>
      </c>
      <c r="AP238" s="35"/>
      <c r="AQ238" s="35">
        <v>0</v>
      </c>
      <c r="AR238" s="35"/>
      <c r="AS238" s="45">
        <f t="shared" si="47"/>
        <v>0</v>
      </c>
      <c r="AT238" s="45"/>
      <c r="AU238" s="35">
        <v>0</v>
      </c>
      <c r="AV238" s="35"/>
      <c r="AW238" s="35">
        <v>0</v>
      </c>
      <c r="AX238" s="35"/>
      <c r="AY238" s="35">
        <f t="shared" si="48"/>
        <v>0</v>
      </c>
      <c r="AZ238" s="35"/>
      <c r="BA238" s="35" t="s">
        <v>278</v>
      </c>
      <c r="BB238" s="55"/>
      <c r="BC238" s="35" t="s">
        <v>92</v>
      </c>
      <c r="BD238" s="35"/>
      <c r="BE238" s="35">
        <v>0</v>
      </c>
      <c r="BF238" s="35"/>
      <c r="BG238" s="35">
        <v>0</v>
      </c>
      <c r="BH238" s="35"/>
      <c r="BI238" s="35">
        <v>0</v>
      </c>
      <c r="BJ238" s="35"/>
      <c r="BK238" s="35">
        <v>0</v>
      </c>
      <c r="BL238" s="35"/>
      <c r="BM238" s="35">
        <f t="shared" si="38"/>
        <v>0</v>
      </c>
      <c r="BN238" s="54" t="s">
        <v>347</v>
      </c>
    </row>
    <row r="239" spans="1:67" hidden="1">
      <c r="A239" s="35" t="s">
        <v>279</v>
      </c>
      <c r="C239" s="35" t="s">
        <v>92</v>
      </c>
      <c r="D239" s="35"/>
      <c r="E239" s="35">
        <f t="shared" si="41"/>
        <v>0</v>
      </c>
      <c r="F239" s="35"/>
      <c r="G239" s="35">
        <v>0</v>
      </c>
      <c r="H239" s="35"/>
      <c r="I239" s="35">
        <v>0</v>
      </c>
      <c r="J239" s="35"/>
      <c r="K239" s="35">
        <f t="shared" si="42"/>
        <v>0</v>
      </c>
      <c r="L239" s="35"/>
      <c r="M239" s="35">
        <v>0</v>
      </c>
      <c r="N239" s="35"/>
      <c r="O239" s="35">
        <v>0</v>
      </c>
      <c r="P239" s="35"/>
      <c r="Q239" s="35">
        <v>0</v>
      </c>
      <c r="R239" s="35"/>
      <c r="S239" s="35">
        <v>0</v>
      </c>
      <c r="T239" s="35"/>
      <c r="U239" s="35">
        <v>0</v>
      </c>
      <c r="V239" s="35"/>
      <c r="W239" s="35">
        <f t="shared" si="45"/>
        <v>0</v>
      </c>
      <c r="X239" s="35"/>
      <c r="Y239" s="35" t="s">
        <v>279</v>
      </c>
      <c r="Z239" s="55"/>
      <c r="AA239" s="35" t="s">
        <v>92</v>
      </c>
      <c r="AB239" s="35"/>
      <c r="AC239" s="35">
        <v>0</v>
      </c>
      <c r="AD239" s="35"/>
      <c r="AE239" s="35">
        <v>0</v>
      </c>
      <c r="AF239" s="35"/>
      <c r="AG239" s="35">
        <v>0</v>
      </c>
      <c r="AH239" s="35"/>
      <c r="AI239" s="45">
        <f t="shared" si="46"/>
        <v>0</v>
      </c>
      <c r="AJ239" s="45"/>
      <c r="AK239" s="35">
        <v>0</v>
      </c>
      <c r="AL239" s="35"/>
      <c r="AM239" s="35">
        <v>0</v>
      </c>
      <c r="AN239" s="35"/>
      <c r="AO239" s="35">
        <v>0</v>
      </c>
      <c r="AP239" s="35"/>
      <c r="AQ239" s="35">
        <v>0</v>
      </c>
      <c r="AR239" s="35"/>
      <c r="AS239" s="45">
        <v>0</v>
      </c>
      <c r="AT239" s="45"/>
      <c r="AU239" s="35">
        <v>0</v>
      </c>
      <c r="AV239" s="35"/>
      <c r="AW239" s="35">
        <v>0</v>
      </c>
      <c r="AX239" s="35"/>
      <c r="AY239" s="35">
        <f t="shared" si="48"/>
        <v>0</v>
      </c>
      <c r="AZ239" s="35"/>
      <c r="BA239" s="35" t="s">
        <v>279</v>
      </c>
      <c r="BB239" s="55"/>
      <c r="BC239" s="35" t="s">
        <v>92</v>
      </c>
      <c r="BD239" s="35"/>
      <c r="BE239" s="35">
        <v>0</v>
      </c>
      <c r="BF239" s="35"/>
      <c r="BG239" s="35">
        <v>0</v>
      </c>
      <c r="BH239" s="35"/>
      <c r="BI239" s="35">
        <v>0</v>
      </c>
      <c r="BJ239" s="35"/>
      <c r="BK239" s="35">
        <v>0</v>
      </c>
      <c r="BL239" s="35"/>
      <c r="BM239" s="35">
        <f t="shared" si="38"/>
        <v>0</v>
      </c>
      <c r="BN239" s="54" t="s">
        <v>347</v>
      </c>
      <c r="BO239" s="55" t="s">
        <v>367</v>
      </c>
    </row>
    <row r="240" spans="1:67">
      <c r="A240" s="35" t="s">
        <v>280</v>
      </c>
      <c r="C240" s="35" t="s">
        <v>281</v>
      </c>
      <c r="D240" s="35"/>
      <c r="E240" s="35">
        <f t="shared" si="41"/>
        <v>853913</v>
      </c>
      <c r="F240" s="35"/>
      <c r="G240" s="35">
        <v>2559639</v>
      </c>
      <c r="H240" s="35"/>
      <c r="I240" s="35">
        <v>3413552</v>
      </c>
      <c r="J240" s="35"/>
      <c r="K240" s="35">
        <f t="shared" si="42"/>
        <v>1004785</v>
      </c>
      <c r="L240" s="35"/>
      <c r="M240" s="35">
        <v>3615878</v>
      </c>
      <c r="N240" s="35"/>
      <c r="O240" s="35">
        <v>4620663</v>
      </c>
      <c r="P240" s="35"/>
      <c r="Q240" s="35">
        <v>2559639</v>
      </c>
      <c r="R240" s="35"/>
      <c r="S240" s="35">
        <v>58060</v>
      </c>
      <c r="T240" s="35"/>
      <c r="U240" s="35">
        <v>-3824810</v>
      </c>
      <c r="V240" s="35"/>
      <c r="W240" s="35">
        <f t="shared" si="45"/>
        <v>-1207111</v>
      </c>
      <c r="X240" s="35"/>
      <c r="Y240" s="35" t="s">
        <v>280</v>
      </c>
      <c r="Z240" s="55"/>
      <c r="AA240" s="35" t="s">
        <v>281</v>
      </c>
      <c r="AB240" s="35"/>
      <c r="AC240" s="35">
        <v>1838101</v>
      </c>
      <c r="AD240" s="35"/>
      <c r="AE240" s="35">
        <f>2691723-356527</f>
        <v>2335196</v>
      </c>
      <c r="AF240" s="35"/>
      <c r="AG240" s="35">
        <v>356527</v>
      </c>
      <c r="AH240" s="35"/>
      <c r="AI240" s="45">
        <f t="shared" si="46"/>
        <v>-853622</v>
      </c>
      <c r="AJ240" s="45"/>
      <c r="AK240" s="35">
        <v>-9106</v>
      </c>
      <c r="AL240" s="35"/>
      <c r="AM240" s="35">
        <v>39984</v>
      </c>
      <c r="AN240" s="35"/>
      <c r="AO240" s="35">
        <v>0</v>
      </c>
      <c r="AP240" s="35"/>
      <c r="AQ240" s="35">
        <v>0</v>
      </c>
      <c r="AR240" s="35"/>
      <c r="AS240" s="45">
        <f t="shared" ref="AS240:AS244" si="49">+AI240+AK240+AM240-AO240+AQ240</f>
        <v>-822744</v>
      </c>
      <c r="AT240" s="45"/>
      <c r="AU240" s="35">
        <v>0</v>
      </c>
      <c r="AV240" s="35"/>
      <c r="AW240" s="35">
        <v>0</v>
      </c>
      <c r="AX240" s="35"/>
      <c r="AY240" s="35">
        <f t="shared" si="48"/>
        <v>-150872</v>
      </c>
      <c r="AZ240" s="35"/>
      <c r="BA240" s="35" t="s">
        <v>280</v>
      </c>
      <c r="BB240" s="55"/>
      <c r="BC240" s="35" t="s">
        <v>281</v>
      </c>
      <c r="BD240" s="35"/>
      <c r="BE240" s="35">
        <v>0</v>
      </c>
      <c r="BF240" s="35"/>
      <c r="BG240" s="35">
        <v>0</v>
      </c>
      <c r="BH240" s="35"/>
      <c r="BI240" s="35">
        <v>0</v>
      </c>
      <c r="BJ240" s="35"/>
      <c r="BK240" s="35">
        <f>3615878+16584</f>
        <v>3632462</v>
      </c>
      <c r="BL240" s="35"/>
      <c r="BM240" s="35">
        <f t="shared" si="38"/>
        <v>3632462</v>
      </c>
      <c r="BN240" s="54" t="s">
        <v>347</v>
      </c>
      <c r="BO240" s="55" t="s">
        <v>367</v>
      </c>
    </row>
    <row r="241" spans="1:67">
      <c r="A241" s="35" t="s">
        <v>282</v>
      </c>
      <c r="C241" s="35" t="s">
        <v>199</v>
      </c>
      <c r="D241" s="35"/>
      <c r="E241" s="35">
        <f t="shared" si="41"/>
        <v>516137</v>
      </c>
      <c r="F241" s="35"/>
      <c r="G241" s="35">
        <v>0</v>
      </c>
      <c r="H241" s="35"/>
      <c r="I241" s="35">
        <v>516137</v>
      </c>
      <c r="J241" s="35"/>
      <c r="K241" s="35">
        <f t="shared" si="42"/>
        <v>110574</v>
      </c>
      <c r="L241" s="35"/>
      <c r="M241" s="35">
        <v>0</v>
      </c>
      <c r="N241" s="35"/>
      <c r="O241" s="35">
        <v>110574</v>
      </c>
      <c r="P241" s="35"/>
      <c r="Q241" s="35">
        <v>0</v>
      </c>
      <c r="R241" s="35"/>
      <c r="S241" s="35">
        <v>0</v>
      </c>
      <c r="T241" s="35"/>
      <c r="U241" s="35">
        <v>405563</v>
      </c>
      <c r="V241" s="35"/>
      <c r="W241" s="35">
        <f t="shared" si="45"/>
        <v>405563</v>
      </c>
      <c r="X241" s="35"/>
      <c r="Y241" s="35" t="s">
        <v>282</v>
      </c>
      <c r="Z241" s="55"/>
      <c r="AA241" s="35" t="s">
        <v>199</v>
      </c>
      <c r="AB241" s="35"/>
      <c r="AC241" s="35">
        <v>1475009</v>
      </c>
      <c r="AD241" s="35"/>
      <c r="AE241" s="35">
        <v>1416866</v>
      </c>
      <c r="AF241" s="35"/>
      <c r="AG241" s="35">
        <v>0</v>
      </c>
      <c r="AH241" s="35"/>
      <c r="AI241" s="45">
        <f t="shared" si="46"/>
        <v>58143</v>
      </c>
      <c r="AJ241" s="45"/>
      <c r="AK241" s="35">
        <v>48052</v>
      </c>
      <c r="AL241" s="35"/>
      <c r="AM241" s="35">
        <v>0</v>
      </c>
      <c r="AN241" s="35"/>
      <c r="AO241" s="35">
        <v>0</v>
      </c>
      <c r="AP241" s="35"/>
      <c r="AQ241" s="35">
        <v>0</v>
      </c>
      <c r="AR241" s="35"/>
      <c r="AS241" s="45">
        <f t="shared" si="49"/>
        <v>106195</v>
      </c>
      <c r="AT241" s="45"/>
      <c r="AU241" s="35">
        <v>0</v>
      </c>
      <c r="AV241" s="35"/>
      <c r="AW241" s="35">
        <v>0</v>
      </c>
      <c r="AX241" s="35"/>
      <c r="AY241" s="35">
        <f t="shared" si="48"/>
        <v>405563</v>
      </c>
      <c r="AZ241" s="35"/>
      <c r="BA241" s="35" t="s">
        <v>282</v>
      </c>
      <c r="BB241" s="55"/>
      <c r="BC241" s="35" t="s">
        <v>199</v>
      </c>
      <c r="BD241" s="35"/>
      <c r="BE241" s="35">
        <v>0</v>
      </c>
      <c r="BF241" s="35"/>
      <c r="BG241" s="35">
        <v>0</v>
      </c>
      <c r="BH241" s="35"/>
      <c r="BI241" s="35">
        <v>0</v>
      </c>
      <c r="BJ241" s="35"/>
      <c r="BK241" s="35">
        <v>0</v>
      </c>
      <c r="BL241" s="35"/>
      <c r="BM241" s="35">
        <f t="shared" si="38"/>
        <v>0</v>
      </c>
      <c r="BN241" s="54" t="s">
        <v>347</v>
      </c>
    </row>
    <row r="242" spans="1:67" hidden="1">
      <c r="A242" s="35" t="s">
        <v>283</v>
      </c>
      <c r="C242" s="35" t="s">
        <v>43</v>
      </c>
      <c r="D242" s="35"/>
      <c r="E242" s="35">
        <f t="shared" si="41"/>
        <v>0</v>
      </c>
      <c r="F242" s="35"/>
      <c r="G242" s="35">
        <v>0</v>
      </c>
      <c r="H242" s="35"/>
      <c r="I242" s="35">
        <v>0</v>
      </c>
      <c r="J242" s="35"/>
      <c r="K242" s="35">
        <f t="shared" si="42"/>
        <v>0</v>
      </c>
      <c r="L242" s="35"/>
      <c r="M242" s="35">
        <v>0</v>
      </c>
      <c r="N242" s="35"/>
      <c r="O242" s="35">
        <v>0</v>
      </c>
      <c r="P242" s="35"/>
      <c r="Q242" s="35">
        <v>0</v>
      </c>
      <c r="R242" s="35"/>
      <c r="S242" s="35">
        <v>0</v>
      </c>
      <c r="T242" s="35"/>
      <c r="U242" s="35">
        <v>0</v>
      </c>
      <c r="V242" s="35"/>
      <c r="W242" s="35">
        <f t="shared" si="45"/>
        <v>0</v>
      </c>
      <c r="X242" s="35"/>
      <c r="Y242" s="35" t="s">
        <v>283</v>
      </c>
      <c r="Z242" s="55"/>
      <c r="AA242" s="35" t="s">
        <v>43</v>
      </c>
      <c r="AB242" s="35"/>
      <c r="AC242" s="35">
        <v>0</v>
      </c>
      <c r="AD242" s="35"/>
      <c r="AE242" s="35">
        <v>0</v>
      </c>
      <c r="AF242" s="35"/>
      <c r="AG242" s="35">
        <v>0</v>
      </c>
      <c r="AH242" s="35"/>
      <c r="AI242" s="45">
        <f t="shared" si="46"/>
        <v>0</v>
      </c>
      <c r="AJ242" s="45"/>
      <c r="AK242" s="35">
        <v>0</v>
      </c>
      <c r="AL242" s="35"/>
      <c r="AM242" s="35">
        <v>0</v>
      </c>
      <c r="AN242" s="35"/>
      <c r="AO242" s="35">
        <v>0</v>
      </c>
      <c r="AP242" s="35"/>
      <c r="AQ242" s="35">
        <v>0</v>
      </c>
      <c r="AR242" s="35"/>
      <c r="AS242" s="45">
        <f t="shared" si="49"/>
        <v>0</v>
      </c>
      <c r="AT242" s="45"/>
      <c r="AU242" s="35">
        <v>0</v>
      </c>
      <c r="AV242" s="35"/>
      <c r="AW242" s="35">
        <v>0</v>
      </c>
      <c r="AX242" s="35"/>
      <c r="AY242" s="35">
        <f t="shared" si="48"/>
        <v>0</v>
      </c>
      <c r="AZ242" s="35"/>
      <c r="BA242" s="35" t="s">
        <v>283</v>
      </c>
      <c r="BB242" s="55"/>
      <c r="BC242" s="35" t="s">
        <v>43</v>
      </c>
      <c r="BD242" s="35"/>
      <c r="BE242" s="35">
        <v>0</v>
      </c>
      <c r="BF242" s="35"/>
      <c r="BG242" s="35">
        <v>0</v>
      </c>
      <c r="BH242" s="35"/>
      <c r="BI242" s="35">
        <v>0</v>
      </c>
      <c r="BJ242" s="35"/>
      <c r="BK242" s="35">
        <v>0</v>
      </c>
      <c r="BL242" s="35"/>
      <c r="BM242" s="35">
        <f t="shared" si="38"/>
        <v>0</v>
      </c>
      <c r="BN242" s="54" t="s">
        <v>347</v>
      </c>
      <c r="BO242" s="55" t="s">
        <v>367</v>
      </c>
    </row>
    <row r="243" spans="1:67" hidden="1">
      <c r="A243" s="35" t="s">
        <v>284</v>
      </c>
      <c r="C243" s="35" t="s">
        <v>45</v>
      </c>
      <c r="D243" s="35"/>
      <c r="E243" s="35">
        <f t="shared" si="41"/>
        <v>0</v>
      </c>
      <c r="F243" s="35"/>
      <c r="G243" s="35">
        <v>0</v>
      </c>
      <c r="H243" s="35"/>
      <c r="I243" s="35">
        <v>0</v>
      </c>
      <c r="J243" s="35"/>
      <c r="K243" s="35">
        <f t="shared" si="42"/>
        <v>0</v>
      </c>
      <c r="L243" s="35"/>
      <c r="M243" s="35">
        <v>0</v>
      </c>
      <c r="N243" s="35"/>
      <c r="O243" s="35">
        <v>0</v>
      </c>
      <c r="P243" s="35"/>
      <c r="Q243" s="35">
        <v>0</v>
      </c>
      <c r="R243" s="35"/>
      <c r="S243" s="35">
        <v>0</v>
      </c>
      <c r="T243" s="35"/>
      <c r="U243" s="35">
        <v>0</v>
      </c>
      <c r="V243" s="35"/>
      <c r="W243" s="35">
        <f t="shared" si="45"/>
        <v>0</v>
      </c>
      <c r="X243" s="35"/>
      <c r="Y243" s="35" t="s">
        <v>284</v>
      </c>
      <c r="Z243" s="55"/>
      <c r="AA243" s="35" t="s">
        <v>45</v>
      </c>
      <c r="AB243" s="35"/>
      <c r="AC243" s="35">
        <v>0</v>
      </c>
      <c r="AD243" s="35"/>
      <c r="AE243" s="35">
        <v>0</v>
      </c>
      <c r="AF243" s="35"/>
      <c r="AG243" s="35">
        <v>0</v>
      </c>
      <c r="AH243" s="35"/>
      <c r="AI243" s="45">
        <v>0</v>
      </c>
      <c r="AJ243" s="45"/>
      <c r="AK243" s="35">
        <v>0</v>
      </c>
      <c r="AL243" s="35"/>
      <c r="AM243" s="35">
        <v>0</v>
      </c>
      <c r="AN243" s="35"/>
      <c r="AO243" s="35">
        <v>0</v>
      </c>
      <c r="AP243" s="35"/>
      <c r="AQ243" s="35">
        <v>0</v>
      </c>
      <c r="AR243" s="35"/>
      <c r="AS243" s="45">
        <f t="shared" si="49"/>
        <v>0</v>
      </c>
      <c r="AT243" s="45"/>
      <c r="AU243" s="35">
        <v>0</v>
      </c>
      <c r="AV243" s="35"/>
      <c r="AW243" s="35">
        <v>0</v>
      </c>
      <c r="AX243" s="35"/>
      <c r="AY243" s="35">
        <f t="shared" si="48"/>
        <v>0</v>
      </c>
      <c r="AZ243" s="35"/>
      <c r="BA243" s="35" t="s">
        <v>284</v>
      </c>
      <c r="BB243" s="55"/>
      <c r="BC243" s="35" t="s">
        <v>45</v>
      </c>
      <c r="BD243" s="35"/>
      <c r="BE243" s="35">
        <v>0</v>
      </c>
      <c r="BF243" s="35"/>
      <c r="BG243" s="35">
        <v>0</v>
      </c>
      <c r="BH243" s="35"/>
      <c r="BI243" s="35">
        <v>0</v>
      </c>
      <c r="BJ243" s="35"/>
      <c r="BK243" s="35">
        <v>0</v>
      </c>
      <c r="BL243" s="35"/>
      <c r="BM243" s="35">
        <f t="shared" si="38"/>
        <v>0</v>
      </c>
      <c r="BN243" s="54" t="s">
        <v>347</v>
      </c>
    </row>
    <row r="244" spans="1:67">
      <c r="A244" s="35" t="s">
        <v>285</v>
      </c>
      <c r="C244" s="35" t="s">
        <v>30</v>
      </c>
      <c r="D244" s="35"/>
      <c r="E244" s="35">
        <f t="shared" si="41"/>
        <v>1546202</v>
      </c>
      <c r="F244" s="35"/>
      <c r="G244" s="35">
        <v>114411</v>
      </c>
      <c r="H244" s="35"/>
      <c r="I244" s="35">
        <v>1660613</v>
      </c>
      <c r="J244" s="35"/>
      <c r="K244" s="35">
        <f t="shared" si="42"/>
        <v>306296</v>
      </c>
      <c r="L244" s="35"/>
      <c r="M244" s="35">
        <v>975199</v>
      </c>
      <c r="N244" s="35"/>
      <c r="O244" s="35">
        <v>1281495</v>
      </c>
      <c r="P244" s="35"/>
      <c r="Q244" s="35">
        <v>114411</v>
      </c>
      <c r="R244" s="35"/>
      <c r="S244" s="35">
        <v>0</v>
      </c>
      <c r="T244" s="35"/>
      <c r="U244" s="35">
        <v>264707</v>
      </c>
      <c r="V244" s="35"/>
      <c r="W244" s="35">
        <f t="shared" si="45"/>
        <v>379118</v>
      </c>
      <c r="X244" s="35"/>
      <c r="Y244" s="35" t="s">
        <v>285</v>
      </c>
      <c r="Z244" s="55"/>
      <c r="AA244" s="35" t="s">
        <v>30</v>
      </c>
      <c r="AB244" s="35"/>
      <c r="AC244" s="35">
        <v>1629916</v>
      </c>
      <c r="AD244" s="35"/>
      <c r="AE244" s="35">
        <f>1640627-25680</f>
        <v>1614947</v>
      </c>
      <c r="AF244" s="35"/>
      <c r="AG244" s="35">
        <v>25680</v>
      </c>
      <c r="AH244" s="35"/>
      <c r="AI244" s="45">
        <f>+AC244-AE244-AG244</f>
        <v>-10711</v>
      </c>
      <c r="AJ244" s="45"/>
      <c r="AK244" s="35">
        <v>145077</v>
      </c>
      <c r="AL244" s="35"/>
      <c r="AM244" s="35">
        <v>0</v>
      </c>
      <c r="AN244" s="35"/>
      <c r="AO244" s="35">
        <v>0</v>
      </c>
      <c r="AP244" s="35"/>
      <c r="AQ244" s="35">
        <v>0</v>
      </c>
      <c r="AR244" s="35"/>
      <c r="AS244" s="45">
        <f t="shared" si="49"/>
        <v>134366</v>
      </c>
      <c r="AT244" s="45"/>
      <c r="AU244" s="35">
        <v>0</v>
      </c>
      <c r="AV244" s="35"/>
      <c r="AW244" s="35">
        <v>0</v>
      </c>
      <c r="AX244" s="35"/>
      <c r="AY244" s="35">
        <f t="shared" si="48"/>
        <v>1239906</v>
      </c>
      <c r="AZ244" s="35"/>
      <c r="BA244" s="35" t="s">
        <v>285</v>
      </c>
      <c r="BB244" s="55"/>
      <c r="BC244" s="35" t="s">
        <v>30</v>
      </c>
      <c r="BD244" s="35"/>
      <c r="BE244" s="35">
        <v>0</v>
      </c>
      <c r="BF244" s="35"/>
      <c r="BG244" s="35">
        <v>0</v>
      </c>
      <c r="BH244" s="35"/>
      <c r="BI244" s="35">
        <v>0</v>
      </c>
      <c r="BJ244" s="35"/>
      <c r="BK244" s="35">
        <f>975199+85156+7330</f>
        <v>1067685</v>
      </c>
      <c r="BL244" s="35"/>
      <c r="BM244" s="35">
        <f t="shared" si="38"/>
        <v>1067685</v>
      </c>
      <c r="BN244" s="54" t="s">
        <v>347</v>
      </c>
    </row>
    <row r="245" spans="1:67"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Z245" s="5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B245" s="5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</row>
    <row r="246" spans="1:67"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Z246" s="5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B246" s="5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</row>
    <row r="247" spans="1:67"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Z247" s="5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B247" s="5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</row>
    <row r="248" spans="1:67"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5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B248" s="5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</row>
    <row r="249" spans="1:67"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5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B249" s="5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</row>
    <row r="250" spans="1:67"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5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B250" s="5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</row>
    <row r="251" spans="1:67"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5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B251" s="5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</row>
    <row r="252" spans="1:67"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5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B252" s="5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</row>
    <row r="253" spans="1:67"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5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B253" s="5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</row>
    <row r="254" spans="1:67"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5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B254" s="5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</row>
    <row r="255" spans="1:67"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5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B255" s="5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</row>
    <row r="256" spans="1:67"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5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B256" s="5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</row>
    <row r="257" spans="5:66"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5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B257" s="5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</row>
    <row r="258" spans="5:66"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5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B258" s="5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</row>
    <row r="259" spans="5:66"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5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B259" s="5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</row>
    <row r="260" spans="5:66"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5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B260" s="5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</row>
    <row r="261" spans="5:66"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5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B261" s="5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</row>
    <row r="262" spans="5:66"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5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B262" s="5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</row>
    <row r="263" spans="5:66"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5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B263" s="5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</row>
    <row r="264" spans="5:66"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5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B264" s="5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</row>
    <row r="265" spans="5:66">
      <c r="Z265" s="55"/>
      <c r="BB265" s="55"/>
      <c r="BE265" s="45"/>
      <c r="BG265" s="45"/>
      <c r="BI265" s="45"/>
      <c r="BK265" s="45"/>
    </row>
    <row r="266" spans="5:66">
      <c r="Z266" s="55"/>
      <c r="BB266" s="55"/>
      <c r="BE266" s="45"/>
      <c r="BG266" s="45"/>
      <c r="BI266" s="45"/>
      <c r="BK266" s="45"/>
    </row>
    <row r="267" spans="5:66">
      <c r="Z267" s="55"/>
      <c r="BB267" s="55"/>
      <c r="BE267" s="45"/>
      <c r="BG267" s="45"/>
      <c r="BI267" s="45"/>
      <c r="BK267" s="45"/>
    </row>
    <row r="268" spans="5:66">
      <c r="Z268" s="55"/>
      <c r="BB268" s="55"/>
      <c r="BE268" s="45"/>
      <c r="BG268" s="45"/>
      <c r="BI268" s="45"/>
      <c r="BK268" s="45"/>
    </row>
    <row r="269" spans="5:66">
      <c r="Z269" s="55"/>
      <c r="BB269" s="55"/>
      <c r="BE269" s="45"/>
      <c r="BG269" s="45"/>
      <c r="BI269" s="45"/>
      <c r="BK269" s="45"/>
    </row>
    <row r="270" spans="5:66">
      <c r="Z270" s="55"/>
      <c r="BB270" s="55"/>
      <c r="BE270" s="45"/>
      <c r="BG270" s="45"/>
      <c r="BI270" s="45"/>
      <c r="BK270" s="45"/>
    </row>
    <row r="271" spans="5:66">
      <c r="Z271" s="55"/>
      <c r="BB271" s="55"/>
      <c r="BE271" s="45"/>
      <c r="BG271" s="45"/>
      <c r="BI271" s="45"/>
      <c r="BK271" s="45"/>
    </row>
    <row r="272" spans="5:66">
      <c r="Z272" s="55"/>
      <c r="BB272" s="55"/>
      <c r="BE272" s="45"/>
      <c r="BG272" s="45"/>
      <c r="BI272" s="45"/>
      <c r="BK272" s="45"/>
    </row>
    <row r="273" spans="26:63">
      <c r="Z273" s="55"/>
      <c r="BB273" s="55"/>
      <c r="BE273" s="45"/>
      <c r="BG273" s="45"/>
      <c r="BI273" s="45"/>
      <c r="BK273" s="45"/>
    </row>
    <row r="274" spans="26:63">
      <c r="Z274" s="55"/>
      <c r="BB274" s="55"/>
      <c r="BE274" s="45"/>
      <c r="BG274" s="45"/>
      <c r="BI274" s="45"/>
      <c r="BK274" s="45"/>
    </row>
    <row r="275" spans="26:63">
      <c r="Z275" s="55"/>
      <c r="BB275" s="55"/>
      <c r="BE275" s="45"/>
      <c r="BG275" s="45"/>
      <c r="BI275" s="45"/>
      <c r="BK275" s="45"/>
    </row>
    <row r="276" spans="26:63">
      <c r="Z276" s="55"/>
      <c r="BB276" s="55"/>
      <c r="BE276" s="45"/>
      <c r="BG276" s="45"/>
      <c r="BI276" s="45"/>
      <c r="BK276" s="45"/>
    </row>
    <row r="277" spans="26:63">
      <c r="Z277" s="55"/>
      <c r="BB277" s="55"/>
      <c r="BE277" s="45"/>
      <c r="BG277" s="45"/>
      <c r="BI277" s="45"/>
      <c r="BK277" s="45"/>
    </row>
    <row r="278" spans="26:63">
      <c r="Z278" s="55"/>
      <c r="BB278" s="55"/>
      <c r="BE278" s="45"/>
      <c r="BG278" s="45"/>
      <c r="BI278" s="45"/>
      <c r="BK278" s="45"/>
    </row>
    <row r="279" spans="26:63">
      <c r="Z279" s="55"/>
      <c r="BB279" s="55"/>
      <c r="BE279" s="45"/>
      <c r="BG279" s="45"/>
      <c r="BI279" s="45"/>
      <c r="BK279" s="45"/>
    </row>
    <row r="280" spans="26:63">
      <c r="Z280" s="55"/>
      <c r="BB280" s="55"/>
      <c r="BE280" s="45"/>
      <c r="BG280" s="45"/>
      <c r="BI280" s="45"/>
      <c r="BK280" s="45"/>
    </row>
    <row r="281" spans="26:63">
      <c r="Z281" s="55"/>
      <c r="BB281" s="55"/>
      <c r="BE281" s="45"/>
      <c r="BG281" s="45"/>
      <c r="BI281" s="45"/>
      <c r="BK281" s="45"/>
    </row>
    <row r="282" spans="26:63">
      <c r="Z282" s="55"/>
      <c r="BB282" s="55"/>
      <c r="BE282" s="45"/>
      <c r="BG282" s="45"/>
      <c r="BI282" s="45"/>
      <c r="BK282" s="45"/>
    </row>
    <row r="283" spans="26:63">
      <c r="Z283" s="55"/>
      <c r="BB283" s="55"/>
      <c r="BE283" s="45"/>
      <c r="BG283" s="45"/>
      <c r="BI283" s="45"/>
      <c r="BK283" s="45"/>
    </row>
    <row r="284" spans="26:63">
      <c r="Z284" s="55"/>
      <c r="BB284" s="55"/>
      <c r="BE284" s="45"/>
      <c r="BG284" s="45"/>
      <c r="BI284" s="45"/>
      <c r="BK284" s="45"/>
    </row>
    <row r="285" spans="26:63">
      <c r="Z285" s="55"/>
      <c r="BB285" s="55"/>
      <c r="BE285" s="45"/>
      <c r="BG285" s="45"/>
      <c r="BI285" s="45"/>
      <c r="BK285" s="45"/>
    </row>
    <row r="286" spans="26:63">
      <c r="Z286" s="55"/>
      <c r="BB286" s="55"/>
      <c r="BE286" s="45"/>
      <c r="BG286" s="45"/>
      <c r="BI286" s="45"/>
      <c r="BK286" s="45"/>
    </row>
    <row r="287" spans="26:63">
      <c r="Z287" s="55"/>
      <c r="BB287" s="55"/>
      <c r="BE287" s="45"/>
      <c r="BG287" s="45"/>
      <c r="BI287" s="45"/>
      <c r="BK287" s="45"/>
    </row>
    <row r="288" spans="26:63">
      <c r="Z288" s="55"/>
      <c r="BB288" s="55"/>
      <c r="BE288" s="45"/>
      <c r="BG288" s="45"/>
      <c r="BI288" s="45"/>
      <c r="BK288" s="45"/>
    </row>
    <row r="289" spans="26:63">
      <c r="Z289" s="55"/>
      <c r="BB289" s="55"/>
      <c r="BE289" s="45"/>
      <c r="BG289" s="45"/>
      <c r="BI289" s="45"/>
      <c r="BK289" s="45"/>
    </row>
    <row r="290" spans="26:63">
      <c r="Z290" s="55"/>
      <c r="BB290" s="55"/>
      <c r="BE290" s="45"/>
      <c r="BG290" s="45"/>
      <c r="BI290" s="45"/>
      <c r="BK290" s="45"/>
    </row>
    <row r="291" spans="26:63">
      <c r="Z291" s="55"/>
      <c r="BB291" s="55"/>
      <c r="BE291" s="45"/>
      <c r="BG291" s="45"/>
      <c r="BI291" s="45"/>
      <c r="BK291" s="45"/>
    </row>
    <row r="292" spans="26:63">
      <c r="Z292" s="55"/>
      <c r="BB292" s="55"/>
      <c r="BE292" s="45"/>
      <c r="BG292" s="45"/>
      <c r="BI292" s="45"/>
      <c r="BK292" s="45"/>
    </row>
    <row r="293" spans="26:63">
      <c r="Z293" s="55"/>
      <c r="BB293" s="55"/>
      <c r="BE293" s="45"/>
      <c r="BG293" s="45"/>
      <c r="BI293" s="45"/>
      <c r="BK293" s="45"/>
    </row>
    <row r="294" spans="26:63">
      <c r="Z294" s="55"/>
      <c r="BB294" s="55"/>
      <c r="BE294" s="45"/>
      <c r="BG294" s="45"/>
      <c r="BI294" s="45"/>
      <c r="BK294" s="45"/>
    </row>
    <row r="295" spans="26:63">
      <c r="Z295" s="55"/>
      <c r="BB295" s="55"/>
      <c r="BE295" s="45"/>
      <c r="BG295" s="45"/>
      <c r="BI295" s="45"/>
      <c r="BK295" s="45"/>
    </row>
    <row r="296" spans="26:63">
      <c r="Z296" s="55"/>
      <c r="BB296" s="55"/>
      <c r="BE296" s="45"/>
      <c r="BG296" s="45"/>
      <c r="BI296" s="45"/>
      <c r="BK296" s="45"/>
    </row>
    <row r="297" spans="26:63">
      <c r="Z297" s="55"/>
      <c r="BB297" s="55"/>
      <c r="BE297" s="45"/>
      <c r="BG297" s="45"/>
      <c r="BI297" s="45"/>
      <c r="BK297" s="45"/>
    </row>
    <row r="298" spans="26:63">
      <c r="Z298" s="55"/>
      <c r="BB298" s="55"/>
      <c r="BE298" s="45"/>
      <c r="BG298" s="45"/>
      <c r="BI298" s="45"/>
      <c r="BK298" s="45"/>
    </row>
    <row r="299" spans="26:63">
      <c r="Z299" s="55"/>
      <c r="BB299" s="55"/>
      <c r="BE299" s="45"/>
      <c r="BG299" s="45"/>
      <c r="BI299" s="45"/>
      <c r="BK299" s="45"/>
    </row>
    <row r="300" spans="26:63">
      <c r="Z300" s="55"/>
      <c r="BB300" s="55"/>
      <c r="BE300" s="45"/>
      <c r="BG300" s="45"/>
      <c r="BI300" s="45"/>
      <c r="BK300" s="45"/>
    </row>
    <row r="301" spans="26:63">
      <c r="Z301" s="55"/>
      <c r="BB301" s="55"/>
      <c r="BE301" s="45"/>
      <c r="BG301" s="45"/>
      <c r="BI301" s="45"/>
      <c r="BK301" s="45"/>
    </row>
    <row r="302" spans="26:63">
      <c r="Z302" s="55"/>
      <c r="BB302" s="55"/>
      <c r="BE302" s="45"/>
      <c r="BG302" s="45"/>
      <c r="BI302" s="45"/>
      <c r="BK302" s="45"/>
    </row>
    <row r="303" spans="26:63">
      <c r="Z303" s="55"/>
      <c r="BB303" s="55"/>
      <c r="BE303" s="45"/>
      <c r="BG303" s="45"/>
      <c r="BI303" s="45"/>
      <c r="BK303" s="45"/>
    </row>
    <row r="304" spans="26:63">
      <c r="Z304" s="55"/>
      <c r="BB304" s="55"/>
      <c r="BE304" s="45"/>
      <c r="BG304" s="45"/>
      <c r="BI304" s="45"/>
      <c r="BK304" s="45"/>
    </row>
    <row r="305" spans="26:63">
      <c r="Z305" s="55"/>
      <c r="BB305" s="55"/>
      <c r="BE305" s="45"/>
      <c r="BG305" s="45"/>
      <c r="BI305" s="45"/>
      <c r="BK305" s="45"/>
    </row>
    <row r="306" spans="26:63">
      <c r="Z306" s="55"/>
      <c r="BB306" s="55"/>
    </row>
    <row r="307" spans="26:63">
      <c r="Z307" s="55"/>
      <c r="BB307" s="55"/>
    </row>
    <row r="308" spans="26:63">
      <c r="Z308" s="55"/>
      <c r="BB308" s="55"/>
    </row>
    <row r="309" spans="26:63">
      <c r="Z309" s="55"/>
      <c r="BB309" s="55"/>
    </row>
  </sheetData>
  <mergeCells count="1">
    <mergeCell ref="Q6:U6"/>
  </mergeCells>
  <pageMargins left="0.7" right="0.7" top="0.75" bottom="0.75" header="0.3" footer="0.3"/>
  <pageSetup scale="90" firstPageNumber="11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266"/>
  <sheetViews>
    <sheetView view="pageBreakPreview" zoomScale="60" zoomScaleNormal="100" workbookViewId="0">
      <pane xSplit="3" ySplit="8" topLeftCell="D12" activePane="bottomRight" state="frozen"/>
      <selection pane="topRight" activeCell="D1" sqref="D1"/>
      <selection pane="bottomLeft" activeCell="A11" sqref="A11"/>
      <selection pane="bottomRight" activeCell="A5" sqref="A5"/>
    </sheetView>
  </sheetViews>
  <sheetFormatPr defaultColWidth="9.140625" defaultRowHeight="12.75" customHeight="1"/>
  <cols>
    <col min="1" max="1" width="15.28515625" style="10" customWidth="1"/>
    <col min="2" max="2" width="1.7109375" style="10" customWidth="1"/>
    <col min="3" max="3" width="11" style="10" customWidth="1"/>
    <col min="4" max="4" width="1.7109375" style="10" customWidth="1"/>
    <col min="5" max="5" width="11.7109375" style="10" customWidth="1"/>
    <col min="6" max="6" width="1.7109375" style="10" customWidth="1"/>
    <col min="7" max="7" width="12.5703125" style="10" customWidth="1"/>
    <col min="8" max="8" width="1.7109375" style="10" customWidth="1"/>
    <col min="9" max="9" width="11.7109375" style="10" customWidth="1"/>
    <col min="10" max="10" width="2.7109375" style="10" customWidth="1"/>
    <col min="11" max="11" width="11.42578125" style="10" customWidth="1"/>
    <col min="12" max="12" width="1.7109375" style="10" customWidth="1"/>
    <col min="13" max="13" width="11.7109375" style="10" customWidth="1"/>
    <col min="14" max="14" width="1.7109375" style="10" customWidth="1"/>
    <col min="15" max="15" width="11.7109375" style="10" customWidth="1"/>
    <col min="16" max="16" width="1.7109375" style="10" customWidth="1"/>
    <col min="17" max="17" width="11.7109375" style="10" customWidth="1"/>
    <col min="18" max="18" width="1.7109375" style="10" customWidth="1"/>
    <col min="19" max="19" width="11.7109375" style="10" customWidth="1"/>
    <col min="20" max="20" width="1.7109375" style="10" customWidth="1"/>
    <col min="21" max="21" width="11.7109375" style="10" customWidth="1"/>
    <col min="22" max="22" width="1" style="10" customWidth="1"/>
    <col min="23" max="23" width="12.42578125" style="10" customWidth="1"/>
    <col min="24" max="24" width="1.7109375" style="10" customWidth="1"/>
    <col min="25" max="25" width="9" style="10" customWidth="1"/>
    <col min="26" max="26" width="1.7109375" style="10" customWidth="1"/>
    <col min="27" max="27" width="12.7109375" style="10" customWidth="1"/>
    <col min="28" max="28" width="2.7109375" style="10" customWidth="1"/>
    <col min="29" max="29" width="12.7109375" style="10" customWidth="1"/>
    <col min="30" max="30" width="9.5703125" style="10" bestFit="1" customWidth="1"/>
    <col min="31" max="31" width="11" style="10" bestFit="1" customWidth="1"/>
    <col min="32" max="16384" width="9.140625" style="10"/>
  </cols>
  <sheetData>
    <row r="1" spans="1:31" ht="12.75" customHeight="1">
      <c r="A1" s="9" t="s">
        <v>384</v>
      </c>
    </row>
    <row r="2" spans="1:31" ht="12.75" customHeight="1">
      <c r="A2" s="9" t="s">
        <v>501</v>
      </c>
    </row>
    <row r="3" spans="1:31" ht="12.75" customHeight="1">
      <c r="A3" s="9" t="s">
        <v>289</v>
      </c>
    </row>
    <row r="4" spans="1:31" ht="12.75" customHeight="1">
      <c r="A4" s="9" t="s">
        <v>484</v>
      </c>
    </row>
    <row r="5" spans="1:31" ht="12.75" customHeight="1">
      <c r="E5" s="13" t="s">
        <v>291</v>
      </c>
      <c r="F5" s="13"/>
      <c r="G5" s="13"/>
      <c r="H5" s="13"/>
      <c r="I5" s="13"/>
      <c r="K5" s="158" t="s">
        <v>470</v>
      </c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56"/>
      <c r="W5" s="15"/>
      <c r="X5" s="14"/>
      <c r="Y5" s="14"/>
      <c r="Z5" s="14"/>
      <c r="AA5" s="15" t="s">
        <v>425</v>
      </c>
      <c r="AC5" s="15" t="s">
        <v>426</v>
      </c>
    </row>
    <row r="6" spans="1:31" ht="12.75" customHeight="1">
      <c r="G6" s="12" t="s">
        <v>399</v>
      </c>
      <c r="V6" s="19"/>
      <c r="W6" s="18"/>
      <c r="AA6" s="15" t="s">
        <v>444</v>
      </c>
      <c r="AC6" s="15" t="s">
        <v>444</v>
      </c>
    </row>
    <row r="7" spans="1:31" ht="12.75" customHeight="1">
      <c r="A7" s="11"/>
      <c r="C7" s="11"/>
      <c r="D7" s="11"/>
      <c r="E7" s="12" t="s">
        <v>292</v>
      </c>
      <c r="F7" s="12"/>
      <c r="G7" s="12" t="s">
        <v>361</v>
      </c>
      <c r="H7" s="12"/>
      <c r="I7" s="12" t="s">
        <v>4</v>
      </c>
      <c r="K7" s="15" t="s">
        <v>293</v>
      </c>
      <c r="L7" s="15"/>
      <c r="M7" s="15" t="s">
        <v>303</v>
      </c>
      <c r="N7" s="15"/>
      <c r="O7" s="15" t="s">
        <v>304</v>
      </c>
      <c r="P7" s="15"/>
      <c r="Q7" s="15" t="s">
        <v>11</v>
      </c>
      <c r="R7" s="15"/>
      <c r="S7" s="12" t="s">
        <v>295</v>
      </c>
      <c r="T7" s="12"/>
      <c r="U7" s="12"/>
      <c r="V7" s="12"/>
      <c r="W7" s="12" t="s">
        <v>301</v>
      </c>
      <c r="X7" s="12"/>
      <c r="Y7" s="12" t="s">
        <v>328</v>
      </c>
      <c r="Z7" s="12"/>
      <c r="AA7" s="15" t="s">
        <v>445</v>
      </c>
      <c r="AB7" s="19"/>
      <c r="AC7" s="15" t="s">
        <v>445</v>
      </c>
    </row>
    <row r="8" spans="1:31" s="47" customFormat="1" ht="12.75" customHeight="1">
      <c r="A8" s="100" t="s">
        <v>8</v>
      </c>
      <c r="C8" s="100" t="s">
        <v>9</v>
      </c>
      <c r="D8" s="50"/>
      <c r="E8" s="16" t="s">
        <v>297</v>
      </c>
      <c r="F8" s="18"/>
      <c r="G8" s="16" t="s">
        <v>400</v>
      </c>
      <c r="H8" s="18"/>
      <c r="I8" s="16" t="s">
        <v>298</v>
      </c>
      <c r="K8" s="16" t="s">
        <v>423</v>
      </c>
      <c r="L8" s="18"/>
      <c r="M8" s="16" t="s">
        <v>299</v>
      </c>
      <c r="N8" s="18"/>
      <c r="O8" s="16" t="s">
        <v>299</v>
      </c>
      <c r="P8" s="18"/>
      <c r="Q8" s="16" t="s">
        <v>298</v>
      </c>
      <c r="R8" s="18"/>
      <c r="S8" s="16" t="s">
        <v>300</v>
      </c>
      <c r="T8" s="18"/>
      <c r="U8" s="16" t="s">
        <v>294</v>
      </c>
      <c r="V8" s="18"/>
      <c r="W8" s="16" t="s">
        <v>439</v>
      </c>
      <c r="X8" s="18"/>
      <c r="Y8" s="16" t="s">
        <v>443</v>
      </c>
      <c r="Z8" s="18"/>
      <c r="AA8" s="16" t="s">
        <v>446</v>
      </c>
      <c r="AB8" s="18"/>
      <c r="AC8" s="16" t="s">
        <v>446</v>
      </c>
    </row>
    <row r="9" spans="1:31" s="47" customFormat="1" ht="12.75" customHeight="1">
      <c r="A9" s="26"/>
      <c r="C9" s="26"/>
      <c r="D9" s="50"/>
      <c r="E9" s="18"/>
      <c r="F9" s="18"/>
      <c r="G9" s="18"/>
      <c r="H9" s="18"/>
      <c r="I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31" s="46" customFormat="1" ht="12.75" customHeight="1">
      <c r="A10" s="47" t="s">
        <v>12</v>
      </c>
      <c r="B10" s="47"/>
      <c r="C10" s="47" t="s">
        <v>13</v>
      </c>
      <c r="D10" s="47"/>
      <c r="E10" s="46">
        <v>35023885</v>
      </c>
      <c r="G10" s="46">
        <v>21601120</v>
      </c>
      <c r="I10" s="46">
        <v>26257174</v>
      </c>
      <c r="K10" s="46">
        <v>28160321</v>
      </c>
      <c r="M10" s="46">
        <v>120914118</v>
      </c>
      <c r="O10" s="46">
        <v>15603044</v>
      </c>
      <c r="Q10" s="46">
        <v>60374803</v>
      </c>
      <c r="S10" s="46">
        <v>2411286</v>
      </c>
      <c r="U10" s="46">
        <v>13832819</v>
      </c>
      <c r="W10" s="46">
        <v>-890160</v>
      </c>
      <c r="Y10" s="46">
        <v>0</v>
      </c>
      <c r="AA10" s="46">
        <f>SUM(K10:Y10)</f>
        <v>240406231</v>
      </c>
      <c r="AC10" s="46">
        <f t="shared" ref="AC10:AC78" si="0">SUM(E10:Y10)</f>
        <v>323288410</v>
      </c>
    </row>
    <row r="11" spans="1:31" s="44" customFormat="1" ht="12.75" customHeight="1">
      <c r="A11" s="44" t="s">
        <v>14</v>
      </c>
      <c r="C11" s="44" t="s">
        <v>15</v>
      </c>
      <c r="E11" s="44">
        <v>1266937</v>
      </c>
      <c r="G11" s="44">
        <v>2218181</v>
      </c>
      <c r="I11" s="44">
        <v>125414</v>
      </c>
      <c r="K11" s="44">
        <f>830777+77053+77053</f>
        <v>984883</v>
      </c>
      <c r="M11" s="44">
        <f>7092500+566359+882017</f>
        <v>8540876</v>
      </c>
      <c r="O11" s="44">
        <v>0</v>
      </c>
      <c r="Q11" s="44">
        <v>1714806</v>
      </c>
      <c r="S11" s="44">
        <v>21096</v>
      </c>
      <c r="U11" s="44">
        <v>747714</v>
      </c>
      <c r="W11" s="44">
        <v>0</v>
      </c>
      <c r="Y11" s="44">
        <v>0</v>
      </c>
      <c r="AA11" s="44">
        <f t="shared" ref="AA11:AA78" si="1">SUM(K11:Y11)</f>
        <v>12009375</v>
      </c>
      <c r="AC11" s="44">
        <f t="shared" si="0"/>
        <v>15619907</v>
      </c>
    </row>
    <row r="12" spans="1:31" s="47" customFormat="1" ht="12.75" customHeight="1">
      <c r="A12" s="47" t="s">
        <v>16</v>
      </c>
      <c r="C12" s="47" t="s">
        <v>17</v>
      </c>
      <c r="E12" s="44">
        <v>568293</v>
      </c>
      <c r="F12" s="44"/>
      <c r="G12" s="44">
        <v>837118</v>
      </c>
      <c r="H12" s="44"/>
      <c r="I12" s="44">
        <v>190257</v>
      </c>
      <c r="J12" s="44"/>
      <c r="K12" s="44">
        <f>911564+195679+243117</f>
        <v>1350360</v>
      </c>
      <c r="L12" s="44"/>
      <c r="M12" s="44">
        <f>2195005+2120497</f>
        <v>4315502</v>
      </c>
      <c r="N12" s="44"/>
      <c r="O12" s="44">
        <v>0</v>
      </c>
      <c r="P12" s="44"/>
      <c r="Q12" s="44">
        <v>661857</v>
      </c>
      <c r="R12" s="44"/>
      <c r="S12" s="44">
        <v>408926</v>
      </c>
      <c r="T12" s="44"/>
      <c r="U12" s="44">
        <f>160425+5060</f>
        <v>165485</v>
      </c>
      <c r="V12" s="44"/>
      <c r="W12" s="44">
        <v>0</v>
      </c>
      <c r="X12" s="44"/>
      <c r="Y12" s="44">
        <v>0</v>
      </c>
      <c r="Z12" s="44"/>
      <c r="AA12" s="44">
        <f t="shared" si="1"/>
        <v>6902130</v>
      </c>
      <c r="AB12" s="44"/>
      <c r="AC12" s="44">
        <f t="shared" si="0"/>
        <v>8497798</v>
      </c>
      <c r="AE12" s="47">
        <f>568293+837118+6902130+190257</f>
        <v>8497798</v>
      </c>
    </row>
    <row r="13" spans="1:31" s="46" customFormat="1" ht="12.75" customHeight="1">
      <c r="A13" s="47" t="s">
        <v>18</v>
      </c>
      <c r="B13" s="47"/>
      <c r="C13" s="47" t="s">
        <v>18</v>
      </c>
      <c r="D13" s="47"/>
      <c r="E13" s="44">
        <v>3926118</v>
      </c>
      <c r="F13" s="44"/>
      <c r="G13" s="44">
        <v>2678173</v>
      </c>
      <c r="H13" s="44"/>
      <c r="I13" s="44">
        <v>0</v>
      </c>
      <c r="J13" s="44"/>
      <c r="K13" s="44">
        <f>587701+150586+187257+239117</f>
        <v>1164661</v>
      </c>
      <c r="L13" s="44"/>
      <c r="M13" s="44">
        <f>7558101+28291+531123</f>
        <v>8117515</v>
      </c>
      <c r="N13" s="44"/>
      <c r="O13" s="44">
        <v>0</v>
      </c>
      <c r="P13" s="44"/>
      <c r="Q13" s="44">
        <v>1050112</v>
      </c>
      <c r="R13" s="44"/>
      <c r="S13" s="44">
        <v>273954</v>
      </c>
      <c r="T13" s="44"/>
      <c r="U13" s="44">
        <f>57106+503340</f>
        <v>560446</v>
      </c>
      <c r="V13" s="44"/>
      <c r="W13" s="44">
        <v>-68552</v>
      </c>
      <c r="X13" s="44"/>
      <c r="Y13" s="44">
        <v>0</v>
      </c>
      <c r="Z13" s="44"/>
      <c r="AA13" s="44">
        <f t="shared" si="1"/>
        <v>11098136</v>
      </c>
      <c r="AB13" s="44"/>
      <c r="AC13" s="44">
        <f t="shared" si="0"/>
        <v>17702427</v>
      </c>
    </row>
    <row r="14" spans="1:31" s="47" customFormat="1" ht="12.75" customHeight="1">
      <c r="A14" s="44" t="s">
        <v>19</v>
      </c>
      <c r="B14" s="46"/>
      <c r="C14" s="44" t="s">
        <v>19</v>
      </c>
      <c r="D14" s="44"/>
      <c r="E14" s="44">
        <v>3446866</v>
      </c>
      <c r="F14" s="44"/>
      <c r="G14" s="44">
        <v>1080197</v>
      </c>
      <c r="H14" s="44"/>
      <c r="I14" s="44">
        <v>678449</v>
      </c>
      <c r="J14" s="44"/>
      <c r="K14" s="44">
        <f>1735619+476191</f>
        <v>2211810</v>
      </c>
      <c r="L14" s="44"/>
      <c r="M14" s="44">
        <f>5508718+622236</f>
        <v>6130954</v>
      </c>
      <c r="N14" s="44"/>
      <c r="O14" s="44">
        <v>0</v>
      </c>
      <c r="P14" s="44"/>
      <c r="Q14" s="44">
        <v>3135994</v>
      </c>
      <c r="R14" s="44"/>
      <c r="S14" s="44">
        <v>11572</v>
      </c>
      <c r="T14" s="44"/>
      <c r="U14" s="44">
        <v>250783</v>
      </c>
      <c r="V14" s="44"/>
      <c r="W14" s="44">
        <v>76500</v>
      </c>
      <c r="X14" s="44"/>
      <c r="Y14" s="44">
        <v>0</v>
      </c>
      <c r="Z14" s="44"/>
      <c r="AA14" s="44">
        <f t="shared" si="1"/>
        <v>11817613</v>
      </c>
      <c r="AB14" s="44"/>
      <c r="AC14" s="44">
        <f t="shared" si="0"/>
        <v>17023125</v>
      </c>
    </row>
    <row r="15" spans="1:31" s="47" customFormat="1" ht="12.75" customHeight="1">
      <c r="A15" s="47" t="s">
        <v>20</v>
      </c>
      <c r="C15" s="47" t="s">
        <v>20</v>
      </c>
      <c r="E15" s="44">
        <v>3858735</v>
      </c>
      <c r="F15" s="44"/>
      <c r="G15" s="44">
        <v>1922397</v>
      </c>
      <c r="H15" s="44"/>
      <c r="I15" s="44">
        <v>915625</v>
      </c>
      <c r="J15" s="44"/>
      <c r="K15" s="44">
        <v>807206</v>
      </c>
      <c r="L15" s="44"/>
      <c r="M15" s="44">
        <f>8467414+1364188</f>
        <v>9831602</v>
      </c>
      <c r="N15" s="44"/>
      <c r="O15" s="44">
        <f>254319+441459</f>
        <v>695778</v>
      </c>
      <c r="P15" s="44"/>
      <c r="Q15" s="44">
        <v>1032544</v>
      </c>
      <c r="R15" s="44"/>
      <c r="S15" s="44">
        <v>153004</v>
      </c>
      <c r="T15" s="44"/>
      <c r="U15" s="44">
        <v>372896</v>
      </c>
      <c r="V15" s="44"/>
      <c r="W15" s="44">
        <v>-482826</v>
      </c>
      <c r="X15" s="44"/>
      <c r="Y15" s="44">
        <v>-306078</v>
      </c>
      <c r="Z15" s="44"/>
      <c r="AA15" s="44">
        <f t="shared" si="1"/>
        <v>12104126</v>
      </c>
      <c r="AB15" s="44"/>
      <c r="AC15" s="44">
        <f t="shared" si="0"/>
        <v>18800883</v>
      </c>
    </row>
    <row r="16" spans="1:31" s="47" customFormat="1" ht="12.75" customHeight="1">
      <c r="A16" s="47" t="s">
        <v>21</v>
      </c>
      <c r="C16" s="47" t="s">
        <v>22</v>
      </c>
      <c r="E16" s="44">
        <v>702650</v>
      </c>
      <c r="F16" s="44"/>
      <c r="G16" s="44">
        <v>1356112</v>
      </c>
      <c r="H16" s="44"/>
      <c r="I16" s="44">
        <v>547594</v>
      </c>
      <c r="J16" s="44"/>
      <c r="K16" s="44">
        <f>3994696+982006</f>
        <v>4976702</v>
      </c>
      <c r="L16" s="44"/>
      <c r="M16" s="44">
        <f>9582761+600000</f>
        <v>10182761</v>
      </c>
      <c r="N16" s="44"/>
      <c r="O16" s="44">
        <v>0</v>
      </c>
      <c r="P16" s="44"/>
      <c r="Q16" s="44">
        <v>797041</v>
      </c>
      <c r="R16" s="44"/>
      <c r="S16" s="44">
        <v>263089</v>
      </c>
      <c r="T16" s="44"/>
      <c r="U16" s="44">
        <v>34832</v>
      </c>
      <c r="V16" s="44"/>
      <c r="W16" s="44">
        <v>-1155980</v>
      </c>
      <c r="X16" s="44"/>
      <c r="Y16" s="44">
        <v>0</v>
      </c>
      <c r="Z16" s="44"/>
      <c r="AA16" s="44">
        <f t="shared" si="1"/>
        <v>15098445</v>
      </c>
      <c r="AB16" s="44"/>
      <c r="AC16" s="44">
        <f t="shared" si="0"/>
        <v>17704801</v>
      </c>
      <c r="AD16" s="44"/>
    </row>
    <row r="17" spans="1:31" s="47" customFormat="1" ht="12.75" customHeight="1">
      <c r="A17" s="47" t="s">
        <v>23</v>
      </c>
      <c r="C17" s="47" t="s">
        <v>17</v>
      </c>
      <c r="E17" s="44">
        <v>2092031</v>
      </c>
      <c r="F17" s="44"/>
      <c r="G17" s="44">
        <v>1475770</v>
      </c>
      <c r="H17" s="44"/>
      <c r="I17" s="44">
        <v>1248332</v>
      </c>
      <c r="J17" s="44"/>
      <c r="K17" s="44">
        <f>1520272+1268806+411556+198297+297378+72822+559752</f>
        <v>4328883</v>
      </c>
      <c r="L17" s="44"/>
      <c r="M17" s="44">
        <f>4726399+3343630+1172927</f>
        <v>9242956</v>
      </c>
      <c r="N17" s="44"/>
      <c r="O17" s="44">
        <v>668139</v>
      </c>
      <c r="P17" s="44"/>
      <c r="Q17" s="44">
        <v>979590</v>
      </c>
      <c r="R17" s="44"/>
      <c r="S17" s="44">
        <v>315399</v>
      </c>
      <c r="T17" s="44"/>
      <c r="U17" s="44">
        <v>1165347</v>
      </c>
      <c r="V17" s="44"/>
      <c r="W17" s="44">
        <v>-294388</v>
      </c>
      <c r="X17" s="44"/>
      <c r="Y17" s="44">
        <v>0</v>
      </c>
      <c r="Z17" s="44"/>
      <c r="AA17" s="44">
        <f t="shared" si="1"/>
        <v>16405926</v>
      </c>
      <c r="AB17" s="44"/>
      <c r="AC17" s="44">
        <f t="shared" si="0"/>
        <v>21222059</v>
      </c>
    </row>
    <row r="18" spans="1:31" s="47" customFormat="1" ht="12.75" customHeight="1">
      <c r="A18" s="47" t="s">
        <v>24</v>
      </c>
      <c r="C18" s="47" t="s">
        <v>17</v>
      </c>
      <c r="E18" s="44">
        <v>947333</v>
      </c>
      <c r="F18" s="44"/>
      <c r="G18" s="44">
        <v>30289</v>
      </c>
      <c r="H18" s="44"/>
      <c r="I18" s="44">
        <v>733930</v>
      </c>
      <c r="J18" s="44"/>
      <c r="K18" s="44">
        <v>5571368</v>
      </c>
      <c r="L18" s="44"/>
      <c r="M18" s="44">
        <v>7559236</v>
      </c>
      <c r="N18" s="44"/>
      <c r="O18" s="44">
        <v>328542</v>
      </c>
      <c r="P18" s="44"/>
      <c r="Q18" s="44">
        <v>3765072</v>
      </c>
      <c r="R18" s="44"/>
      <c r="S18" s="44">
        <v>161242</v>
      </c>
      <c r="T18" s="44"/>
      <c r="U18" s="44">
        <v>221817</v>
      </c>
      <c r="V18" s="44"/>
      <c r="W18" s="44">
        <v>-408931</v>
      </c>
      <c r="X18" s="44"/>
      <c r="Y18" s="44">
        <v>0</v>
      </c>
      <c r="Z18" s="44"/>
      <c r="AA18" s="44">
        <f t="shared" si="1"/>
        <v>17198346</v>
      </c>
      <c r="AB18" s="44"/>
      <c r="AC18" s="44">
        <f t="shared" si="0"/>
        <v>18909898</v>
      </c>
    </row>
    <row r="19" spans="1:31" s="47" customFormat="1" ht="12.75" customHeight="1">
      <c r="A19" s="47" t="s">
        <v>25</v>
      </c>
      <c r="C19" s="47" t="s">
        <v>13</v>
      </c>
      <c r="E19" s="44">
        <v>3457344</v>
      </c>
      <c r="F19" s="44"/>
      <c r="G19" s="44">
        <v>4164877</v>
      </c>
      <c r="H19" s="44"/>
      <c r="I19" s="44">
        <v>145229</v>
      </c>
      <c r="J19" s="44"/>
      <c r="K19" s="44">
        <f>1188981+239362+95772+95772</f>
        <v>1619887</v>
      </c>
      <c r="L19" s="44"/>
      <c r="M19" s="44">
        <v>10320696</v>
      </c>
      <c r="N19" s="44"/>
      <c r="O19" s="44">
        <v>0</v>
      </c>
      <c r="P19" s="44"/>
      <c r="Q19" s="44">
        <v>2159444</v>
      </c>
      <c r="R19" s="44"/>
      <c r="S19" s="44">
        <v>72965</v>
      </c>
      <c r="T19" s="44"/>
      <c r="U19" s="44">
        <v>141724</v>
      </c>
      <c r="V19" s="44"/>
      <c r="W19" s="44">
        <v>-149385</v>
      </c>
      <c r="X19" s="44"/>
      <c r="Y19" s="44">
        <v>0</v>
      </c>
      <c r="Z19" s="44"/>
      <c r="AA19" s="44">
        <f t="shared" si="1"/>
        <v>14165331</v>
      </c>
      <c r="AB19" s="44"/>
      <c r="AC19" s="44">
        <f t="shared" si="0"/>
        <v>21932781</v>
      </c>
    </row>
    <row r="20" spans="1:31" s="47" customFormat="1" ht="12.75" customHeight="1">
      <c r="A20" s="47" t="s">
        <v>26</v>
      </c>
      <c r="C20" s="47" t="s">
        <v>27</v>
      </c>
      <c r="E20" s="44">
        <v>1074675</v>
      </c>
      <c r="F20" s="44"/>
      <c r="G20" s="44">
        <v>747780</v>
      </c>
      <c r="H20" s="44"/>
      <c r="I20" s="44">
        <v>175651</v>
      </c>
      <c r="J20" s="44"/>
      <c r="K20" s="44">
        <f>3763302+669889+249414+134404+141051+1742782</f>
        <v>6700842</v>
      </c>
      <c r="L20" s="44"/>
      <c r="M20" s="44">
        <f>4045696+86062+172125</f>
        <v>4303883</v>
      </c>
      <c r="N20" s="44"/>
      <c r="O20" s="44">
        <v>0</v>
      </c>
      <c r="P20" s="44"/>
      <c r="Q20" s="44">
        <v>2677699</v>
      </c>
      <c r="R20" s="44"/>
      <c r="S20" s="44">
        <v>179686</v>
      </c>
      <c r="T20" s="44"/>
      <c r="U20" s="44">
        <v>327951</v>
      </c>
      <c r="V20" s="44"/>
      <c r="W20" s="44">
        <v>-345686</v>
      </c>
      <c r="X20" s="44"/>
      <c r="Y20" s="44">
        <v>0</v>
      </c>
      <c r="Z20" s="44"/>
      <c r="AA20" s="44">
        <f t="shared" si="1"/>
        <v>13844375</v>
      </c>
      <c r="AB20" s="44"/>
      <c r="AC20" s="44">
        <f t="shared" si="0"/>
        <v>15842481</v>
      </c>
      <c r="AD20" s="44">
        <f>3450764+597827+25778393</f>
        <v>29826984</v>
      </c>
    </row>
    <row r="21" spans="1:31" s="47" customFormat="1" ht="12.75" customHeight="1">
      <c r="A21" s="47" t="s">
        <v>28</v>
      </c>
      <c r="C21" s="47" t="s">
        <v>27</v>
      </c>
      <c r="E21" s="44">
        <v>3450764</v>
      </c>
      <c r="F21" s="44"/>
      <c r="G21" s="44">
        <v>597827</v>
      </c>
      <c r="H21" s="44"/>
      <c r="I21" s="44">
        <v>0</v>
      </c>
      <c r="J21" s="44"/>
      <c r="K21" s="44">
        <f>2829210+257116</f>
        <v>3086326</v>
      </c>
      <c r="L21" s="44"/>
      <c r="M21" s="44">
        <v>18401803</v>
      </c>
      <c r="N21" s="44"/>
      <c r="O21" s="44">
        <f>843488+2643793</f>
        <v>3487281</v>
      </c>
      <c r="P21" s="44"/>
      <c r="Q21" s="44">
        <v>112837</v>
      </c>
      <c r="R21" s="44"/>
      <c r="S21" s="44">
        <v>486690</v>
      </c>
      <c r="T21" s="44"/>
      <c r="U21" s="44">
        <v>213456</v>
      </c>
      <c r="V21" s="44"/>
      <c r="W21" s="44">
        <v>0</v>
      </c>
      <c r="X21" s="44"/>
      <c r="Y21" s="44">
        <v>0</v>
      </c>
      <c r="Z21" s="44"/>
      <c r="AA21" s="44">
        <f t="shared" si="1"/>
        <v>25788393</v>
      </c>
      <c r="AB21" s="44"/>
      <c r="AC21" s="44">
        <f t="shared" si="0"/>
        <v>29836984</v>
      </c>
      <c r="AD21" s="44">
        <f>+E20+G20+I20</f>
        <v>1998106</v>
      </c>
    </row>
    <row r="22" spans="1:31" s="47" customFormat="1" ht="12.75" customHeight="1">
      <c r="A22" s="47" t="s">
        <v>29</v>
      </c>
      <c r="C22" s="47" t="s">
        <v>30</v>
      </c>
      <c r="E22" s="44">
        <v>2299719</v>
      </c>
      <c r="F22" s="44"/>
      <c r="G22" s="44">
        <v>4038420</v>
      </c>
      <c r="H22" s="44"/>
      <c r="I22" s="44">
        <v>2049627</v>
      </c>
      <c r="J22" s="44"/>
      <c r="K22" s="44">
        <f>1297677+9362613+465178+332091</f>
        <v>11457559</v>
      </c>
      <c r="L22" s="44"/>
      <c r="M22" s="44">
        <v>0</v>
      </c>
      <c r="N22" s="44"/>
      <c r="O22" s="44">
        <v>0</v>
      </c>
      <c r="P22" s="44"/>
      <c r="Q22" s="44">
        <v>2428489</v>
      </c>
      <c r="R22" s="44"/>
      <c r="S22" s="44">
        <v>111243</v>
      </c>
      <c r="T22" s="44"/>
      <c r="U22" s="44">
        <v>553001</v>
      </c>
      <c r="V22" s="44"/>
      <c r="W22" s="44">
        <v>-797861</v>
      </c>
      <c r="X22" s="44"/>
      <c r="Y22" s="44">
        <v>0</v>
      </c>
      <c r="Z22" s="44"/>
      <c r="AA22" s="44">
        <f t="shared" si="1"/>
        <v>13752431</v>
      </c>
      <c r="AB22" s="44"/>
      <c r="AC22" s="44">
        <f t="shared" si="0"/>
        <v>22140197</v>
      </c>
      <c r="AD22" s="44">
        <f>+AD21+AD20</f>
        <v>31825090</v>
      </c>
    </row>
    <row r="23" spans="1:31" s="47" customFormat="1" ht="12.75" customHeight="1">
      <c r="A23" s="47" t="s">
        <v>31</v>
      </c>
      <c r="C23" s="47" t="s">
        <v>27</v>
      </c>
      <c r="E23" s="44">
        <v>3187759</v>
      </c>
      <c r="F23" s="44"/>
      <c r="G23" s="44">
        <v>1966351</v>
      </c>
      <c r="H23" s="44"/>
      <c r="I23" s="44">
        <v>392</v>
      </c>
      <c r="J23" s="44"/>
      <c r="K23" s="44">
        <f>2340611+943569</f>
        <v>3284180</v>
      </c>
      <c r="L23" s="44"/>
      <c r="M23" s="44">
        <f>7616052+626789</f>
        <v>8242841</v>
      </c>
      <c r="N23" s="44"/>
      <c r="O23" s="44">
        <v>0</v>
      </c>
      <c r="P23" s="44"/>
      <c r="Q23" s="44">
        <v>950510</v>
      </c>
      <c r="R23" s="44"/>
      <c r="S23" s="44">
        <v>172163</v>
      </c>
      <c r="T23" s="44"/>
      <c r="U23" s="44">
        <f>145395+311302</f>
        <v>456697</v>
      </c>
      <c r="V23" s="44"/>
      <c r="W23" s="44">
        <v>0</v>
      </c>
      <c r="X23" s="44"/>
      <c r="Y23" s="44">
        <v>0</v>
      </c>
      <c r="Z23" s="44"/>
      <c r="AA23" s="44">
        <f t="shared" si="1"/>
        <v>13106391</v>
      </c>
      <c r="AB23" s="44"/>
      <c r="AC23" s="44">
        <f t="shared" si="0"/>
        <v>18260893</v>
      </c>
    </row>
    <row r="24" spans="1:31" s="47" customFormat="1" ht="12.75" customHeight="1">
      <c r="A24" s="47" t="s">
        <v>32</v>
      </c>
      <c r="C24" s="47" t="s">
        <v>27</v>
      </c>
      <c r="E24" s="44">
        <v>4872096</v>
      </c>
      <c r="F24" s="44"/>
      <c r="G24" s="44">
        <v>156500</v>
      </c>
      <c r="H24" s="44"/>
      <c r="I24" s="44">
        <v>784585</v>
      </c>
      <c r="J24" s="44"/>
      <c r="K24" s="44">
        <f>1456332+917721+509844+509844</f>
        <v>3393741</v>
      </c>
      <c r="L24" s="44"/>
      <c r="M24" s="44">
        <v>7961003</v>
      </c>
      <c r="N24" s="44"/>
      <c r="O24" s="44">
        <v>0</v>
      </c>
      <c r="P24" s="44"/>
      <c r="Q24" s="44">
        <v>2051473</v>
      </c>
      <c r="R24" s="44"/>
      <c r="S24" s="44">
        <v>34633</v>
      </c>
      <c r="T24" s="44"/>
      <c r="U24" s="44">
        <v>66601</v>
      </c>
      <c r="V24" s="44"/>
      <c r="W24" s="44">
        <v>0</v>
      </c>
      <c r="X24" s="44"/>
      <c r="Y24" s="44">
        <v>0</v>
      </c>
      <c r="Z24" s="44"/>
      <c r="AA24" s="44">
        <f t="shared" si="1"/>
        <v>13507451</v>
      </c>
      <c r="AB24" s="44"/>
      <c r="AC24" s="44">
        <f t="shared" si="0"/>
        <v>19320632</v>
      </c>
      <c r="AD24" s="47">
        <f>13507451+4872096+156500</f>
        <v>18536047</v>
      </c>
    </row>
    <row r="25" spans="1:31" s="47" customFormat="1" ht="12.75" customHeight="1">
      <c r="A25" s="47" t="s">
        <v>34</v>
      </c>
      <c r="C25" s="47" t="s">
        <v>30</v>
      </c>
      <c r="E25" s="44">
        <v>159123</v>
      </c>
      <c r="F25" s="44"/>
      <c r="G25" s="44">
        <v>418281</v>
      </c>
      <c r="H25" s="44"/>
      <c r="I25" s="44">
        <v>291106</v>
      </c>
      <c r="J25" s="44"/>
      <c r="K25" s="44">
        <v>2237821</v>
      </c>
      <c r="L25" s="44"/>
      <c r="M25" s="44">
        <v>0</v>
      </c>
      <c r="N25" s="44"/>
      <c r="O25" s="44">
        <v>195997</v>
      </c>
      <c r="P25" s="44"/>
      <c r="Q25" s="44">
        <v>746738</v>
      </c>
      <c r="R25" s="44"/>
      <c r="S25" s="44">
        <v>18748</v>
      </c>
      <c r="T25" s="44"/>
      <c r="U25" s="44">
        <v>27962</v>
      </c>
      <c r="V25" s="44"/>
      <c r="W25" s="44">
        <v>0</v>
      </c>
      <c r="X25" s="44"/>
      <c r="Y25" s="44">
        <v>0</v>
      </c>
      <c r="Z25" s="44"/>
      <c r="AA25" s="44">
        <f t="shared" si="1"/>
        <v>3227266</v>
      </c>
      <c r="AB25" s="44"/>
      <c r="AC25" s="44">
        <f t="shared" si="0"/>
        <v>4095776</v>
      </c>
    </row>
    <row r="26" spans="1:31" s="47" customFormat="1" ht="12.75" customHeight="1">
      <c r="A26" s="47" t="s">
        <v>35</v>
      </c>
      <c r="C26" s="47" t="s">
        <v>36</v>
      </c>
      <c r="E26" s="44">
        <v>731830</v>
      </c>
      <c r="F26" s="44"/>
      <c r="G26" s="44">
        <v>1339040</v>
      </c>
      <c r="H26" s="44"/>
      <c r="I26" s="44">
        <v>1906025</v>
      </c>
      <c r="J26" s="44"/>
      <c r="K26" s="44">
        <v>704167</v>
      </c>
      <c r="L26" s="44"/>
      <c r="M26" s="44">
        <v>5094981</v>
      </c>
      <c r="N26" s="44"/>
      <c r="O26" s="44">
        <f>37994+52376</f>
        <v>90370</v>
      </c>
      <c r="P26" s="44"/>
      <c r="Q26" s="44">
        <v>808296</v>
      </c>
      <c r="R26" s="44"/>
      <c r="S26" s="44">
        <v>140922</v>
      </c>
      <c r="T26" s="44"/>
      <c r="U26" s="44">
        <v>162901</v>
      </c>
      <c r="V26" s="44"/>
      <c r="W26" s="44">
        <v>-207000</v>
      </c>
      <c r="X26" s="44"/>
      <c r="Y26" s="44">
        <v>-35049</v>
      </c>
      <c r="Z26" s="44"/>
      <c r="AA26" s="44">
        <f t="shared" si="1"/>
        <v>6759588</v>
      </c>
      <c r="AB26" s="44"/>
      <c r="AC26" s="44">
        <f t="shared" si="0"/>
        <v>10736483</v>
      </c>
    </row>
    <row r="27" spans="1:31" s="47" customFormat="1" ht="12.75" customHeight="1">
      <c r="A27" s="47" t="s">
        <v>37</v>
      </c>
      <c r="C27" s="47" t="s">
        <v>38</v>
      </c>
      <c r="E27" s="44">
        <v>199491</v>
      </c>
      <c r="F27" s="44"/>
      <c r="G27" s="44">
        <v>553727</v>
      </c>
      <c r="H27" s="44"/>
      <c r="I27" s="44">
        <v>99000</v>
      </c>
      <c r="J27" s="44"/>
      <c r="K27" s="44">
        <v>993565</v>
      </c>
      <c r="L27" s="44"/>
      <c r="M27" s="44">
        <v>2606602</v>
      </c>
      <c r="N27" s="44"/>
      <c r="O27" s="44">
        <v>0</v>
      </c>
      <c r="P27" s="44"/>
      <c r="Q27" s="44">
        <v>176535</v>
      </c>
      <c r="R27" s="44"/>
      <c r="S27" s="44">
        <v>52160</v>
      </c>
      <c r="T27" s="44"/>
      <c r="U27" s="44">
        <v>271441</v>
      </c>
      <c r="V27" s="44"/>
      <c r="W27" s="44">
        <v>0</v>
      </c>
      <c r="X27" s="44"/>
      <c r="Y27" s="44">
        <v>0</v>
      </c>
      <c r="Z27" s="44"/>
      <c r="AA27" s="44">
        <f t="shared" si="1"/>
        <v>4100303</v>
      </c>
      <c r="AB27" s="44"/>
      <c r="AC27" s="44">
        <f t="shared" si="0"/>
        <v>4952521</v>
      </c>
    </row>
    <row r="28" spans="1:31" s="47" customFormat="1" ht="12.75" customHeight="1">
      <c r="A28" s="47" t="s">
        <v>39</v>
      </c>
      <c r="C28" s="47" t="s">
        <v>40</v>
      </c>
      <c r="E28" s="44">
        <v>451314</v>
      </c>
      <c r="F28" s="44"/>
      <c r="G28" s="44">
        <v>528806</v>
      </c>
      <c r="H28" s="44"/>
      <c r="I28" s="44">
        <v>1125421</v>
      </c>
      <c r="J28" s="44"/>
      <c r="K28" s="44">
        <v>302168</v>
      </c>
      <c r="L28" s="44"/>
      <c r="M28" s="44">
        <v>961262</v>
      </c>
      <c r="N28" s="44"/>
      <c r="O28" s="44">
        <f>750+121013</f>
        <v>121763</v>
      </c>
      <c r="P28" s="44"/>
      <c r="Q28" s="44">
        <v>299537</v>
      </c>
      <c r="R28" s="44"/>
      <c r="S28" s="44">
        <v>11625</v>
      </c>
      <c r="T28" s="44"/>
      <c r="U28" s="44">
        <f>50+49242</f>
        <v>49292</v>
      </c>
      <c r="V28" s="44"/>
      <c r="W28" s="44">
        <v>75000</v>
      </c>
      <c r="X28" s="44"/>
      <c r="Y28" s="44">
        <v>0</v>
      </c>
      <c r="Z28" s="44"/>
      <c r="AA28" s="44">
        <f t="shared" si="1"/>
        <v>1820647</v>
      </c>
      <c r="AB28" s="44"/>
      <c r="AC28" s="44">
        <f t="shared" si="0"/>
        <v>3926188</v>
      </c>
    </row>
    <row r="29" spans="1:31" s="47" customFormat="1" ht="12.75" customHeight="1">
      <c r="A29" s="47" t="s">
        <v>41</v>
      </c>
      <c r="C29" s="47" t="s">
        <v>27</v>
      </c>
      <c r="E29" s="44">
        <v>3944436</v>
      </c>
      <c r="F29" s="44"/>
      <c r="G29" s="44">
        <v>892737</v>
      </c>
      <c r="H29" s="44"/>
      <c r="I29" s="44">
        <v>4776424</v>
      </c>
      <c r="J29" s="44"/>
      <c r="K29" s="44">
        <f>1915871+842599+1719659</f>
        <v>4478129</v>
      </c>
      <c r="L29" s="44"/>
      <c r="M29" s="44">
        <v>9993755</v>
      </c>
      <c r="N29" s="44"/>
      <c r="O29" s="44">
        <v>199128</v>
      </c>
      <c r="P29" s="44"/>
      <c r="Q29" s="44">
        <v>2691388</v>
      </c>
      <c r="R29" s="44"/>
      <c r="S29" s="44">
        <v>124123</v>
      </c>
      <c r="T29" s="44"/>
      <c r="U29" s="44">
        <v>128338</v>
      </c>
      <c r="V29" s="44"/>
      <c r="W29" s="44">
        <v>-730094</v>
      </c>
      <c r="X29" s="44"/>
      <c r="Y29" s="44">
        <v>0</v>
      </c>
      <c r="Z29" s="44"/>
      <c r="AA29" s="44">
        <f t="shared" si="1"/>
        <v>16884767</v>
      </c>
      <c r="AB29" s="44"/>
      <c r="AC29" s="44">
        <f t="shared" si="0"/>
        <v>26498364</v>
      </c>
    </row>
    <row r="30" spans="1:31" s="47" customFormat="1" ht="12.75" customHeight="1">
      <c r="A30" s="47" t="s">
        <v>42</v>
      </c>
      <c r="C30" s="47" t="s">
        <v>43</v>
      </c>
      <c r="E30" s="44">
        <v>1044333</v>
      </c>
      <c r="F30" s="44"/>
      <c r="G30" s="44">
        <v>892607</v>
      </c>
      <c r="H30" s="44"/>
      <c r="I30" s="44">
        <v>2811746</v>
      </c>
      <c r="J30" s="44"/>
      <c r="K30" s="44">
        <f>682298+748145+382874</f>
        <v>1813317</v>
      </c>
      <c r="L30" s="44"/>
      <c r="M30" s="44">
        <v>5373129</v>
      </c>
      <c r="N30" s="44"/>
      <c r="O30" s="44">
        <f>7595+163855</f>
        <v>171450</v>
      </c>
      <c r="P30" s="44"/>
      <c r="Q30" s="44">
        <v>5151875</v>
      </c>
      <c r="R30" s="44"/>
      <c r="S30" s="44">
        <v>213151</v>
      </c>
      <c r="T30" s="44"/>
      <c r="U30" s="44">
        <v>401484</v>
      </c>
      <c r="V30" s="44"/>
      <c r="W30" s="44">
        <v>-50226</v>
      </c>
      <c r="X30" s="44"/>
      <c r="Y30" s="44">
        <v>0</v>
      </c>
      <c r="Z30" s="44"/>
      <c r="AA30" s="44">
        <f t="shared" si="1"/>
        <v>13074180</v>
      </c>
      <c r="AB30" s="44"/>
      <c r="AC30" s="44">
        <f t="shared" si="0"/>
        <v>17822866</v>
      </c>
    </row>
    <row r="31" spans="1:31" s="47" customFormat="1" ht="12.75" customHeight="1">
      <c r="A31" s="47" t="s">
        <v>44</v>
      </c>
      <c r="C31" s="47" t="s">
        <v>45</v>
      </c>
      <c r="E31" s="44">
        <v>1281757</v>
      </c>
      <c r="F31" s="44"/>
      <c r="G31" s="44">
        <v>1183899</v>
      </c>
      <c r="H31" s="44"/>
      <c r="I31" s="44">
        <v>639330</v>
      </c>
      <c r="J31" s="44"/>
      <c r="K31" s="44">
        <f>2169222+984447</f>
        <v>3153669</v>
      </c>
      <c r="L31" s="44"/>
      <c r="M31" s="44">
        <v>27251070</v>
      </c>
      <c r="N31" s="44"/>
      <c r="O31" s="44">
        <v>891104</v>
      </c>
      <c r="P31" s="44"/>
      <c r="Q31" s="44">
        <v>1936325</v>
      </c>
      <c r="R31" s="44"/>
      <c r="S31" s="44">
        <v>61302</v>
      </c>
      <c r="T31" s="44"/>
      <c r="U31" s="44">
        <v>890731</v>
      </c>
      <c r="V31" s="44"/>
      <c r="W31" s="44">
        <v>-400831</v>
      </c>
      <c r="X31" s="44"/>
      <c r="Y31" s="44">
        <v>0</v>
      </c>
      <c r="Z31" s="44"/>
      <c r="AA31" s="44">
        <f t="shared" si="1"/>
        <v>33783370</v>
      </c>
      <c r="AB31" s="44"/>
      <c r="AC31" s="44">
        <f t="shared" si="0"/>
        <v>36888356</v>
      </c>
      <c r="AE31" s="47">
        <f>33783370+1281757+1183899+639330</f>
        <v>36888356</v>
      </c>
    </row>
    <row r="32" spans="1:31" s="47" customFormat="1" ht="12.75" customHeight="1">
      <c r="A32" s="47" t="s">
        <v>46</v>
      </c>
      <c r="C32" s="47" t="s">
        <v>47</v>
      </c>
      <c r="E32" s="44">
        <v>3997485</v>
      </c>
      <c r="F32" s="44"/>
      <c r="G32" s="44">
        <v>2122568</v>
      </c>
      <c r="H32" s="44"/>
      <c r="I32" s="44">
        <v>322476</v>
      </c>
      <c r="J32" s="44"/>
      <c r="K32" s="44">
        <f>1652516+561753</f>
        <v>2214269</v>
      </c>
      <c r="L32" s="44"/>
      <c r="M32" s="44">
        <f>5575005+371657+3121974+3716661+1486690</f>
        <v>14271987</v>
      </c>
      <c r="N32" s="44"/>
      <c r="O32" s="44">
        <f>1854001+286815</f>
        <v>2140816</v>
      </c>
      <c r="P32" s="44"/>
      <c r="Q32" s="44">
        <v>2958426</v>
      </c>
      <c r="R32" s="44"/>
      <c r="S32" s="44">
        <v>552431</v>
      </c>
      <c r="T32" s="44"/>
      <c r="U32" s="44">
        <v>396758</v>
      </c>
      <c r="V32" s="44"/>
      <c r="W32" s="44">
        <v>-9096336</v>
      </c>
      <c r="X32" s="44"/>
      <c r="Y32" s="44">
        <v>0</v>
      </c>
      <c r="Z32" s="44"/>
      <c r="AA32" s="44">
        <f t="shared" si="1"/>
        <v>13438351</v>
      </c>
      <c r="AB32" s="44"/>
      <c r="AC32" s="44">
        <f t="shared" si="0"/>
        <v>19880880</v>
      </c>
      <c r="AE32" s="44">
        <f>22534687+3997485+2122568+322476</f>
        <v>28977216</v>
      </c>
    </row>
    <row r="33" spans="1:29" s="47" customFormat="1" ht="12.75" customHeight="1">
      <c r="A33" s="47" t="s">
        <v>48</v>
      </c>
      <c r="C33" s="47" t="s">
        <v>27</v>
      </c>
      <c r="E33" s="44">
        <v>1729403</v>
      </c>
      <c r="F33" s="44"/>
      <c r="G33" s="44">
        <v>1251461</v>
      </c>
      <c r="H33" s="44"/>
      <c r="I33" s="44">
        <v>300000</v>
      </c>
      <c r="J33" s="44"/>
      <c r="K33" s="44">
        <f>1919648+1859488+546908+164072+153754</f>
        <v>4643870</v>
      </c>
      <c r="L33" s="44"/>
      <c r="M33" s="44">
        <f>11743625+2090000</f>
        <v>13833625</v>
      </c>
      <c r="N33" s="44"/>
      <c r="O33" s="44">
        <v>0</v>
      </c>
      <c r="P33" s="44"/>
      <c r="Q33" s="44">
        <v>1355899</v>
      </c>
      <c r="R33" s="44"/>
      <c r="S33" s="44">
        <v>505734</v>
      </c>
      <c r="T33" s="44"/>
      <c r="U33" s="44">
        <v>490451</v>
      </c>
      <c r="V33" s="44"/>
      <c r="W33" s="44">
        <v>0</v>
      </c>
      <c r="X33" s="44"/>
      <c r="Y33" s="44">
        <v>0</v>
      </c>
      <c r="Z33" s="44"/>
      <c r="AA33" s="44">
        <f t="shared" si="1"/>
        <v>20829579</v>
      </c>
      <c r="AB33" s="44"/>
      <c r="AC33" s="44">
        <f t="shared" si="0"/>
        <v>24110443</v>
      </c>
    </row>
    <row r="34" spans="1:29" s="47" customFormat="1" ht="12.75" customHeight="1">
      <c r="A34" s="47" t="s">
        <v>49</v>
      </c>
      <c r="C34" s="47" t="s">
        <v>27</v>
      </c>
      <c r="E34" s="44">
        <v>2586218</v>
      </c>
      <c r="F34" s="44"/>
      <c r="G34" s="44">
        <v>1093073</v>
      </c>
      <c r="H34" s="44"/>
      <c r="I34" s="44">
        <v>116478</v>
      </c>
      <c r="J34" s="44"/>
      <c r="K34" s="44">
        <f>6933528+99844+1705849</f>
        <v>8739221</v>
      </c>
      <c r="L34" s="44"/>
      <c r="M34" s="44">
        <f>1576224+2140591+58898</f>
        <v>3775713</v>
      </c>
      <c r="N34" s="44"/>
      <c r="O34" s="44">
        <v>3969</v>
      </c>
      <c r="P34" s="44"/>
      <c r="Q34" s="44">
        <v>1876618</v>
      </c>
      <c r="R34" s="44"/>
      <c r="S34" s="44">
        <v>10420</v>
      </c>
      <c r="T34" s="44"/>
      <c r="U34" s="44">
        <v>102112</v>
      </c>
      <c r="V34" s="44"/>
      <c r="W34" s="44">
        <v>0</v>
      </c>
      <c r="X34" s="44"/>
      <c r="Y34" s="44">
        <v>0</v>
      </c>
      <c r="Z34" s="44"/>
      <c r="AA34" s="44">
        <f t="shared" si="1"/>
        <v>14508053</v>
      </c>
      <c r="AB34" s="44"/>
      <c r="AC34" s="44">
        <f t="shared" si="0"/>
        <v>18303822</v>
      </c>
    </row>
    <row r="35" spans="1:29" s="47" customFormat="1" ht="12.75" customHeight="1">
      <c r="A35" s="47" t="s">
        <v>50</v>
      </c>
      <c r="C35" s="47" t="s">
        <v>27</v>
      </c>
      <c r="E35" s="44">
        <v>3933203</v>
      </c>
      <c r="F35" s="44"/>
      <c r="G35" s="44">
        <v>952513</v>
      </c>
      <c r="H35" s="44"/>
      <c r="I35" s="44">
        <v>1443689</v>
      </c>
      <c r="J35" s="44"/>
      <c r="K35" s="44">
        <f>1790666+343784</f>
        <v>2134450</v>
      </c>
      <c r="L35" s="44"/>
      <c r="M35" s="44">
        <f>16578316+764898</f>
        <v>17343214</v>
      </c>
      <c r="N35" s="44"/>
      <c r="O35" s="44">
        <v>0</v>
      </c>
      <c r="P35" s="44"/>
      <c r="Q35" s="44">
        <v>1944138</v>
      </c>
      <c r="R35" s="44"/>
      <c r="S35" s="44">
        <v>150111</v>
      </c>
      <c r="T35" s="44"/>
      <c r="U35" s="44">
        <v>0</v>
      </c>
      <c r="V35" s="44"/>
      <c r="W35" s="44">
        <v>0</v>
      </c>
      <c r="X35" s="44"/>
      <c r="Y35" s="44">
        <v>0</v>
      </c>
      <c r="Z35" s="44"/>
      <c r="AA35" s="44">
        <f t="shared" si="1"/>
        <v>21571913</v>
      </c>
      <c r="AB35" s="44"/>
      <c r="AC35" s="44">
        <f t="shared" si="0"/>
        <v>27901318</v>
      </c>
    </row>
    <row r="36" spans="1:29" s="47" customFormat="1" ht="12.75" customHeight="1">
      <c r="A36" s="47" t="s">
        <v>51</v>
      </c>
      <c r="C36" s="47" t="s">
        <v>27</v>
      </c>
      <c r="E36" s="44">
        <v>1830912</v>
      </c>
      <c r="F36" s="44"/>
      <c r="G36" s="44">
        <v>1156949</v>
      </c>
      <c r="H36" s="44"/>
      <c r="I36" s="44">
        <v>25503</v>
      </c>
      <c r="J36" s="44"/>
      <c r="K36" s="44">
        <f>1139534+146974+380023+424296+368955+46642</f>
        <v>2506424</v>
      </c>
      <c r="L36" s="44"/>
      <c r="M36" s="44">
        <f>11518038+99046+102987+856179</f>
        <v>12576250</v>
      </c>
      <c r="N36" s="44"/>
      <c r="O36" s="44">
        <v>266960</v>
      </c>
      <c r="P36" s="44"/>
      <c r="Q36" s="44">
        <v>1115311</v>
      </c>
      <c r="R36" s="44"/>
      <c r="S36" s="44">
        <v>99672</v>
      </c>
      <c r="T36" s="44"/>
      <c r="U36" s="44">
        <f>17990+80245</f>
        <v>98235</v>
      </c>
      <c r="V36" s="44"/>
      <c r="W36" s="44">
        <v>0</v>
      </c>
      <c r="X36" s="44"/>
      <c r="Y36" s="44">
        <v>0</v>
      </c>
      <c r="Z36" s="44"/>
      <c r="AA36" s="44">
        <f t="shared" si="1"/>
        <v>16662852</v>
      </c>
      <c r="AB36" s="44"/>
      <c r="AC36" s="44">
        <f t="shared" si="0"/>
        <v>19676216</v>
      </c>
    </row>
    <row r="37" spans="1:29" s="47" customFormat="1" ht="12.75" customHeight="1">
      <c r="A37" s="47" t="s">
        <v>462</v>
      </c>
      <c r="C37" s="47" t="s">
        <v>66</v>
      </c>
      <c r="E37" s="44">
        <v>1210842</v>
      </c>
      <c r="F37" s="44"/>
      <c r="G37" s="44">
        <v>327560</v>
      </c>
      <c r="H37" s="44"/>
      <c r="I37" s="44">
        <v>423684</v>
      </c>
      <c r="J37" s="44"/>
      <c r="K37" s="44">
        <v>134477</v>
      </c>
      <c r="L37" s="44"/>
      <c r="M37" s="44">
        <v>1970453</v>
      </c>
      <c r="N37" s="44"/>
      <c r="O37" s="44">
        <v>0</v>
      </c>
      <c r="P37" s="44"/>
      <c r="Q37" s="44">
        <v>334802</v>
      </c>
      <c r="R37" s="44"/>
      <c r="S37" s="44">
        <v>39337</v>
      </c>
      <c r="T37" s="44"/>
      <c r="U37" s="44">
        <f>10126+15058</f>
        <v>25184</v>
      </c>
      <c r="V37" s="44"/>
      <c r="W37" s="44">
        <v>0</v>
      </c>
      <c r="X37" s="44"/>
      <c r="Y37" s="44">
        <v>0</v>
      </c>
      <c r="Z37" s="44"/>
      <c r="AA37" s="44">
        <f t="shared" si="1"/>
        <v>2504253</v>
      </c>
      <c r="AB37" s="44"/>
      <c r="AC37" s="44">
        <f t="shared" si="0"/>
        <v>4466339</v>
      </c>
    </row>
    <row r="38" spans="1:29" s="47" customFormat="1" ht="12.75" customHeight="1">
      <c r="A38" s="47" t="s">
        <v>52</v>
      </c>
      <c r="C38" s="47" t="s">
        <v>53</v>
      </c>
      <c r="E38" s="44">
        <v>4065909</v>
      </c>
      <c r="F38" s="44"/>
      <c r="G38" s="44">
        <v>2262762</v>
      </c>
      <c r="H38" s="44"/>
      <c r="I38" s="44">
        <v>828013</v>
      </c>
      <c r="J38" s="44"/>
      <c r="K38" s="44">
        <f>1804661+7531+382896</f>
        <v>2195088</v>
      </c>
      <c r="L38" s="44"/>
      <c r="M38" s="44">
        <f>1765037+237508+2494004+784805+3146772+109162+488697</f>
        <v>9025985</v>
      </c>
      <c r="N38" s="44"/>
      <c r="O38" s="44">
        <v>0</v>
      </c>
      <c r="P38" s="44"/>
      <c r="Q38" s="44">
        <v>1251775</v>
      </c>
      <c r="R38" s="44"/>
      <c r="S38" s="44">
        <v>66022</v>
      </c>
      <c r="T38" s="44"/>
      <c r="U38" s="44">
        <v>70083</v>
      </c>
      <c r="V38" s="44"/>
      <c r="W38" s="44">
        <v>0</v>
      </c>
      <c r="X38" s="44"/>
      <c r="Y38" s="44">
        <v>396554</v>
      </c>
      <c r="Z38" s="44"/>
      <c r="AA38" s="44">
        <f t="shared" si="1"/>
        <v>13005507</v>
      </c>
      <c r="AB38" s="44"/>
      <c r="AC38" s="44">
        <f t="shared" si="0"/>
        <v>20162191</v>
      </c>
    </row>
    <row r="39" spans="1:29" s="47" customFormat="1" ht="12.75" customHeight="1">
      <c r="A39" s="47" t="s">
        <v>54</v>
      </c>
      <c r="C39" s="47" t="s">
        <v>55</v>
      </c>
      <c r="E39" s="44">
        <v>1007649</v>
      </c>
      <c r="F39" s="44"/>
      <c r="G39" s="44">
        <v>1048910</v>
      </c>
      <c r="H39" s="44"/>
      <c r="I39" s="44">
        <v>287852</v>
      </c>
      <c r="J39" s="44"/>
      <c r="K39" s="44">
        <v>523556</v>
      </c>
      <c r="L39" s="44"/>
      <c r="M39" s="44">
        <v>5955656</v>
      </c>
      <c r="N39" s="44"/>
      <c r="O39" s="44">
        <v>743797</v>
      </c>
      <c r="P39" s="44"/>
      <c r="Q39" s="44">
        <v>1005125</v>
      </c>
      <c r="R39" s="44"/>
      <c r="S39" s="44">
        <v>39626</v>
      </c>
      <c r="T39" s="44"/>
      <c r="U39" s="44">
        <f>43745+433616</f>
        <v>477361</v>
      </c>
      <c r="V39" s="44"/>
      <c r="W39" s="44">
        <v>-1384726</v>
      </c>
      <c r="X39" s="44"/>
      <c r="Y39" s="44">
        <v>0</v>
      </c>
      <c r="Z39" s="44"/>
      <c r="AA39" s="44">
        <f t="shared" si="1"/>
        <v>7360395</v>
      </c>
      <c r="AB39" s="44"/>
      <c r="AC39" s="44">
        <f t="shared" si="0"/>
        <v>9704806</v>
      </c>
    </row>
    <row r="40" spans="1:29" s="47" customFormat="1" ht="12.75" customHeight="1">
      <c r="A40" s="47" t="s">
        <v>56</v>
      </c>
      <c r="C40" s="47" t="s">
        <v>57</v>
      </c>
      <c r="E40" s="44">
        <v>505302</v>
      </c>
      <c r="F40" s="44"/>
      <c r="G40" s="44">
        <v>1413178</v>
      </c>
      <c r="H40" s="44"/>
      <c r="I40" s="44">
        <v>1814926</v>
      </c>
      <c r="J40" s="44"/>
      <c r="K40" s="44">
        <f>548225+97942</f>
        <v>646167</v>
      </c>
      <c r="L40" s="44"/>
      <c r="M40" s="44">
        <f>2467782+1233890</f>
        <v>3701672</v>
      </c>
      <c r="N40" s="44"/>
      <c r="O40" s="44">
        <f>29234+128359</f>
        <v>157593</v>
      </c>
      <c r="P40" s="44"/>
      <c r="Q40" s="44">
        <v>776730</v>
      </c>
      <c r="R40" s="44"/>
      <c r="S40" s="44">
        <v>63188</v>
      </c>
      <c r="T40" s="44"/>
      <c r="U40" s="44">
        <v>94450</v>
      </c>
      <c r="V40" s="44"/>
      <c r="W40" s="44">
        <v>-902072</v>
      </c>
      <c r="X40" s="44"/>
      <c r="Y40" s="44">
        <v>0</v>
      </c>
      <c r="Z40" s="44"/>
      <c r="AA40" s="44">
        <f t="shared" si="1"/>
        <v>4537728</v>
      </c>
      <c r="AB40" s="44"/>
      <c r="AC40" s="44">
        <f t="shared" si="0"/>
        <v>8271134</v>
      </c>
    </row>
    <row r="41" spans="1:29" s="47" customFormat="1" ht="12.75" customHeight="1">
      <c r="A41" s="47" t="s">
        <v>58</v>
      </c>
      <c r="C41" s="47" t="s">
        <v>59</v>
      </c>
      <c r="E41" s="44">
        <v>1837443</v>
      </c>
      <c r="F41" s="44"/>
      <c r="G41" s="44">
        <v>2122184</v>
      </c>
      <c r="H41" s="44"/>
      <c r="I41" s="44">
        <v>1065035</v>
      </c>
      <c r="J41" s="44"/>
      <c r="K41" s="44">
        <f>322911+1253058</f>
        <v>1575969</v>
      </c>
      <c r="L41" s="44"/>
      <c r="M41" s="44">
        <f>3144719+1347712</f>
        <v>4492431</v>
      </c>
      <c r="N41" s="44"/>
      <c r="O41" s="44">
        <v>0</v>
      </c>
      <c r="P41" s="44"/>
      <c r="Q41" s="44">
        <v>801696</v>
      </c>
      <c r="R41" s="44"/>
      <c r="S41" s="44">
        <v>250320</v>
      </c>
      <c r="T41" s="44"/>
      <c r="U41" s="44">
        <v>164645</v>
      </c>
      <c r="V41" s="44"/>
      <c r="W41" s="44">
        <v>0</v>
      </c>
      <c r="X41" s="44"/>
      <c r="Y41" s="44">
        <v>0</v>
      </c>
      <c r="Z41" s="44"/>
      <c r="AA41" s="44">
        <f t="shared" si="1"/>
        <v>7285061</v>
      </c>
      <c r="AB41" s="44"/>
      <c r="AC41" s="44">
        <f t="shared" si="0"/>
        <v>12309723</v>
      </c>
    </row>
    <row r="42" spans="1:29" s="47" customFormat="1" ht="12.75" customHeight="1">
      <c r="A42" s="47" t="s">
        <v>476</v>
      </c>
      <c r="C42" s="47" t="s">
        <v>15</v>
      </c>
      <c r="E42" s="44">
        <v>212698</v>
      </c>
      <c r="F42" s="44"/>
      <c r="G42" s="44">
        <v>329391</v>
      </c>
      <c r="H42" s="44"/>
      <c r="I42" s="44">
        <v>196237</v>
      </c>
      <c r="J42" s="44"/>
      <c r="K42" s="44">
        <f>219122+13+13+103965</f>
        <v>323113</v>
      </c>
      <c r="L42" s="44"/>
      <c r="M42" s="44">
        <f>1846588+129101</f>
        <v>1975689</v>
      </c>
      <c r="N42" s="44"/>
      <c r="O42" s="44">
        <v>0</v>
      </c>
      <c r="P42" s="44"/>
      <c r="Q42" s="44">
        <v>219672</v>
      </c>
      <c r="R42" s="44"/>
      <c r="S42" s="44">
        <v>4960</v>
      </c>
      <c r="T42" s="44"/>
      <c r="U42" s="44">
        <v>154421</v>
      </c>
      <c r="V42" s="44"/>
      <c r="W42" s="44">
        <v>-220000</v>
      </c>
      <c r="X42" s="44"/>
      <c r="Y42" s="44">
        <v>0</v>
      </c>
      <c r="Z42" s="44"/>
      <c r="AA42" s="44">
        <f>SUM(K42:Y42)</f>
        <v>2457855</v>
      </c>
      <c r="AB42" s="44"/>
      <c r="AC42" s="44">
        <f>SUM(E42:Y42)</f>
        <v>3196181</v>
      </c>
    </row>
    <row r="43" spans="1:29" s="47" customFormat="1" ht="12.75" customHeight="1">
      <c r="A43" s="47" t="s">
        <v>60</v>
      </c>
      <c r="C43" s="47" t="s">
        <v>61</v>
      </c>
      <c r="E43" s="44">
        <v>400013</v>
      </c>
      <c r="F43" s="44"/>
      <c r="G43" s="44">
        <v>664943</v>
      </c>
      <c r="H43" s="44"/>
      <c r="I43" s="44">
        <v>9028</v>
      </c>
      <c r="J43" s="44"/>
      <c r="K43" s="44">
        <f>405146+123306</f>
        <v>528452</v>
      </c>
      <c r="L43" s="44"/>
      <c r="M43" s="44">
        <v>2353751</v>
      </c>
      <c r="N43" s="44"/>
      <c r="O43" s="44">
        <v>0</v>
      </c>
      <c r="P43" s="44"/>
      <c r="Q43" s="44">
        <v>403571</v>
      </c>
      <c r="R43" s="44"/>
      <c r="S43" s="44">
        <f>81996+32005</f>
        <v>114001</v>
      </c>
      <c r="T43" s="44"/>
      <c r="U43" s="44">
        <v>116128</v>
      </c>
      <c r="V43" s="44"/>
      <c r="W43" s="44">
        <v>0</v>
      </c>
      <c r="X43" s="44"/>
      <c r="Y43" s="44">
        <v>0</v>
      </c>
      <c r="Z43" s="44"/>
      <c r="AA43" s="44">
        <f t="shared" si="1"/>
        <v>3515903</v>
      </c>
      <c r="AB43" s="44"/>
      <c r="AC43" s="44">
        <f t="shared" si="0"/>
        <v>4589887</v>
      </c>
    </row>
    <row r="44" spans="1:29" s="47" customFormat="1" ht="12.75" customHeight="1">
      <c r="A44" s="47" t="s">
        <v>62</v>
      </c>
      <c r="C44" s="47" t="s">
        <v>15</v>
      </c>
      <c r="E44" s="44">
        <v>12791385</v>
      </c>
      <c r="F44" s="44"/>
      <c r="G44" s="44">
        <v>15211394</v>
      </c>
      <c r="H44" s="44"/>
      <c r="I44" s="44">
        <v>4334246</v>
      </c>
      <c r="J44" s="44"/>
      <c r="K44" s="44">
        <v>3619130</v>
      </c>
      <c r="L44" s="44"/>
      <c r="M44" s="44">
        <v>40915298</v>
      </c>
      <c r="N44" s="44"/>
      <c r="O44" s="44">
        <v>0</v>
      </c>
      <c r="P44" s="44"/>
      <c r="Q44" s="44">
        <v>8936287</v>
      </c>
      <c r="R44" s="44"/>
      <c r="S44" s="44">
        <v>662192</v>
      </c>
      <c r="T44" s="44"/>
      <c r="U44" s="44">
        <f>3911451+111217</f>
        <v>4022668</v>
      </c>
      <c r="V44" s="44"/>
      <c r="W44" s="44">
        <v>0</v>
      </c>
      <c r="X44" s="44"/>
      <c r="Y44" s="44">
        <v>0</v>
      </c>
      <c r="Z44" s="44"/>
      <c r="AA44" s="44">
        <f t="shared" si="1"/>
        <v>58155575</v>
      </c>
      <c r="AB44" s="44"/>
      <c r="AC44" s="44">
        <f t="shared" si="0"/>
        <v>90492600</v>
      </c>
    </row>
    <row r="45" spans="1:29" s="47" customFormat="1" ht="12.75" customHeight="1">
      <c r="A45" s="47" t="s">
        <v>485</v>
      </c>
      <c r="C45" s="47" t="s">
        <v>111</v>
      </c>
      <c r="E45" s="44">
        <v>286538</v>
      </c>
      <c r="F45" s="44"/>
      <c r="G45" s="44">
        <v>435228</v>
      </c>
      <c r="H45" s="44"/>
      <c r="I45" s="44">
        <v>71035</v>
      </c>
      <c r="J45" s="44"/>
      <c r="K45" s="44">
        <f>76672+323086</f>
        <v>399758</v>
      </c>
      <c r="L45" s="44"/>
      <c r="M45" s="44">
        <f>506629+253309</f>
        <v>759938</v>
      </c>
      <c r="N45" s="44"/>
      <c r="O45" s="44">
        <v>0</v>
      </c>
      <c r="P45" s="44"/>
      <c r="Q45" s="44">
        <v>90997</v>
      </c>
      <c r="R45" s="44"/>
      <c r="S45" s="44">
        <v>48870</v>
      </c>
      <c r="T45" s="44"/>
      <c r="U45" s="44">
        <v>37276</v>
      </c>
      <c r="V45" s="44"/>
      <c r="W45" s="44">
        <v>-18069</v>
      </c>
      <c r="X45" s="44"/>
      <c r="Y45" s="44">
        <v>0</v>
      </c>
      <c r="Z45" s="44"/>
      <c r="AA45" s="44">
        <f>SUM(K45:Y45)</f>
        <v>1318770</v>
      </c>
      <c r="AB45" s="44"/>
      <c r="AC45" s="44">
        <f>SUM(E45:Y45)</f>
        <v>2111571</v>
      </c>
    </row>
    <row r="46" spans="1:29" s="47" customFormat="1" ht="12.75" customHeight="1">
      <c r="A46" s="47" t="s">
        <v>63</v>
      </c>
      <c r="C46" s="47" t="s">
        <v>64</v>
      </c>
      <c r="E46" s="44">
        <v>1109422</v>
      </c>
      <c r="F46" s="44"/>
      <c r="G46" s="44">
        <v>721566</v>
      </c>
      <c r="H46" s="44"/>
      <c r="I46" s="44">
        <v>639486</v>
      </c>
      <c r="J46" s="44"/>
      <c r="K46" s="44">
        <f>297054+44559+44559</f>
        <v>386172</v>
      </c>
      <c r="L46" s="44"/>
      <c r="M46" s="44">
        <v>2500572</v>
      </c>
      <c r="N46" s="44"/>
      <c r="O46" s="44">
        <f>519802+536329+95429</f>
        <v>1151560</v>
      </c>
      <c r="P46" s="44"/>
      <c r="Q46" s="44">
        <v>569554</v>
      </c>
      <c r="R46" s="44"/>
      <c r="S46" s="44">
        <v>119205</v>
      </c>
      <c r="T46" s="44"/>
      <c r="U46" s="44">
        <v>76070</v>
      </c>
      <c r="V46" s="44"/>
      <c r="W46" s="44">
        <v>-2190954</v>
      </c>
      <c r="X46" s="44"/>
      <c r="Y46" s="44">
        <v>0</v>
      </c>
      <c r="Z46" s="44"/>
      <c r="AA46" s="44">
        <f t="shared" si="1"/>
        <v>2612179</v>
      </c>
      <c r="AB46" s="44"/>
      <c r="AC46" s="44">
        <f t="shared" si="0"/>
        <v>5082653</v>
      </c>
    </row>
    <row r="47" spans="1:29" s="47" customFormat="1" ht="12.75" customHeight="1">
      <c r="A47" s="47" t="s">
        <v>65</v>
      </c>
      <c r="C47" s="47" t="s">
        <v>66</v>
      </c>
      <c r="E47" s="44">
        <v>1280106</v>
      </c>
      <c r="F47" s="44"/>
      <c r="G47" s="44">
        <v>988873</v>
      </c>
      <c r="H47" s="44"/>
      <c r="I47" s="44">
        <v>787975</v>
      </c>
      <c r="J47" s="44"/>
      <c r="K47" s="44">
        <v>1422543</v>
      </c>
      <c r="L47" s="44"/>
      <c r="M47" s="44">
        <v>10675126</v>
      </c>
      <c r="N47" s="44"/>
      <c r="O47" s="44">
        <v>0</v>
      </c>
      <c r="P47" s="44"/>
      <c r="Q47" s="44">
        <v>2046883</v>
      </c>
      <c r="R47" s="44"/>
      <c r="S47" s="44">
        <v>280848</v>
      </c>
      <c r="T47" s="44"/>
      <c r="U47" s="44">
        <v>199604</v>
      </c>
      <c r="V47" s="44"/>
      <c r="W47" s="44">
        <v>-150000</v>
      </c>
      <c r="X47" s="44"/>
      <c r="Y47" s="44">
        <v>0</v>
      </c>
      <c r="Z47" s="44"/>
      <c r="AA47" s="44">
        <f t="shared" si="1"/>
        <v>14475004</v>
      </c>
      <c r="AB47" s="44"/>
      <c r="AC47" s="44">
        <f t="shared" si="0"/>
        <v>17531958</v>
      </c>
    </row>
    <row r="48" spans="1:29" s="47" customFormat="1" ht="12.75" customHeight="1">
      <c r="A48" s="47" t="s">
        <v>67</v>
      </c>
      <c r="C48" s="47" t="s">
        <v>375</v>
      </c>
      <c r="E48" s="44">
        <v>2731996</v>
      </c>
      <c r="F48" s="44"/>
      <c r="G48" s="44">
        <v>530706</v>
      </c>
      <c r="H48" s="44"/>
      <c r="I48" s="44">
        <v>0</v>
      </c>
      <c r="J48" s="44"/>
      <c r="K48" s="44">
        <f>307559+705139</f>
        <v>1012698</v>
      </c>
      <c r="L48" s="44"/>
      <c r="M48" s="44">
        <v>4705040</v>
      </c>
      <c r="N48" s="44"/>
      <c r="O48" s="44">
        <v>0</v>
      </c>
      <c r="P48" s="44"/>
      <c r="Q48" s="44">
        <v>302342</v>
      </c>
      <c r="R48" s="44"/>
      <c r="S48" s="44">
        <v>79679</v>
      </c>
      <c r="T48" s="44"/>
      <c r="U48" s="44">
        <v>86514</v>
      </c>
      <c r="V48" s="44"/>
      <c r="W48" s="44">
        <v>-1027000</v>
      </c>
      <c r="X48" s="44"/>
      <c r="Y48" s="44">
        <v>0</v>
      </c>
      <c r="Z48" s="44"/>
      <c r="AA48" s="44">
        <f t="shared" si="1"/>
        <v>5159273</v>
      </c>
      <c r="AB48" s="44"/>
      <c r="AC48" s="44">
        <f t="shared" si="0"/>
        <v>8421975</v>
      </c>
    </row>
    <row r="49" spans="1:29" s="47" customFormat="1" ht="12.75" customHeight="1">
      <c r="A49" s="47" t="s">
        <v>68</v>
      </c>
      <c r="C49" s="47" t="s">
        <v>45</v>
      </c>
      <c r="E49" s="44">
        <v>783460</v>
      </c>
      <c r="F49" s="44"/>
      <c r="G49" s="44">
        <v>408757</v>
      </c>
      <c r="H49" s="44"/>
      <c r="I49" s="44">
        <v>1192730</v>
      </c>
      <c r="J49" s="44"/>
      <c r="K49" s="44">
        <f>1053871+132251</f>
        <v>1186122</v>
      </c>
      <c r="L49" s="44"/>
      <c r="M49" s="44">
        <v>1714686</v>
      </c>
      <c r="N49" s="44"/>
      <c r="O49" s="44">
        <v>75240</v>
      </c>
      <c r="P49" s="44"/>
      <c r="Q49" s="44">
        <v>494311</v>
      </c>
      <c r="R49" s="44"/>
      <c r="S49" s="44">
        <v>782</v>
      </c>
      <c r="T49" s="44"/>
      <c r="U49" s="44">
        <v>196583</v>
      </c>
      <c r="V49" s="44"/>
      <c r="W49" s="44">
        <v>0</v>
      </c>
      <c r="X49" s="44"/>
      <c r="Y49" s="44">
        <v>0</v>
      </c>
      <c r="Z49" s="44"/>
      <c r="AA49" s="44">
        <f t="shared" si="1"/>
        <v>3667724</v>
      </c>
      <c r="AB49" s="44"/>
      <c r="AC49" s="44">
        <f t="shared" si="0"/>
        <v>6052671</v>
      </c>
    </row>
    <row r="50" spans="1:29" s="47" customFormat="1" ht="12.75" customHeight="1">
      <c r="A50" s="47" t="s">
        <v>69</v>
      </c>
      <c r="C50" s="47" t="s">
        <v>70</v>
      </c>
      <c r="E50" s="44">
        <v>4665122</v>
      </c>
      <c r="F50" s="44"/>
      <c r="G50" s="44">
        <v>5389193</v>
      </c>
      <c r="H50" s="44"/>
      <c r="I50" s="44">
        <v>3778705</v>
      </c>
      <c r="J50" s="44"/>
      <c r="K50" s="44">
        <f>935673+221814</f>
        <v>1157487</v>
      </c>
      <c r="L50" s="44"/>
      <c r="M50" s="44">
        <f>9186508+668288+836331</f>
        <v>10691127</v>
      </c>
      <c r="N50" s="44"/>
      <c r="O50" s="44">
        <v>133653</v>
      </c>
      <c r="P50" s="44"/>
      <c r="Q50" s="44">
        <v>2098454</v>
      </c>
      <c r="R50" s="44"/>
      <c r="S50" s="44">
        <v>151647</v>
      </c>
      <c r="T50" s="44"/>
      <c r="U50" s="44">
        <v>323883</v>
      </c>
      <c r="V50" s="44"/>
      <c r="W50" s="44">
        <v>-39790</v>
      </c>
      <c r="X50" s="44"/>
      <c r="Y50" s="44">
        <v>0</v>
      </c>
      <c r="Z50" s="44"/>
      <c r="AA50" s="44">
        <f t="shared" si="1"/>
        <v>14516461</v>
      </c>
      <c r="AB50" s="44"/>
      <c r="AC50" s="44">
        <f t="shared" si="0"/>
        <v>28349481</v>
      </c>
    </row>
    <row r="51" spans="1:29" s="47" customFormat="1" ht="12.75" customHeight="1">
      <c r="A51" s="47" t="s">
        <v>71</v>
      </c>
      <c r="C51" s="47" t="s">
        <v>45</v>
      </c>
      <c r="E51" s="44">
        <v>143819000</v>
      </c>
      <c r="F51" s="44"/>
      <c r="G51" s="44">
        <v>54101000</v>
      </c>
      <c r="H51" s="44"/>
      <c r="I51" s="44">
        <v>24162000</v>
      </c>
      <c r="J51" s="44"/>
      <c r="K51" s="44">
        <v>80153000</v>
      </c>
      <c r="L51" s="44"/>
      <c r="M51" s="44">
        <v>299625000</v>
      </c>
      <c r="N51" s="44"/>
      <c r="O51" s="44">
        <f>4028000+60320000+1884000</f>
        <v>66232000</v>
      </c>
      <c r="P51" s="44"/>
      <c r="Q51" s="44">
        <v>0</v>
      </c>
      <c r="R51" s="44"/>
      <c r="S51" s="44">
        <v>14461000</v>
      </c>
      <c r="T51" s="44"/>
      <c r="U51" s="44">
        <v>1834000</v>
      </c>
      <c r="V51" s="44"/>
      <c r="W51" s="44">
        <v>202000</v>
      </c>
      <c r="X51" s="44"/>
      <c r="Y51" s="44">
        <v>0</v>
      </c>
      <c r="Z51" s="44"/>
      <c r="AA51" s="44">
        <f t="shared" si="1"/>
        <v>462507000</v>
      </c>
      <c r="AB51" s="44"/>
      <c r="AC51" s="44">
        <f t="shared" si="0"/>
        <v>684589000</v>
      </c>
    </row>
    <row r="52" spans="1:29" s="47" customFormat="1" ht="12.75" customHeight="1">
      <c r="A52" s="47" t="s">
        <v>463</v>
      </c>
      <c r="C52" s="47" t="s">
        <v>464</v>
      </c>
      <c r="E52" s="44">
        <v>1683299</v>
      </c>
      <c r="F52" s="44"/>
      <c r="G52" s="44">
        <v>633081</v>
      </c>
      <c r="H52" s="44"/>
      <c r="I52" s="44">
        <v>738508</v>
      </c>
      <c r="J52" s="44"/>
      <c r="K52" s="44">
        <f>738182+114471</f>
        <v>852653</v>
      </c>
      <c r="L52" s="44"/>
      <c r="M52" s="44">
        <f>1694046+1668639+331359+874753</f>
        <v>4568797</v>
      </c>
      <c r="N52" s="44"/>
      <c r="O52" s="44">
        <v>239959</v>
      </c>
      <c r="P52" s="44"/>
      <c r="Q52" s="44">
        <v>1386278</v>
      </c>
      <c r="R52" s="44"/>
      <c r="S52" s="44">
        <v>199829</v>
      </c>
      <c r="T52" s="44"/>
      <c r="U52" s="44">
        <v>133102</v>
      </c>
      <c r="V52" s="44"/>
      <c r="W52" s="44">
        <v>0</v>
      </c>
      <c r="X52" s="44"/>
      <c r="Y52" s="44">
        <v>0</v>
      </c>
      <c r="Z52" s="44"/>
      <c r="AA52" s="44">
        <f t="shared" si="1"/>
        <v>7380618</v>
      </c>
      <c r="AB52" s="44"/>
      <c r="AC52" s="44">
        <f t="shared" si="0"/>
        <v>10435506</v>
      </c>
    </row>
    <row r="53" spans="1:29" s="47" customFormat="1" ht="12.75" customHeight="1">
      <c r="A53" s="47" t="s">
        <v>72</v>
      </c>
      <c r="C53" s="47" t="s">
        <v>66</v>
      </c>
      <c r="E53" s="44">
        <v>766868</v>
      </c>
      <c r="F53" s="44"/>
      <c r="G53" s="44">
        <v>1207084</v>
      </c>
      <c r="H53" s="44"/>
      <c r="I53" s="44">
        <v>884827</v>
      </c>
      <c r="J53" s="44"/>
      <c r="K53" s="44">
        <f>391904+1228963+814478+180448</f>
        <v>2615793</v>
      </c>
      <c r="L53" s="44"/>
      <c r="M53" s="44">
        <f>1364296+686419</f>
        <v>2050715</v>
      </c>
      <c r="N53" s="44"/>
      <c r="O53" s="44">
        <f>216829+199876</f>
        <v>416705</v>
      </c>
      <c r="P53" s="44"/>
      <c r="Q53" s="44">
        <v>297537</v>
      </c>
      <c r="R53" s="44"/>
      <c r="S53" s="44">
        <f>23668-8656</f>
        <v>15012</v>
      </c>
      <c r="T53" s="44"/>
      <c r="U53" s="44">
        <v>186815</v>
      </c>
      <c r="V53" s="44"/>
      <c r="W53" s="44">
        <v>-185622</v>
      </c>
      <c r="X53" s="44"/>
      <c r="Y53" s="44">
        <v>0</v>
      </c>
      <c r="Z53" s="44"/>
      <c r="AA53" s="44">
        <f t="shared" si="1"/>
        <v>5396955</v>
      </c>
      <c r="AB53" s="44"/>
      <c r="AC53" s="44">
        <f t="shared" si="0"/>
        <v>8255734</v>
      </c>
    </row>
    <row r="54" spans="1:29" s="47" customFormat="1" ht="12.75" customHeight="1">
      <c r="A54" s="47" t="s">
        <v>73</v>
      </c>
      <c r="C54" s="47" t="s">
        <v>27</v>
      </c>
      <c r="E54" s="44">
        <v>77227000</v>
      </c>
      <c r="F54" s="44"/>
      <c r="G54" s="44">
        <v>134565000</v>
      </c>
      <c r="H54" s="44"/>
      <c r="I54" s="44">
        <v>11680000</v>
      </c>
      <c r="J54" s="44"/>
      <c r="K54" s="44">
        <v>63573000</v>
      </c>
      <c r="L54" s="44"/>
      <c r="M54" s="44">
        <v>296507000</v>
      </c>
      <c r="N54" s="44"/>
      <c r="O54" s="44">
        <v>25053000</v>
      </c>
      <c r="P54" s="44"/>
      <c r="Q54" s="44">
        <f>43420000+28741000</f>
        <v>72161000</v>
      </c>
      <c r="R54" s="44"/>
      <c r="S54" s="44">
        <v>1740000</v>
      </c>
      <c r="T54" s="44"/>
      <c r="U54" s="44">
        <v>10207000</v>
      </c>
      <c r="V54" s="44"/>
      <c r="W54" s="44">
        <v>-825000</v>
      </c>
      <c r="X54" s="44"/>
      <c r="Y54" s="44">
        <v>0</v>
      </c>
      <c r="Z54" s="44"/>
      <c r="AA54" s="44">
        <f>SUM(K54:Y54)</f>
        <v>468416000</v>
      </c>
      <c r="AB54" s="44"/>
      <c r="AC54" s="44">
        <f t="shared" si="0"/>
        <v>691888000</v>
      </c>
    </row>
    <row r="55" spans="1:29" s="47" customFormat="1" ht="12.75" customHeight="1">
      <c r="A55" s="47" t="s">
        <v>74</v>
      </c>
      <c r="C55" s="47" t="s">
        <v>27</v>
      </c>
      <c r="E55" s="44">
        <v>10091794</v>
      </c>
      <c r="F55" s="44"/>
      <c r="G55" s="44">
        <v>2321296</v>
      </c>
      <c r="H55" s="44"/>
      <c r="I55" s="44">
        <v>413457</v>
      </c>
      <c r="J55" s="44"/>
      <c r="K55" s="44">
        <f>7236862+3570713+514132</f>
        <v>11321707</v>
      </c>
      <c r="L55" s="44"/>
      <c r="M55" s="44">
        <v>19994781</v>
      </c>
      <c r="N55" s="44"/>
      <c r="O55" s="44">
        <v>0</v>
      </c>
      <c r="P55" s="44"/>
      <c r="Q55" s="44">
        <v>7829289</v>
      </c>
      <c r="R55" s="44"/>
      <c r="S55" s="44">
        <v>112881</v>
      </c>
      <c r="T55" s="44"/>
      <c r="U55" s="44">
        <v>1054747</v>
      </c>
      <c r="V55" s="44"/>
      <c r="W55" s="44">
        <v>-503138</v>
      </c>
      <c r="X55" s="44"/>
      <c r="Y55" s="44">
        <v>0</v>
      </c>
      <c r="Z55" s="44"/>
      <c r="AA55" s="44">
        <f t="shared" si="1"/>
        <v>39810267</v>
      </c>
      <c r="AB55" s="44"/>
      <c r="AC55" s="44">
        <f t="shared" si="0"/>
        <v>52636814</v>
      </c>
    </row>
    <row r="56" spans="1:29" s="47" customFormat="1" ht="12.75" customHeight="1">
      <c r="A56" s="47" t="s">
        <v>75</v>
      </c>
      <c r="C56" s="47" t="s">
        <v>76</v>
      </c>
      <c r="E56" s="44">
        <v>349929</v>
      </c>
      <c r="F56" s="44"/>
      <c r="G56" s="44">
        <v>346203</v>
      </c>
      <c r="H56" s="44"/>
      <c r="I56" s="44">
        <v>131950</v>
      </c>
      <c r="J56" s="44"/>
      <c r="K56" s="44">
        <f>338220+34881</f>
        <v>373101</v>
      </c>
      <c r="L56" s="44"/>
      <c r="M56" s="44">
        <f>2531640+1013008</f>
        <v>3544648</v>
      </c>
      <c r="N56" s="44"/>
      <c r="O56" s="44">
        <v>254299</v>
      </c>
      <c r="P56" s="44"/>
      <c r="Q56" s="44">
        <v>335541</v>
      </c>
      <c r="R56" s="44"/>
      <c r="S56" s="44">
        <v>122238</v>
      </c>
      <c r="T56" s="44"/>
      <c r="U56" s="44">
        <v>34623</v>
      </c>
      <c r="V56" s="44"/>
      <c r="W56" s="44">
        <v>-282026</v>
      </c>
      <c r="X56" s="44"/>
      <c r="Y56" s="44">
        <v>0</v>
      </c>
      <c r="Z56" s="44"/>
      <c r="AA56" s="44">
        <f t="shared" si="1"/>
        <v>4382424</v>
      </c>
      <c r="AB56" s="44"/>
      <c r="AC56" s="44">
        <f t="shared" si="0"/>
        <v>5210506</v>
      </c>
    </row>
    <row r="57" spans="1:29" s="47" customFormat="1" ht="12.75" customHeight="1">
      <c r="A57" s="47" t="s">
        <v>77</v>
      </c>
      <c r="C57" s="47" t="s">
        <v>43</v>
      </c>
      <c r="E57" s="44">
        <v>139444000</v>
      </c>
      <c r="F57" s="44"/>
      <c r="G57" s="44">
        <v>145455000</v>
      </c>
      <c r="H57" s="44"/>
      <c r="I57" s="44">
        <v>46389000</v>
      </c>
      <c r="J57" s="44"/>
      <c r="K57" s="44">
        <v>52379000</v>
      </c>
      <c r="L57" s="44"/>
      <c r="M57" s="44">
        <v>522809000</v>
      </c>
      <c r="N57" s="44"/>
      <c r="O57" s="44">
        <f>12727000+3426000</f>
        <v>16153000</v>
      </c>
      <c r="P57" s="44"/>
      <c r="Q57" s="44">
        <v>47748000</v>
      </c>
      <c r="R57" s="44"/>
      <c r="S57" s="44">
        <v>4902000</v>
      </c>
      <c r="T57" s="44"/>
      <c r="U57" s="44">
        <v>18791000</v>
      </c>
      <c r="V57" s="44"/>
      <c r="W57" s="44">
        <v>16000</v>
      </c>
      <c r="X57" s="44"/>
      <c r="Y57" s="44">
        <v>0</v>
      </c>
      <c r="Z57" s="44"/>
      <c r="AA57" s="44">
        <f t="shared" si="1"/>
        <v>662798000</v>
      </c>
      <c r="AB57" s="44"/>
      <c r="AC57" s="44">
        <f t="shared" si="0"/>
        <v>994086000</v>
      </c>
    </row>
    <row r="58" spans="1:29" s="47" customFormat="1" ht="12.75" customHeight="1">
      <c r="A58" s="47" t="s">
        <v>94</v>
      </c>
      <c r="C58" s="47" t="s">
        <v>94</v>
      </c>
      <c r="E58" s="44">
        <v>357427</v>
      </c>
      <c r="F58" s="44"/>
      <c r="G58" s="44">
        <v>359432</v>
      </c>
      <c r="H58" s="44"/>
      <c r="I58" s="44">
        <v>255753</v>
      </c>
      <c r="J58" s="44"/>
      <c r="K58" s="44">
        <f>315256+37623</f>
        <v>352879</v>
      </c>
      <c r="L58" s="44"/>
      <c r="M58" s="44">
        <v>1730282</v>
      </c>
      <c r="N58" s="44"/>
      <c r="O58" s="44">
        <v>34924</v>
      </c>
      <c r="P58" s="44"/>
      <c r="Q58" s="44">
        <v>508330</v>
      </c>
      <c r="R58" s="44"/>
      <c r="S58" s="44">
        <v>169355</v>
      </c>
      <c r="T58" s="44"/>
      <c r="U58" s="44">
        <v>224121</v>
      </c>
      <c r="V58" s="44"/>
      <c r="W58" s="44">
        <v>-34990</v>
      </c>
      <c r="X58" s="44"/>
      <c r="Y58" s="44">
        <v>0</v>
      </c>
      <c r="Z58" s="44"/>
      <c r="AA58" s="44">
        <f>SUM(K58:Y58)</f>
        <v>2984901</v>
      </c>
      <c r="AB58" s="44"/>
      <c r="AC58" s="44">
        <f>SUM(E58:Y58)</f>
        <v>3957513</v>
      </c>
    </row>
    <row r="59" spans="1:29" s="47" customFormat="1" ht="12.75" customHeight="1">
      <c r="A59" s="47" t="s">
        <v>78</v>
      </c>
      <c r="C59" s="47" t="s">
        <v>19</v>
      </c>
      <c r="E59" s="44">
        <v>1310508</v>
      </c>
      <c r="F59" s="44"/>
      <c r="G59" s="44">
        <v>1034740</v>
      </c>
      <c r="H59" s="44"/>
      <c r="I59" s="44">
        <v>288425</v>
      </c>
      <c r="J59" s="44"/>
      <c r="K59" s="44">
        <f>357971+214134+648490</f>
        <v>1220595</v>
      </c>
      <c r="L59" s="44"/>
      <c r="M59" s="44">
        <f>1953905+230716+536238+48681</f>
        <v>2769540</v>
      </c>
      <c r="N59" s="44"/>
      <c r="O59" s="44">
        <f>18902+152708</f>
        <v>171610</v>
      </c>
      <c r="P59" s="44"/>
      <c r="Q59" s="44">
        <v>800550</v>
      </c>
      <c r="R59" s="44"/>
      <c r="S59" s="44">
        <f>7655+6469</f>
        <v>14124</v>
      </c>
      <c r="T59" s="44"/>
      <c r="U59" s="44">
        <v>57142</v>
      </c>
      <c r="V59" s="44"/>
      <c r="W59" s="44">
        <v>-13755</v>
      </c>
      <c r="X59" s="44"/>
      <c r="Y59" s="44">
        <v>12595661</v>
      </c>
      <c r="Z59" s="44"/>
      <c r="AA59" s="44">
        <f>SUM(K59:Y59)</f>
        <v>17615467</v>
      </c>
      <c r="AB59" s="44"/>
      <c r="AC59" s="44">
        <f>SUM(E59:Y59)</f>
        <v>20249140</v>
      </c>
    </row>
    <row r="60" spans="1:29" s="47" customFormat="1" ht="12.75" customHeight="1">
      <c r="A60" s="47" t="s">
        <v>79</v>
      </c>
      <c r="C60" s="47" t="s">
        <v>80</v>
      </c>
      <c r="E60" s="44">
        <v>454064</v>
      </c>
      <c r="F60" s="44"/>
      <c r="G60" s="44">
        <v>1065528</v>
      </c>
      <c r="H60" s="44"/>
      <c r="I60" s="44">
        <v>85269</v>
      </c>
      <c r="J60" s="44"/>
      <c r="K60" s="44">
        <f>497324+784740+866739</f>
        <v>2148803</v>
      </c>
      <c r="L60" s="44"/>
      <c r="M60" s="44">
        <v>0</v>
      </c>
      <c r="N60" s="44"/>
      <c r="O60" s="44">
        <v>0</v>
      </c>
      <c r="P60" s="44"/>
      <c r="Q60" s="44">
        <v>304423</v>
      </c>
      <c r="R60" s="44"/>
      <c r="S60" s="44">
        <v>24132</v>
      </c>
      <c r="T60" s="44"/>
      <c r="U60" s="44">
        <v>124236</v>
      </c>
      <c r="V60" s="44"/>
      <c r="W60" s="44">
        <v>0</v>
      </c>
      <c r="X60" s="44"/>
      <c r="Y60" s="44">
        <v>0</v>
      </c>
      <c r="Z60" s="44"/>
      <c r="AA60" s="44">
        <f>SUM(K60:Y60)</f>
        <v>2601594</v>
      </c>
      <c r="AB60" s="44"/>
      <c r="AC60" s="44">
        <f>SUM(E60:Y60)</f>
        <v>4206455</v>
      </c>
    </row>
    <row r="61" spans="1:29" s="47" customFormat="1" ht="12.75" customHeight="1">
      <c r="A61" s="47" t="s">
        <v>81</v>
      </c>
      <c r="C61" s="47" t="s">
        <v>81</v>
      </c>
      <c r="E61" s="44">
        <v>1264146</v>
      </c>
      <c r="F61" s="44"/>
      <c r="G61" s="44">
        <v>1424327</v>
      </c>
      <c r="H61" s="44"/>
      <c r="I61" s="44">
        <v>0</v>
      </c>
      <c r="J61" s="44"/>
      <c r="K61" s="44">
        <f>468422+51699</f>
        <v>520121</v>
      </c>
      <c r="L61" s="44"/>
      <c r="M61" s="44">
        <f>2072419+966434+259105+451515+132837</f>
        <v>3882310</v>
      </c>
      <c r="N61" s="44"/>
      <c r="O61" s="44">
        <f>24058+58075+28501+55305</f>
        <v>165939</v>
      </c>
      <c r="P61" s="44"/>
      <c r="Q61" s="44">
        <v>1674552</v>
      </c>
      <c r="R61" s="44"/>
      <c r="S61" s="44">
        <v>2839</v>
      </c>
      <c r="T61" s="44"/>
      <c r="U61" s="44">
        <v>492959</v>
      </c>
      <c r="V61" s="44"/>
      <c r="W61" s="44">
        <v>0</v>
      </c>
      <c r="X61" s="44"/>
      <c r="Y61" s="44">
        <v>0</v>
      </c>
      <c r="Z61" s="44"/>
      <c r="AA61" s="44">
        <f>SUM(K61:Y61)</f>
        <v>6738720</v>
      </c>
      <c r="AB61" s="44"/>
      <c r="AC61" s="44">
        <f>SUM(E61:Y61)</f>
        <v>9427193</v>
      </c>
    </row>
    <row r="62" spans="1:29" s="47" customFormat="1" ht="12.75" customHeight="1">
      <c r="A62" s="47" t="s">
        <v>465</v>
      </c>
      <c r="C62" s="47" t="s">
        <v>57</v>
      </c>
      <c r="E62" s="44">
        <v>222620</v>
      </c>
      <c r="F62" s="44"/>
      <c r="G62" s="44">
        <v>1085912</v>
      </c>
      <c r="H62" s="44"/>
      <c r="I62" s="44">
        <v>0</v>
      </c>
      <c r="J62" s="44"/>
      <c r="K62" s="44">
        <f>127552+39919+10224+10224</f>
        <v>187919</v>
      </c>
      <c r="L62" s="44"/>
      <c r="M62" s="44">
        <f>801391+90837+179677</f>
        <v>1071905</v>
      </c>
      <c r="N62" s="44"/>
      <c r="O62" s="44">
        <v>0</v>
      </c>
      <c r="P62" s="44"/>
      <c r="Q62" s="44">
        <v>291469</v>
      </c>
      <c r="R62" s="44"/>
      <c r="S62" s="44">
        <v>35144</v>
      </c>
      <c r="T62" s="44"/>
      <c r="U62" s="44">
        <v>88039</v>
      </c>
      <c r="V62" s="44"/>
      <c r="W62" s="44">
        <v>0</v>
      </c>
      <c r="X62" s="44"/>
      <c r="Y62" s="44">
        <v>0</v>
      </c>
      <c r="Z62" s="44"/>
      <c r="AA62" s="44">
        <f>SUM(K62:Y62)</f>
        <v>1674476</v>
      </c>
      <c r="AB62" s="44"/>
      <c r="AC62" s="44">
        <f>SUM(E62:Y62)</f>
        <v>2983008</v>
      </c>
    </row>
    <row r="63" spans="1:29" s="47" customFormat="1" ht="12.75" customHeight="1">
      <c r="A63" s="47" t="s">
        <v>82</v>
      </c>
      <c r="C63" s="47" t="s">
        <v>13</v>
      </c>
      <c r="E63" s="44">
        <v>10532301</v>
      </c>
      <c r="F63" s="44"/>
      <c r="G63" s="44">
        <v>3028970</v>
      </c>
      <c r="H63" s="44"/>
      <c r="I63" s="44">
        <v>1788907</v>
      </c>
      <c r="J63" s="44"/>
      <c r="K63" s="44">
        <f>10440198+824016</f>
        <v>11264214</v>
      </c>
      <c r="L63" s="44"/>
      <c r="M63" s="44">
        <f>11765637+1501916+5506400</f>
        <v>18773953</v>
      </c>
      <c r="N63" s="44"/>
      <c r="O63" s="44">
        <v>0</v>
      </c>
      <c r="P63" s="44"/>
      <c r="Q63" s="44">
        <v>5020191</v>
      </c>
      <c r="R63" s="44"/>
      <c r="S63" s="44">
        <f>54372+1177816</f>
        <v>1232188</v>
      </c>
      <c r="T63" s="44"/>
      <c r="U63" s="44">
        <v>0</v>
      </c>
      <c r="V63" s="44"/>
      <c r="W63" s="44">
        <v>-1678831</v>
      </c>
      <c r="X63" s="44"/>
      <c r="Y63" s="44">
        <v>0</v>
      </c>
      <c r="Z63" s="44"/>
      <c r="AA63" s="44">
        <f t="shared" si="1"/>
        <v>34611715</v>
      </c>
      <c r="AB63" s="44"/>
      <c r="AC63" s="44">
        <f t="shared" si="0"/>
        <v>49961893</v>
      </c>
    </row>
    <row r="64" spans="1:29" s="47" customFormat="1" ht="12.75" customHeight="1">
      <c r="A64" s="47" t="s">
        <v>83</v>
      </c>
      <c r="C64" s="47" t="s">
        <v>66</v>
      </c>
      <c r="E64" s="44">
        <v>28987368</v>
      </c>
      <c r="F64" s="44"/>
      <c r="G64" s="44">
        <v>24147823</v>
      </c>
      <c r="H64" s="44"/>
      <c r="I64" s="44">
        <v>25771047</v>
      </c>
      <c r="J64" s="44"/>
      <c r="K64" s="44">
        <f>9274153+8690698+1106009</f>
        <v>19070860</v>
      </c>
      <c r="L64" s="44"/>
      <c r="M64" s="44">
        <v>99817917</v>
      </c>
      <c r="N64" s="44"/>
      <c r="O64" s="44">
        <v>0</v>
      </c>
      <c r="P64" s="44"/>
      <c r="Q64" s="44">
        <v>14827230</v>
      </c>
      <c r="R64" s="44"/>
      <c r="S64" s="44">
        <v>1311141</v>
      </c>
      <c r="T64" s="44"/>
      <c r="U64" s="44">
        <v>4673485</v>
      </c>
      <c r="V64" s="44"/>
      <c r="W64" s="44">
        <v>-662961</v>
      </c>
      <c r="X64" s="44"/>
      <c r="Y64" s="44">
        <v>0</v>
      </c>
      <c r="Z64" s="44"/>
      <c r="AA64" s="44">
        <f t="shared" si="1"/>
        <v>139037672</v>
      </c>
      <c r="AB64" s="44"/>
      <c r="AC64" s="44">
        <f t="shared" si="0"/>
        <v>217943910</v>
      </c>
    </row>
    <row r="65" spans="1:29" s="47" customFormat="1" ht="12.75" customHeight="1">
      <c r="A65" s="47" t="s">
        <v>84</v>
      </c>
      <c r="C65" s="47" t="s">
        <v>45</v>
      </c>
      <c r="E65" s="44">
        <v>189953</v>
      </c>
      <c r="F65" s="44"/>
      <c r="G65" s="44">
        <v>3652</v>
      </c>
      <c r="H65" s="44"/>
      <c r="I65" s="44">
        <v>2626</v>
      </c>
      <c r="J65" s="44"/>
      <c r="K65" s="44">
        <f>1222203+27982</f>
        <v>1250185</v>
      </c>
      <c r="L65" s="44"/>
      <c r="M65" s="44">
        <v>1124257</v>
      </c>
      <c r="N65" s="44"/>
      <c r="O65" s="44">
        <v>0</v>
      </c>
      <c r="P65" s="44"/>
      <c r="Q65" s="44">
        <v>405936</v>
      </c>
      <c r="R65" s="44"/>
      <c r="S65" s="44">
        <v>5384</v>
      </c>
      <c r="T65" s="44"/>
      <c r="U65" s="44">
        <v>0</v>
      </c>
      <c r="V65" s="44"/>
      <c r="W65" s="44">
        <v>0</v>
      </c>
      <c r="X65" s="44"/>
      <c r="Y65" s="44">
        <v>0</v>
      </c>
      <c r="Z65" s="44"/>
      <c r="AA65" s="44">
        <f t="shared" si="1"/>
        <v>2785762</v>
      </c>
      <c r="AB65" s="44"/>
      <c r="AC65" s="44">
        <f t="shared" si="0"/>
        <v>2981993</v>
      </c>
    </row>
    <row r="66" spans="1:29" s="47" customFormat="1" ht="12.75" customHeight="1">
      <c r="A66" s="47" t="s">
        <v>85</v>
      </c>
      <c r="C66" s="47" t="s">
        <v>85</v>
      </c>
      <c r="E66" s="44">
        <v>1707860</v>
      </c>
      <c r="F66" s="44"/>
      <c r="G66" s="44">
        <v>1644771</v>
      </c>
      <c r="H66" s="44"/>
      <c r="I66" s="44">
        <v>322650</v>
      </c>
      <c r="J66" s="44"/>
      <c r="K66" s="44">
        <f>525405+305992</f>
        <v>831397</v>
      </c>
      <c r="L66" s="44"/>
      <c r="M66" s="44">
        <f>5227106+21395+1283680</f>
        <v>6532181</v>
      </c>
      <c r="N66" s="44"/>
      <c r="O66" s="44">
        <v>83895</v>
      </c>
      <c r="P66" s="44"/>
      <c r="Q66" s="44">
        <v>909503</v>
      </c>
      <c r="R66" s="44"/>
      <c r="S66" s="44">
        <v>22217</v>
      </c>
      <c r="T66" s="44"/>
      <c r="U66" s="44">
        <v>99418</v>
      </c>
      <c r="V66" s="44"/>
      <c r="W66" s="44">
        <v>-6465</v>
      </c>
      <c r="X66" s="44"/>
      <c r="Y66" s="44">
        <v>0</v>
      </c>
      <c r="Z66" s="44"/>
      <c r="AA66" s="44">
        <f t="shared" si="1"/>
        <v>8472146</v>
      </c>
      <c r="AB66" s="44"/>
      <c r="AC66" s="44">
        <f t="shared" si="0"/>
        <v>12147427</v>
      </c>
    </row>
    <row r="67" spans="1:29" s="47" customFormat="1" ht="12.75" customHeight="1">
      <c r="A67" s="47" t="s">
        <v>86</v>
      </c>
      <c r="C67" s="47" t="s">
        <v>86</v>
      </c>
      <c r="E67" s="44">
        <v>5781907</v>
      </c>
      <c r="F67" s="44"/>
      <c r="G67" s="44">
        <v>786367</v>
      </c>
      <c r="H67" s="44"/>
      <c r="I67" s="44">
        <v>3250089</v>
      </c>
      <c r="J67" s="44"/>
      <c r="K67" s="44">
        <f>1421389+403703</f>
        <v>1825092</v>
      </c>
      <c r="L67" s="44"/>
      <c r="M67" s="44">
        <f>9697262+3884720+1356255</f>
        <v>14938237</v>
      </c>
      <c r="N67" s="44"/>
      <c r="O67" s="44">
        <f>62339+243756</f>
        <v>306095</v>
      </c>
      <c r="P67" s="44"/>
      <c r="Q67" s="44">
        <v>1599125</v>
      </c>
      <c r="R67" s="44"/>
      <c r="S67" s="44">
        <f>217878+61769</f>
        <v>279647</v>
      </c>
      <c r="T67" s="44"/>
      <c r="U67" s="44">
        <f>303274+20837</f>
        <v>324111</v>
      </c>
      <c r="V67" s="44"/>
      <c r="W67" s="44">
        <v>0</v>
      </c>
      <c r="X67" s="44"/>
      <c r="Y67" s="44">
        <v>0</v>
      </c>
      <c r="Z67" s="44"/>
      <c r="AA67" s="44">
        <f t="shared" si="1"/>
        <v>19272307</v>
      </c>
      <c r="AB67" s="44"/>
      <c r="AC67" s="44">
        <f t="shared" si="0"/>
        <v>29090670</v>
      </c>
    </row>
    <row r="68" spans="1:29" s="47" customFormat="1" ht="12.75" customHeight="1">
      <c r="A68" s="46" t="s">
        <v>87</v>
      </c>
      <c r="B68" s="46"/>
      <c r="C68" s="46" t="s">
        <v>88</v>
      </c>
      <c r="D68" s="46"/>
      <c r="E68" s="44">
        <v>579084</v>
      </c>
      <c r="F68" s="44"/>
      <c r="G68" s="44">
        <v>359655</v>
      </c>
      <c r="H68" s="44"/>
      <c r="I68" s="44">
        <v>736303</v>
      </c>
      <c r="J68" s="44"/>
      <c r="K68" s="44">
        <f>316690+52865</f>
        <v>369555</v>
      </c>
      <c r="L68" s="44"/>
      <c r="M68" s="44">
        <f>1607316+809421</f>
        <v>2416737</v>
      </c>
      <c r="N68" s="44"/>
      <c r="O68" s="44">
        <v>0</v>
      </c>
      <c r="P68" s="44"/>
      <c r="Q68" s="44">
        <v>563765</v>
      </c>
      <c r="R68" s="44"/>
      <c r="S68" s="44">
        <v>84423</v>
      </c>
      <c r="T68" s="44"/>
      <c r="U68" s="44">
        <v>28015</v>
      </c>
      <c r="V68" s="44"/>
      <c r="W68" s="44">
        <v>-987630</v>
      </c>
      <c r="X68" s="44"/>
      <c r="Y68" s="44">
        <v>0</v>
      </c>
      <c r="Z68" s="44"/>
      <c r="AA68" s="44">
        <f t="shared" si="1"/>
        <v>2474865</v>
      </c>
      <c r="AB68" s="44"/>
      <c r="AC68" s="44">
        <f t="shared" si="0"/>
        <v>4149907</v>
      </c>
    </row>
    <row r="69" spans="1:29" s="44" customFormat="1" ht="12.75" customHeight="1">
      <c r="A69" s="44" t="s">
        <v>394</v>
      </c>
      <c r="C69" s="44" t="s">
        <v>89</v>
      </c>
      <c r="E69" s="44">
        <v>1244852</v>
      </c>
      <c r="G69" s="44">
        <v>846946</v>
      </c>
      <c r="I69" s="44">
        <v>0</v>
      </c>
      <c r="K69" s="44">
        <f>1027642+155866</f>
        <v>1183508</v>
      </c>
      <c r="M69" s="44">
        <f>2257720+438574+316676+340000+2138200</f>
        <v>5491170</v>
      </c>
      <c r="O69" s="44">
        <v>0</v>
      </c>
      <c r="Q69" s="44">
        <v>1243082</v>
      </c>
      <c r="S69" s="44">
        <v>269841</v>
      </c>
      <c r="U69" s="44">
        <v>187094</v>
      </c>
      <c r="W69" s="44">
        <v>0</v>
      </c>
      <c r="Y69" s="44">
        <v>0</v>
      </c>
      <c r="AA69" s="44">
        <f t="shared" si="1"/>
        <v>8374695</v>
      </c>
      <c r="AC69" s="44">
        <f t="shared" si="0"/>
        <v>10466493</v>
      </c>
    </row>
    <row r="70" spans="1:29" s="47" customFormat="1" ht="12.75" customHeight="1">
      <c r="A70" s="47" t="s">
        <v>471</v>
      </c>
      <c r="B70" s="46"/>
      <c r="C70" s="46"/>
      <c r="D70" s="46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8" t="s">
        <v>484</v>
      </c>
    </row>
    <row r="71" spans="1:29" s="46" customFormat="1" ht="12.75" customHeight="1">
      <c r="A71" s="46" t="s">
        <v>90</v>
      </c>
      <c r="C71" s="46" t="s">
        <v>43</v>
      </c>
      <c r="E71" s="46">
        <v>8526814</v>
      </c>
      <c r="G71" s="46">
        <v>2196109</v>
      </c>
      <c r="I71" s="46">
        <v>4006429</v>
      </c>
      <c r="K71" s="46">
        <f>1853966+1414103+568629+591</f>
        <v>3837289</v>
      </c>
      <c r="M71" s="46">
        <f>46623817+16363789+6220254</f>
        <v>69207860</v>
      </c>
      <c r="O71" s="46">
        <f>1459504+1180539</f>
        <v>2640043</v>
      </c>
      <c r="Q71" s="46">
        <v>986712</v>
      </c>
      <c r="S71" s="46">
        <v>1223118</v>
      </c>
      <c r="U71" s="46">
        <v>889189</v>
      </c>
      <c r="W71" s="46">
        <v>-258904</v>
      </c>
      <c r="Y71" s="46">
        <v>0</v>
      </c>
      <c r="AA71" s="46">
        <f t="shared" si="1"/>
        <v>78525307</v>
      </c>
      <c r="AC71" s="46">
        <f t="shared" si="0"/>
        <v>93254659</v>
      </c>
    </row>
    <row r="72" spans="1:29" s="47" customFormat="1" ht="12.75" customHeight="1">
      <c r="A72" s="47" t="s">
        <v>488</v>
      </c>
      <c r="C72" s="47" t="s">
        <v>27</v>
      </c>
      <c r="E72" s="44">
        <v>3242759</v>
      </c>
      <c r="F72" s="44"/>
      <c r="G72" s="44">
        <v>2251485</v>
      </c>
      <c r="H72" s="44"/>
      <c r="I72" s="44">
        <v>34664</v>
      </c>
      <c r="J72" s="44"/>
      <c r="K72" s="44">
        <f>2257973+381748+57262+57262</f>
        <v>2754245</v>
      </c>
      <c r="L72" s="44"/>
      <c r="M72" s="44">
        <v>6503788</v>
      </c>
      <c r="N72" s="44"/>
      <c r="O72" s="44">
        <v>2250</v>
      </c>
      <c r="P72" s="44"/>
      <c r="Q72" s="44">
        <v>5767806</v>
      </c>
      <c r="R72" s="44"/>
      <c r="S72" s="44">
        <v>3337</v>
      </c>
      <c r="T72" s="44"/>
      <c r="U72" s="44">
        <v>727879</v>
      </c>
      <c r="V72" s="44"/>
      <c r="W72" s="44">
        <v>0</v>
      </c>
      <c r="X72" s="44"/>
      <c r="Y72" s="44">
        <v>0</v>
      </c>
      <c r="Z72" s="44"/>
      <c r="AA72" s="44">
        <f t="shared" si="1"/>
        <v>15759305</v>
      </c>
      <c r="AB72" s="44"/>
      <c r="AC72" s="44">
        <f t="shared" si="0"/>
        <v>21288213</v>
      </c>
    </row>
    <row r="73" spans="1:29" s="47" customFormat="1" ht="12.75" customHeight="1">
      <c r="A73" s="44" t="s">
        <v>93</v>
      </c>
      <c r="C73" s="44" t="s">
        <v>94</v>
      </c>
      <c r="E73" s="44">
        <v>857093</v>
      </c>
      <c r="F73" s="44"/>
      <c r="G73" s="44">
        <v>1120499</v>
      </c>
      <c r="H73" s="44"/>
      <c r="I73" s="44">
        <v>410460</v>
      </c>
      <c r="J73" s="44"/>
      <c r="K73" s="44">
        <f>190448+601689+59018+78586</f>
        <v>929741</v>
      </c>
      <c r="L73" s="44"/>
      <c r="M73" s="44">
        <f>2658198+11334+214066</f>
        <v>2883598</v>
      </c>
      <c r="N73" s="44"/>
      <c r="O73" s="44">
        <v>0</v>
      </c>
      <c r="P73" s="44"/>
      <c r="Q73" s="44">
        <v>364256</v>
      </c>
      <c r="R73" s="44"/>
      <c r="S73" s="44">
        <v>14080</v>
      </c>
      <c r="T73" s="44"/>
      <c r="U73" s="44">
        <v>142496</v>
      </c>
      <c r="V73" s="44"/>
      <c r="W73" s="44">
        <v>0</v>
      </c>
      <c r="X73" s="44"/>
      <c r="Y73" s="44">
        <v>0</v>
      </c>
      <c r="Z73" s="44"/>
      <c r="AA73" s="44">
        <f>SUM(K73:Y73)</f>
        <v>4334171</v>
      </c>
      <c r="AB73" s="44"/>
      <c r="AC73" s="44">
        <f>SUM(E73:Y73)</f>
        <v>6722223</v>
      </c>
    </row>
    <row r="74" spans="1:29" s="46" customFormat="1" ht="12.75" customHeight="1">
      <c r="A74" s="46" t="s">
        <v>95</v>
      </c>
      <c r="C74" s="46" t="s">
        <v>94</v>
      </c>
      <c r="E74" s="44">
        <v>447595</v>
      </c>
      <c r="F74" s="44"/>
      <c r="G74" s="44">
        <v>794674</v>
      </c>
      <c r="H74" s="44"/>
      <c r="I74" s="44">
        <v>0</v>
      </c>
      <c r="J74" s="44"/>
      <c r="K74" s="44">
        <f>120192+312027</f>
        <v>432219</v>
      </c>
      <c r="L74" s="44"/>
      <c r="M74" s="44">
        <v>835691</v>
      </c>
      <c r="N74" s="44"/>
      <c r="O74" s="44">
        <v>1491</v>
      </c>
      <c r="P74" s="44"/>
      <c r="Q74" s="44">
        <v>176957</v>
      </c>
      <c r="R74" s="44"/>
      <c r="S74" s="44">
        <v>2548</v>
      </c>
      <c r="T74" s="44"/>
      <c r="U74" s="44">
        <v>185028</v>
      </c>
      <c r="V74" s="44"/>
      <c r="W74" s="44">
        <v>0</v>
      </c>
      <c r="X74" s="44"/>
      <c r="Y74" s="44">
        <v>0</v>
      </c>
      <c r="Z74" s="44"/>
      <c r="AA74" s="44">
        <f t="shared" si="1"/>
        <v>1633934</v>
      </c>
      <c r="AB74" s="44"/>
      <c r="AC74" s="44">
        <f t="shared" si="0"/>
        <v>2876203</v>
      </c>
    </row>
    <row r="75" spans="1:29" s="47" customFormat="1" ht="12.75" customHeight="1">
      <c r="A75" s="47" t="s">
        <v>91</v>
      </c>
      <c r="C75" s="47" t="s">
        <v>92</v>
      </c>
      <c r="E75" s="44">
        <v>3001997</v>
      </c>
      <c r="F75" s="44"/>
      <c r="G75" s="44">
        <v>1307039</v>
      </c>
      <c r="H75" s="44"/>
      <c r="I75" s="44">
        <v>557824</v>
      </c>
      <c r="J75" s="44"/>
      <c r="K75" s="44">
        <f>1438405+213781+151198+151197+163101+872224</f>
        <v>2989906</v>
      </c>
      <c r="L75" s="44"/>
      <c r="M75" s="44">
        <v>5895129</v>
      </c>
      <c r="N75" s="44"/>
      <c r="O75" s="44">
        <f>35267+235855</f>
        <v>271122</v>
      </c>
      <c r="P75" s="44"/>
      <c r="Q75" s="44">
        <v>3332617</v>
      </c>
      <c r="R75" s="44"/>
      <c r="S75" s="44">
        <v>30803</v>
      </c>
      <c r="T75" s="44"/>
      <c r="U75" s="44">
        <f>960+69940</f>
        <v>70900</v>
      </c>
      <c r="V75" s="44"/>
      <c r="W75" s="44">
        <v>-550054</v>
      </c>
      <c r="X75" s="44"/>
      <c r="Y75" s="44">
        <f>3986000-1035975</f>
        <v>2950025</v>
      </c>
      <c r="Z75" s="44"/>
      <c r="AA75" s="44">
        <f t="shared" si="1"/>
        <v>14990448</v>
      </c>
      <c r="AB75" s="44"/>
      <c r="AC75" s="44">
        <f t="shared" si="0"/>
        <v>19857308</v>
      </c>
    </row>
    <row r="76" spans="1:29" s="47" customFormat="1" ht="12.75" customHeight="1">
      <c r="A76" s="47" t="s">
        <v>96</v>
      </c>
      <c r="C76" s="47" t="s">
        <v>97</v>
      </c>
      <c r="E76" s="44">
        <v>1608004</v>
      </c>
      <c r="F76" s="44"/>
      <c r="G76" s="44">
        <v>211925</v>
      </c>
      <c r="H76" s="44"/>
      <c r="I76" s="44">
        <v>149939</v>
      </c>
      <c r="J76" s="44"/>
      <c r="K76" s="44">
        <f>526299+35247+117829</f>
        <v>679375</v>
      </c>
      <c r="L76" s="44"/>
      <c r="M76" s="44">
        <v>2771305</v>
      </c>
      <c r="N76" s="44"/>
      <c r="O76" s="44">
        <v>0</v>
      </c>
      <c r="P76" s="44"/>
      <c r="Q76" s="44">
        <v>1148519</v>
      </c>
      <c r="R76" s="44"/>
      <c r="S76" s="44">
        <v>22399</v>
      </c>
      <c r="T76" s="44"/>
      <c r="U76" s="44">
        <f>300+76348</f>
        <v>76648</v>
      </c>
      <c r="V76" s="44"/>
      <c r="W76" s="44">
        <v>0</v>
      </c>
      <c r="X76" s="44"/>
      <c r="Y76" s="44">
        <v>0</v>
      </c>
      <c r="Z76" s="44"/>
      <c r="AA76" s="44">
        <f t="shared" si="1"/>
        <v>4698246</v>
      </c>
      <c r="AB76" s="44"/>
      <c r="AC76" s="44">
        <f t="shared" si="0"/>
        <v>6668114</v>
      </c>
    </row>
    <row r="77" spans="1:29" s="47" customFormat="1" ht="12.75" customHeight="1">
      <c r="A77" s="47" t="s">
        <v>98</v>
      </c>
      <c r="C77" s="47" t="s">
        <v>17</v>
      </c>
      <c r="E77" s="44">
        <v>4232733</v>
      </c>
      <c r="F77" s="44"/>
      <c r="G77" s="44">
        <v>2528700</v>
      </c>
      <c r="H77" s="44"/>
      <c r="I77" s="44">
        <v>3252511</v>
      </c>
      <c r="J77" s="44"/>
      <c r="K77" s="44">
        <v>3904036</v>
      </c>
      <c r="L77" s="44"/>
      <c r="M77" s="44">
        <v>18160200</v>
      </c>
      <c r="N77" s="44"/>
      <c r="O77" s="44">
        <f>2809643+518482</f>
        <v>3328125</v>
      </c>
      <c r="P77" s="44"/>
      <c r="Q77" s="44">
        <v>3829669</v>
      </c>
      <c r="R77" s="44"/>
      <c r="S77" s="44">
        <v>40195</v>
      </c>
      <c r="T77" s="44"/>
      <c r="U77" s="44">
        <v>747096</v>
      </c>
      <c r="V77" s="44"/>
      <c r="W77" s="44">
        <v>0</v>
      </c>
      <c r="X77" s="44"/>
      <c r="Y77" s="44">
        <v>0</v>
      </c>
      <c r="Z77" s="44"/>
      <c r="AA77" s="44">
        <f t="shared" si="1"/>
        <v>30009321</v>
      </c>
      <c r="AB77" s="44"/>
      <c r="AC77" s="44">
        <f t="shared" si="0"/>
        <v>40023265</v>
      </c>
    </row>
    <row r="78" spans="1:29" s="47" customFormat="1" ht="12.75" customHeight="1">
      <c r="A78" s="47" t="s">
        <v>99</v>
      </c>
      <c r="C78" s="47" t="s">
        <v>66</v>
      </c>
      <c r="E78" s="44">
        <v>1897722</v>
      </c>
      <c r="F78" s="44"/>
      <c r="G78" s="44">
        <v>844073</v>
      </c>
      <c r="H78" s="44"/>
      <c r="I78" s="44">
        <v>448931</v>
      </c>
      <c r="J78" s="44"/>
      <c r="K78" s="44">
        <f>750094+439350+188298+68225</f>
        <v>1445967</v>
      </c>
      <c r="L78" s="44"/>
      <c r="M78" s="44">
        <v>5371831</v>
      </c>
      <c r="N78" s="44"/>
      <c r="O78" s="44">
        <v>335854</v>
      </c>
      <c r="P78" s="44"/>
      <c r="Q78" s="44">
        <v>859091</v>
      </c>
      <c r="R78" s="44"/>
      <c r="S78" s="44">
        <v>332605</v>
      </c>
      <c r="T78" s="44"/>
      <c r="U78" s="44">
        <v>88220</v>
      </c>
      <c r="V78" s="44"/>
      <c r="W78" s="44">
        <v>-27562</v>
      </c>
      <c r="X78" s="44"/>
      <c r="Y78" s="44">
        <v>0</v>
      </c>
      <c r="Z78" s="44"/>
      <c r="AA78" s="44">
        <f t="shared" si="1"/>
        <v>8406006</v>
      </c>
      <c r="AB78" s="44"/>
      <c r="AC78" s="44">
        <f t="shared" si="0"/>
        <v>11596732</v>
      </c>
    </row>
    <row r="79" spans="1:29" s="47" customFormat="1" ht="12.75" customHeight="1">
      <c r="A79" s="47" t="s">
        <v>100</v>
      </c>
      <c r="C79" s="47" t="s">
        <v>27</v>
      </c>
      <c r="E79" s="44">
        <v>7343412</v>
      </c>
      <c r="F79" s="44"/>
      <c r="G79" s="44">
        <v>3554378</v>
      </c>
      <c r="H79" s="44"/>
      <c r="I79" s="44">
        <v>0</v>
      </c>
      <c r="J79" s="44"/>
      <c r="K79" s="44">
        <v>5069206</v>
      </c>
      <c r="L79" s="44"/>
      <c r="M79" s="44">
        <v>22527179</v>
      </c>
      <c r="N79" s="44"/>
      <c r="O79" s="44">
        <v>172310</v>
      </c>
      <c r="P79" s="44"/>
      <c r="Q79" s="44">
        <v>5885372</v>
      </c>
      <c r="R79" s="44"/>
      <c r="S79" s="44">
        <v>451410</v>
      </c>
      <c r="T79" s="44"/>
      <c r="U79" s="44">
        <f>45431+1196228</f>
        <v>1241659</v>
      </c>
      <c r="V79" s="44"/>
      <c r="W79" s="44">
        <v>0</v>
      </c>
      <c r="X79" s="44"/>
      <c r="Y79" s="44">
        <v>0</v>
      </c>
      <c r="Z79" s="44"/>
      <c r="AA79" s="44">
        <f>SUM(K79:Y79)</f>
        <v>35347136</v>
      </c>
      <c r="AB79" s="44"/>
      <c r="AC79" s="44">
        <f>SUM(E79:Y79)</f>
        <v>46244926</v>
      </c>
    </row>
    <row r="80" spans="1:29" s="47" customFormat="1" ht="12.75" customHeight="1">
      <c r="A80" s="47" t="s">
        <v>101</v>
      </c>
      <c r="C80" s="47" t="s">
        <v>30</v>
      </c>
      <c r="E80" s="44">
        <v>6368010</v>
      </c>
      <c r="F80" s="44"/>
      <c r="G80" s="44">
        <v>3312494</v>
      </c>
      <c r="H80" s="44"/>
      <c r="I80" s="44">
        <v>2025693</v>
      </c>
      <c r="J80" s="44"/>
      <c r="K80" s="44">
        <f>1604334+373388+148183+149933+134505+738667</f>
        <v>3149010</v>
      </c>
      <c r="L80" s="44"/>
      <c r="M80" s="44">
        <f>7384148+1853273+1848135</f>
        <v>11085556</v>
      </c>
      <c r="N80" s="44"/>
      <c r="O80" s="44">
        <v>310823</v>
      </c>
      <c r="P80" s="44"/>
      <c r="Q80" s="44">
        <v>2148568</v>
      </c>
      <c r="R80" s="44"/>
      <c r="S80" s="44">
        <v>125503</v>
      </c>
      <c r="T80" s="44"/>
      <c r="U80" s="44">
        <v>368886</v>
      </c>
      <c r="V80" s="44"/>
      <c r="W80" s="44">
        <v>0</v>
      </c>
      <c r="X80" s="44"/>
      <c r="Y80" s="44">
        <v>0</v>
      </c>
      <c r="Z80" s="44"/>
      <c r="AA80" s="44">
        <f>SUM(K80:Y80)</f>
        <v>17188346</v>
      </c>
      <c r="AB80" s="44"/>
      <c r="AC80" s="44">
        <f>SUM(E80:Y80)</f>
        <v>28894543</v>
      </c>
    </row>
    <row r="81" spans="1:30" s="47" customFormat="1" ht="12.75" customHeight="1">
      <c r="A81" s="47" t="s">
        <v>102</v>
      </c>
      <c r="C81" s="47" t="s">
        <v>103</v>
      </c>
      <c r="E81" s="44">
        <v>4542993</v>
      </c>
      <c r="F81" s="44"/>
      <c r="G81" s="44">
        <v>3352963</v>
      </c>
      <c r="H81" s="44"/>
      <c r="I81" s="44">
        <v>1331917</v>
      </c>
      <c r="J81" s="44"/>
      <c r="K81" s="44">
        <f>1547487+3921193</f>
        <v>5468680</v>
      </c>
      <c r="L81" s="44"/>
      <c r="M81" s="44">
        <v>20975945</v>
      </c>
      <c r="N81" s="44"/>
      <c r="O81" s="44">
        <v>0</v>
      </c>
      <c r="P81" s="44"/>
      <c r="Q81" s="44">
        <f>1571533+375000</f>
        <v>1946533</v>
      </c>
      <c r="R81" s="44"/>
      <c r="S81" s="44">
        <v>403898</v>
      </c>
      <c r="T81" s="44"/>
      <c r="U81" s="44">
        <v>168142</v>
      </c>
      <c r="V81" s="44"/>
      <c r="W81" s="44">
        <v>-568060</v>
      </c>
      <c r="X81" s="44"/>
      <c r="Y81" s="44">
        <v>0</v>
      </c>
      <c r="Z81" s="44"/>
      <c r="AA81" s="44">
        <f t="shared" ref="AA81:AA145" si="2">SUM(K81:Y81)</f>
        <v>28395138</v>
      </c>
      <c r="AB81" s="44"/>
      <c r="AC81" s="44">
        <f t="shared" ref="AC81:AC146" si="3">SUM(E81:Y81)</f>
        <v>37623011</v>
      </c>
    </row>
    <row r="82" spans="1:30" s="47" customFormat="1" ht="12.75" customHeight="1">
      <c r="A82" s="47" t="s">
        <v>104</v>
      </c>
      <c r="C82" s="47" t="s">
        <v>13</v>
      </c>
      <c r="E82" s="44">
        <v>849022</v>
      </c>
      <c r="F82" s="44"/>
      <c r="G82" s="44">
        <v>454749</v>
      </c>
      <c r="H82" s="44"/>
      <c r="I82" s="44">
        <v>66688</v>
      </c>
      <c r="J82" s="44"/>
      <c r="K82" s="44">
        <f>775135+194344+83263</f>
        <v>1052742</v>
      </c>
      <c r="L82" s="44"/>
      <c r="M82" s="44">
        <f>6064251+1853859</f>
        <v>7918110</v>
      </c>
      <c r="N82" s="44"/>
      <c r="O82" s="44">
        <v>2437692</v>
      </c>
      <c r="P82" s="44"/>
      <c r="Q82" s="44">
        <v>1290485</v>
      </c>
      <c r="R82" s="44"/>
      <c r="S82" s="44">
        <v>138731</v>
      </c>
      <c r="T82" s="44"/>
      <c r="U82" s="44">
        <v>104860</v>
      </c>
      <c r="V82" s="44"/>
      <c r="W82" s="44">
        <v>0</v>
      </c>
      <c r="X82" s="44"/>
      <c r="Y82" s="44">
        <v>0</v>
      </c>
      <c r="Z82" s="44"/>
      <c r="AA82" s="44">
        <f t="shared" si="2"/>
        <v>12942620</v>
      </c>
      <c r="AB82" s="44"/>
      <c r="AC82" s="44">
        <f t="shared" si="3"/>
        <v>14313079</v>
      </c>
    </row>
    <row r="83" spans="1:30" s="47" customFormat="1" ht="12.75" customHeight="1">
      <c r="A83" s="47" t="s">
        <v>105</v>
      </c>
      <c r="C83" s="47" t="s">
        <v>27</v>
      </c>
      <c r="E83" s="44">
        <v>2054428</v>
      </c>
      <c r="F83" s="44"/>
      <c r="G83" s="44">
        <v>883069</v>
      </c>
      <c r="H83" s="44"/>
      <c r="I83" s="44">
        <v>56203</v>
      </c>
      <c r="J83" s="44"/>
      <c r="K83" s="44">
        <f>3021265+308776+357372+245019+228172</f>
        <v>4160604</v>
      </c>
      <c r="L83" s="44"/>
      <c r="M83" s="44">
        <f>5118028+865790+1993806</f>
        <v>7977624</v>
      </c>
      <c r="N83" s="44"/>
      <c r="O83" s="44">
        <v>211285</v>
      </c>
      <c r="P83" s="44"/>
      <c r="Q83" s="44">
        <v>2207468</v>
      </c>
      <c r="R83" s="44"/>
      <c r="S83" s="44">
        <v>16985</v>
      </c>
      <c r="T83" s="44"/>
      <c r="U83" s="44">
        <v>366060</v>
      </c>
      <c r="V83" s="44"/>
      <c r="W83" s="44">
        <v>-1189387</v>
      </c>
      <c r="X83" s="44"/>
      <c r="Y83" s="44">
        <v>0</v>
      </c>
      <c r="Z83" s="44"/>
      <c r="AA83" s="44">
        <f t="shared" si="2"/>
        <v>13750639</v>
      </c>
      <c r="AB83" s="44"/>
      <c r="AC83" s="44">
        <f t="shared" si="3"/>
        <v>16744339</v>
      </c>
    </row>
    <row r="84" spans="1:30" s="47" customFormat="1" ht="12.75" customHeight="1">
      <c r="A84" s="47" t="s">
        <v>106</v>
      </c>
      <c r="C84" s="47" t="s">
        <v>107</v>
      </c>
      <c r="E84" s="44">
        <v>4209170</v>
      </c>
      <c r="F84" s="44"/>
      <c r="G84" s="44">
        <v>2593576</v>
      </c>
      <c r="H84" s="44"/>
      <c r="I84" s="44">
        <v>2519999</v>
      </c>
      <c r="J84" s="44"/>
      <c r="K84" s="44">
        <f>2621017+525756</f>
        <v>3146773</v>
      </c>
      <c r="L84" s="44"/>
      <c r="M84" s="44">
        <v>14707682</v>
      </c>
      <c r="N84" s="44"/>
      <c r="O84" s="44">
        <v>0</v>
      </c>
      <c r="P84" s="44"/>
      <c r="Q84" s="44">
        <v>4506472</v>
      </c>
      <c r="R84" s="44"/>
      <c r="S84" s="44">
        <f>107613-102525</f>
        <v>5088</v>
      </c>
      <c r="T84" s="44"/>
      <c r="U84" s="44">
        <v>537215</v>
      </c>
      <c r="V84" s="44"/>
      <c r="W84" s="44">
        <v>-276247</v>
      </c>
      <c r="X84" s="44"/>
      <c r="Y84" s="44">
        <v>0</v>
      </c>
      <c r="Z84" s="44"/>
      <c r="AA84" s="44">
        <f t="shared" si="2"/>
        <v>22626983</v>
      </c>
      <c r="AB84" s="44"/>
      <c r="AC84" s="44">
        <f t="shared" si="3"/>
        <v>31949728</v>
      </c>
    </row>
    <row r="85" spans="1:30" s="47" customFormat="1" ht="12.75" customHeight="1">
      <c r="A85" s="47" t="s">
        <v>108</v>
      </c>
      <c r="C85" s="47" t="s">
        <v>45</v>
      </c>
      <c r="E85" s="44">
        <v>3779208</v>
      </c>
      <c r="F85" s="44"/>
      <c r="G85" s="44">
        <v>1114073</v>
      </c>
      <c r="H85" s="44"/>
      <c r="I85" s="44">
        <v>31886</v>
      </c>
      <c r="J85" s="44"/>
      <c r="K85" s="44">
        <f>2329505+3939702</f>
        <v>6269207</v>
      </c>
      <c r="L85" s="44"/>
      <c r="M85" s="44">
        <v>7979650</v>
      </c>
      <c r="N85" s="44"/>
      <c r="O85" s="44">
        <v>295385</v>
      </c>
      <c r="P85" s="44"/>
      <c r="Q85" s="44">
        <v>667401</v>
      </c>
      <c r="R85" s="44"/>
      <c r="S85" s="44">
        <f>1500+118714</f>
        <v>120214</v>
      </c>
      <c r="T85" s="44"/>
      <c r="U85" s="44">
        <v>122041</v>
      </c>
      <c r="V85" s="44"/>
      <c r="W85" s="44">
        <v>0</v>
      </c>
      <c r="X85" s="44"/>
      <c r="Y85" s="44">
        <v>0</v>
      </c>
      <c r="Z85" s="44"/>
      <c r="AA85" s="44">
        <f t="shared" si="2"/>
        <v>15453898</v>
      </c>
      <c r="AB85" s="44"/>
      <c r="AC85" s="44">
        <f t="shared" si="3"/>
        <v>20379065</v>
      </c>
    </row>
    <row r="86" spans="1:30" s="44" customFormat="1" ht="12.75" customHeight="1">
      <c r="A86" s="44" t="s">
        <v>109</v>
      </c>
      <c r="C86" s="44" t="s">
        <v>110</v>
      </c>
      <c r="E86" s="44">
        <v>720484</v>
      </c>
      <c r="G86" s="44">
        <v>993137</v>
      </c>
      <c r="I86" s="44">
        <v>251423</v>
      </c>
      <c r="K86" s="44">
        <f>740790+114909</f>
        <v>855699</v>
      </c>
      <c r="M86" s="44">
        <v>4993149</v>
      </c>
      <c r="O86" s="44">
        <v>0</v>
      </c>
      <c r="Q86" s="44">
        <v>623710</v>
      </c>
      <c r="S86" s="44">
        <f>64861+244475</f>
        <v>309336</v>
      </c>
      <c r="U86" s="44">
        <v>172852</v>
      </c>
      <c r="W86" s="44">
        <v>0</v>
      </c>
      <c r="Y86" s="44">
        <v>0</v>
      </c>
      <c r="AA86" s="44">
        <f t="shared" si="2"/>
        <v>6954746</v>
      </c>
      <c r="AC86" s="44">
        <f t="shared" si="3"/>
        <v>8919790</v>
      </c>
    </row>
    <row r="87" spans="1:30" s="47" customFormat="1" ht="12.75" customHeight="1">
      <c r="A87" s="47" t="s">
        <v>43</v>
      </c>
      <c r="C87" s="47" t="s">
        <v>111</v>
      </c>
      <c r="E87" s="44">
        <v>878274</v>
      </c>
      <c r="F87" s="44"/>
      <c r="G87" s="44">
        <v>1433860</v>
      </c>
      <c r="H87" s="44"/>
      <c r="I87" s="44">
        <v>1410224</v>
      </c>
      <c r="J87" s="44"/>
      <c r="K87" s="44">
        <f>420843+492312+129542</f>
        <v>1042697</v>
      </c>
      <c r="L87" s="44"/>
      <c r="M87" s="44">
        <v>4822556</v>
      </c>
      <c r="N87" s="44"/>
      <c r="O87" s="44">
        <f>160540+207659</f>
        <v>368199</v>
      </c>
      <c r="P87" s="44"/>
      <c r="Q87" s="44">
        <v>596149</v>
      </c>
      <c r="R87" s="44"/>
      <c r="S87" s="44">
        <v>56486</v>
      </c>
      <c r="T87" s="44"/>
      <c r="U87" s="44">
        <v>307846</v>
      </c>
      <c r="V87" s="44"/>
      <c r="W87" s="44">
        <v>-95407</v>
      </c>
      <c r="X87" s="44"/>
      <c r="Y87" s="44">
        <v>0</v>
      </c>
      <c r="Z87" s="44"/>
      <c r="AA87" s="44">
        <f t="shared" si="2"/>
        <v>7098526</v>
      </c>
      <c r="AB87" s="44"/>
      <c r="AC87" s="44">
        <f t="shared" si="3"/>
        <v>10820884</v>
      </c>
    </row>
    <row r="88" spans="1:30" s="47" customFormat="1" ht="12.75" customHeight="1">
      <c r="A88" s="47" t="s">
        <v>112</v>
      </c>
      <c r="C88" s="47" t="s">
        <v>76</v>
      </c>
      <c r="E88" s="44">
        <v>949113</v>
      </c>
      <c r="F88" s="44"/>
      <c r="G88" s="44">
        <v>1199757</v>
      </c>
      <c r="H88" s="44"/>
      <c r="I88" s="44">
        <v>288773</v>
      </c>
      <c r="J88" s="44"/>
      <c r="K88" s="44">
        <f>983360+90122+90122</f>
        <v>1163604</v>
      </c>
      <c r="L88" s="44"/>
      <c r="M88" s="44">
        <v>8089579</v>
      </c>
      <c r="N88" s="44"/>
      <c r="O88" s="44">
        <v>0</v>
      </c>
      <c r="P88" s="44"/>
      <c r="Q88" s="44">
        <v>1264926</v>
      </c>
      <c r="R88" s="44"/>
      <c r="S88" s="44">
        <v>149554</v>
      </c>
      <c r="T88" s="44"/>
      <c r="U88" s="44">
        <v>367094</v>
      </c>
      <c r="V88" s="44"/>
      <c r="W88" s="44">
        <v>-133854</v>
      </c>
      <c r="X88" s="44"/>
      <c r="Y88" s="44">
        <v>0</v>
      </c>
      <c r="Z88" s="44"/>
      <c r="AA88" s="44">
        <f t="shared" si="2"/>
        <v>10900903</v>
      </c>
      <c r="AB88" s="44"/>
      <c r="AC88" s="44">
        <f t="shared" si="3"/>
        <v>13338546</v>
      </c>
    </row>
    <row r="89" spans="1:30" s="47" customFormat="1" ht="12.75" customHeight="1">
      <c r="A89" s="47" t="s">
        <v>113</v>
      </c>
      <c r="C89" s="47" t="s">
        <v>43</v>
      </c>
      <c r="E89" s="44">
        <v>4601858</v>
      </c>
      <c r="F89" s="44"/>
      <c r="G89" s="44">
        <v>1992076</v>
      </c>
      <c r="H89" s="44"/>
      <c r="I89" s="44">
        <v>1557616</v>
      </c>
      <c r="J89" s="44"/>
      <c r="K89" s="44">
        <f>1586545+251693+254996</f>
        <v>2093234</v>
      </c>
      <c r="L89" s="44"/>
      <c r="M89" s="44">
        <v>13037720</v>
      </c>
      <c r="N89" s="44"/>
      <c r="O89" s="44">
        <f>842211+1375873</f>
        <v>2218084</v>
      </c>
      <c r="P89" s="44"/>
      <c r="Q89" s="44">
        <v>3703527</v>
      </c>
      <c r="R89" s="44"/>
      <c r="S89" s="44">
        <f>1098874+346999+95995</f>
        <v>1541868</v>
      </c>
      <c r="T89" s="44"/>
      <c r="U89" s="44">
        <v>354356</v>
      </c>
      <c r="V89" s="44"/>
      <c r="W89" s="44">
        <v>-35000</v>
      </c>
      <c r="X89" s="44"/>
      <c r="Y89" s="44">
        <v>0</v>
      </c>
      <c r="Z89" s="44"/>
      <c r="AA89" s="44">
        <f t="shared" si="2"/>
        <v>22913789</v>
      </c>
      <c r="AB89" s="44"/>
      <c r="AC89" s="44">
        <f t="shared" si="3"/>
        <v>31065339</v>
      </c>
    </row>
    <row r="90" spans="1:30" s="47" customFormat="1" ht="12.75" customHeight="1">
      <c r="A90" s="47" t="s">
        <v>489</v>
      </c>
      <c r="C90" s="47" t="s">
        <v>57</v>
      </c>
      <c r="E90" s="44">
        <v>1493411</v>
      </c>
      <c r="F90" s="44"/>
      <c r="G90" s="44">
        <v>686842</v>
      </c>
      <c r="H90" s="44"/>
      <c r="I90" s="44">
        <v>2084961</v>
      </c>
      <c r="J90" s="44"/>
      <c r="K90" s="44">
        <f>385539+70550</f>
        <v>456089</v>
      </c>
      <c r="L90" s="44"/>
      <c r="M90" s="44">
        <f>1931818+1718664+213155</f>
        <v>3863637</v>
      </c>
      <c r="N90" s="44"/>
      <c r="O90" s="44">
        <f>435658+114221</f>
        <v>549879</v>
      </c>
      <c r="P90" s="44"/>
      <c r="Q90" s="44">
        <v>491830</v>
      </c>
      <c r="R90" s="44"/>
      <c r="S90" s="44">
        <v>14174</v>
      </c>
      <c r="T90" s="44"/>
      <c r="U90" s="44">
        <v>386861</v>
      </c>
      <c r="V90" s="44"/>
      <c r="W90" s="44">
        <v>4541</v>
      </c>
      <c r="X90" s="44"/>
      <c r="Y90" s="44">
        <v>0</v>
      </c>
      <c r="Z90" s="44"/>
      <c r="AA90" s="44">
        <f>SUM(K90:Y90)</f>
        <v>5767011</v>
      </c>
      <c r="AB90" s="44"/>
      <c r="AC90" s="44">
        <f>SUM(E90:Y90)</f>
        <v>10032225</v>
      </c>
    </row>
    <row r="91" spans="1:30" s="47" customFormat="1" ht="12.75" customHeight="1">
      <c r="A91" s="47" t="s">
        <v>114</v>
      </c>
      <c r="C91" s="47" t="s">
        <v>27</v>
      </c>
      <c r="E91" s="44">
        <v>4226576</v>
      </c>
      <c r="F91" s="44"/>
      <c r="G91" s="44">
        <v>1445411</v>
      </c>
      <c r="H91" s="44"/>
      <c r="I91" s="44">
        <v>79872</v>
      </c>
      <c r="J91" s="44"/>
      <c r="K91" s="44">
        <f>7921552+480341+125303+125303+62653+1521912+417687</f>
        <v>10654751</v>
      </c>
      <c r="L91" s="44"/>
      <c r="M91" s="44">
        <f>7117834+1115788+1115789+641970+1115788</f>
        <v>11107169</v>
      </c>
      <c r="N91" s="44"/>
      <c r="O91" s="44">
        <f>124806+256283</f>
        <v>381089</v>
      </c>
      <c r="P91" s="44"/>
      <c r="Q91" s="44">
        <v>4693727</v>
      </c>
      <c r="R91" s="44"/>
      <c r="S91" s="44">
        <v>4356</v>
      </c>
      <c r="T91" s="44"/>
      <c r="U91" s="44">
        <v>504904</v>
      </c>
      <c r="V91" s="44"/>
      <c r="W91" s="44">
        <v>0</v>
      </c>
      <c r="X91" s="44"/>
      <c r="Y91" s="44">
        <v>0</v>
      </c>
      <c r="Z91" s="44"/>
      <c r="AA91" s="44">
        <f>SUM(K91:Y91)</f>
        <v>27345996</v>
      </c>
      <c r="AB91" s="44"/>
      <c r="AC91" s="44">
        <f>SUM(E91:Y91)</f>
        <v>33097855</v>
      </c>
      <c r="AD91" s="47">
        <f>4226576+1445411+79872+27345996</f>
        <v>33097855</v>
      </c>
    </row>
    <row r="92" spans="1:30" s="47" customFormat="1" ht="12.75" customHeight="1">
      <c r="A92" s="47" t="s">
        <v>115</v>
      </c>
      <c r="C92" s="47" t="s">
        <v>19</v>
      </c>
      <c r="E92" s="44">
        <v>511193</v>
      </c>
      <c r="F92" s="44"/>
      <c r="G92" s="44">
        <v>144705</v>
      </c>
      <c r="H92" s="44"/>
      <c r="I92" s="44">
        <v>8724632</v>
      </c>
      <c r="J92" s="44"/>
      <c r="K92" s="44">
        <f>515935+31444</f>
        <v>547379</v>
      </c>
      <c r="L92" s="44"/>
      <c r="M92" s="44">
        <v>2590328</v>
      </c>
      <c r="N92" s="44"/>
      <c r="O92" s="44">
        <v>0</v>
      </c>
      <c r="P92" s="44"/>
      <c r="Q92" s="44">
        <v>722040</v>
      </c>
      <c r="R92" s="44"/>
      <c r="S92" s="44">
        <v>12742</v>
      </c>
      <c r="T92" s="44"/>
      <c r="U92" s="44">
        <v>24522</v>
      </c>
      <c r="V92" s="44"/>
      <c r="W92" s="44">
        <v>-29858</v>
      </c>
      <c r="X92" s="44"/>
      <c r="Y92" s="44">
        <v>0</v>
      </c>
      <c r="Z92" s="44"/>
      <c r="AA92" s="44">
        <f t="shared" si="2"/>
        <v>3867153</v>
      </c>
      <c r="AB92" s="44"/>
      <c r="AC92" s="44">
        <f t="shared" si="3"/>
        <v>13247683</v>
      </c>
    </row>
    <row r="93" spans="1:30" s="47" customFormat="1" ht="12.75" customHeight="1">
      <c r="A93" s="47" t="s">
        <v>116</v>
      </c>
      <c r="C93" s="47" t="s">
        <v>80</v>
      </c>
      <c r="E93" s="44">
        <v>1636046</v>
      </c>
      <c r="F93" s="44"/>
      <c r="G93" s="44">
        <v>1258050</v>
      </c>
      <c r="H93" s="44"/>
      <c r="I93" s="44">
        <v>0</v>
      </c>
      <c r="J93" s="44"/>
      <c r="K93" s="44">
        <f>286206+282831+367112+35645+23762+186611</f>
        <v>1182167</v>
      </c>
      <c r="L93" s="44"/>
      <c r="M93" s="44">
        <f>2385825+304827+148804+26130</f>
        <v>2865586</v>
      </c>
      <c r="N93" s="44"/>
      <c r="O93" s="44">
        <v>0</v>
      </c>
      <c r="P93" s="44"/>
      <c r="Q93" s="44">
        <v>374897</v>
      </c>
      <c r="R93" s="44"/>
      <c r="S93" s="44">
        <v>12236</v>
      </c>
      <c r="T93" s="44"/>
      <c r="U93" s="44">
        <v>544026</v>
      </c>
      <c r="V93" s="44"/>
      <c r="W93" s="44">
        <v>0</v>
      </c>
      <c r="X93" s="44"/>
      <c r="Y93" s="44">
        <v>0</v>
      </c>
      <c r="Z93" s="44"/>
      <c r="AA93" s="44">
        <f t="shared" si="2"/>
        <v>4978912</v>
      </c>
      <c r="AB93" s="44"/>
      <c r="AC93" s="44">
        <f t="shared" si="3"/>
        <v>7873008</v>
      </c>
    </row>
    <row r="94" spans="1:30" s="47" customFormat="1" ht="12.75" customHeight="1">
      <c r="A94" s="47" t="s">
        <v>117</v>
      </c>
      <c r="C94" s="47" t="s">
        <v>43</v>
      </c>
      <c r="E94" s="44">
        <v>1485379</v>
      </c>
      <c r="F94" s="44"/>
      <c r="G94" s="44">
        <v>439644</v>
      </c>
      <c r="H94" s="44"/>
      <c r="I94" s="44">
        <v>10950</v>
      </c>
      <c r="J94" s="44"/>
      <c r="K94" s="44">
        <f>1387888+122460</f>
        <v>1510348</v>
      </c>
      <c r="L94" s="44"/>
      <c r="M94" s="44">
        <v>4522505</v>
      </c>
      <c r="N94" s="44"/>
      <c r="O94" s="44">
        <v>0</v>
      </c>
      <c r="P94" s="44"/>
      <c r="Q94" s="44">
        <v>916994</v>
      </c>
      <c r="R94" s="44"/>
      <c r="S94" s="44">
        <v>107228</v>
      </c>
      <c r="T94" s="44"/>
      <c r="U94" s="44">
        <v>116087</v>
      </c>
      <c r="V94" s="44"/>
      <c r="W94" s="44">
        <v>0</v>
      </c>
      <c r="X94" s="44"/>
      <c r="Y94" s="44">
        <v>0</v>
      </c>
      <c r="Z94" s="44"/>
      <c r="AA94" s="44">
        <f t="shared" si="2"/>
        <v>7173162</v>
      </c>
      <c r="AB94" s="44"/>
      <c r="AC94" s="44">
        <f t="shared" si="3"/>
        <v>9109135</v>
      </c>
    </row>
    <row r="95" spans="1:30" s="47" customFormat="1" ht="12.75" customHeight="1">
      <c r="A95" s="47" t="s">
        <v>118</v>
      </c>
      <c r="C95" s="47" t="s">
        <v>13</v>
      </c>
      <c r="E95" s="44">
        <v>1611611</v>
      </c>
      <c r="F95" s="44"/>
      <c r="G95" s="44">
        <v>1954139</v>
      </c>
      <c r="H95" s="44"/>
      <c r="I95" s="44">
        <v>122000</v>
      </c>
      <c r="J95" s="44"/>
      <c r="K95" s="44">
        <f>1369072+127339</f>
        <v>1496411</v>
      </c>
      <c r="L95" s="44"/>
      <c r="M95" s="44">
        <f>14901582+1095714</f>
        <v>15997296</v>
      </c>
      <c r="N95" s="44"/>
      <c r="O95" s="44">
        <f>302110+456310</f>
        <v>758420</v>
      </c>
      <c r="P95" s="44"/>
      <c r="Q95" s="44">
        <v>1833351</v>
      </c>
      <c r="R95" s="44"/>
      <c r="S95" s="44">
        <v>525996</v>
      </c>
      <c r="T95" s="44"/>
      <c r="U95" s="44">
        <f>73384+1761229</f>
        <v>1834613</v>
      </c>
      <c r="V95" s="44"/>
      <c r="W95" s="44">
        <v>0</v>
      </c>
      <c r="X95" s="44"/>
      <c r="Y95" s="44">
        <v>0</v>
      </c>
      <c r="Z95" s="44"/>
      <c r="AA95" s="44">
        <f t="shared" si="2"/>
        <v>22446087</v>
      </c>
      <c r="AB95" s="44"/>
      <c r="AC95" s="44">
        <f t="shared" si="3"/>
        <v>26133837</v>
      </c>
    </row>
    <row r="96" spans="1:30" s="47" customFormat="1" ht="12.75" customHeight="1">
      <c r="A96" s="47" t="s">
        <v>120</v>
      </c>
      <c r="C96" s="47" t="s">
        <v>121</v>
      </c>
      <c r="E96" s="44">
        <v>459745</v>
      </c>
      <c r="F96" s="44"/>
      <c r="G96" s="44">
        <v>1219910</v>
      </c>
      <c r="H96" s="44"/>
      <c r="I96" s="44">
        <v>460734</v>
      </c>
      <c r="J96" s="44"/>
      <c r="K96" s="44">
        <f>1335621+156176</f>
        <v>1491797</v>
      </c>
      <c r="L96" s="44"/>
      <c r="M96" s="44">
        <v>5696567</v>
      </c>
      <c r="N96" s="44"/>
      <c r="O96" s="44">
        <v>960889</v>
      </c>
      <c r="P96" s="44"/>
      <c r="Q96" s="44">
        <v>182498</v>
      </c>
      <c r="R96" s="44"/>
      <c r="S96" s="44">
        <v>19915</v>
      </c>
      <c r="T96" s="44"/>
      <c r="U96" s="44">
        <v>53973</v>
      </c>
      <c r="V96" s="44"/>
      <c r="W96" s="44">
        <v>-110510</v>
      </c>
      <c r="X96" s="44"/>
      <c r="Y96" s="44">
        <v>0</v>
      </c>
      <c r="Z96" s="44"/>
      <c r="AA96" s="44">
        <f t="shared" si="2"/>
        <v>8295129</v>
      </c>
      <c r="AB96" s="44"/>
      <c r="AC96" s="44">
        <f t="shared" si="3"/>
        <v>10435518</v>
      </c>
    </row>
    <row r="97" spans="1:30" s="47" customFormat="1" ht="12.75" customHeight="1">
      <c r="A97" s="47" t="s">
        <v>122</v>
      </c>
      <c r="C97" s="47" t="s">
        <v>43</v>
      </c>
      <c r="E97" s="44">
        <v>2405463</v>
      </c>
      <c r="F97" s="44"/>
      <c r="G97" s="44">
        <v>2356379</v>
      </c>
      <c r="H97" s="44"/>
      <c r="I97" s="44">
        <v>4375488</v>
      </c>
      <c r="J97" s="44"/>
      <c r="K97" s="44">
        <f>879784+1032886+818385</f>
        <v>2731055</v>
      </c>
      <c r="L97" s="44"/>
      <c r="M97" s="44">
        <v>15303978</v>
      </c>
      <c r="N97" s="44"/>
      <c r="O97" s="44">
        <f>4106367+1086044</f>
        <v>5192411</v>
      </c>
      <c r="P97" s="44"/>
      <c r="Q97" s="44">
        <v>2038934</v>
      </c>
      <c r="R97" s="44"/>
      <c r="S97" s="44">
        <v>932125</v>
      </c>
      <c r="T97" s="44"/>
      <c r="U97" s="44">
        <v>95224</v>
      </c>
      <c r="V97" s="44"/>
      <c r="W97" s="44">
        <v>-284129</v>
      </c>
      <c r="X97" s="44"/>
      <c r="Y97" s="44">
        <v>0</v>
      </c>
      <c r="Z97" s="44"/>
      <c r="AA97" s="44">
        <f>SUM(K97:Y97)</f>
        <v>26009598</v>
      </c>
      <c r="AB97" s="44"/>
      <c r="AC97" s="44">
        <f t="shared" si="3"/>
        <v>35146928</v>
      </c>
    </row>
    <row r="98" spans="1:30" s="47" customFormat="1" ht="12.75" customHeight="1">
      <c r="A98" s="47" t="s">
        <v>45</v>
      </c>
      <c r="C98" s="47" t="s">
        <v>103</v>
      </c>
      <c r="E98" s="44">
        <v>14485838</v>
      </c>
      <c r="F98" s="44"/>
      <c r="G98" s="44">
        <v>6094561</v>
      </c>
      <c r="H98" s="44"/>
      <c r="I98" s="44">
        <v>1036590</v>
      </c>
      <c r="J98" s="44"/>
      <c r="K98" s="44">
        <f>2869670+3186929+501137</f>
        <v>6557736</v>
      </c>
      <c r="L98" s="44"/>
      <c r="M98" s="44">
        <v>22555364</v>
      </c>
      <c r="N98" s="44"/>
      <c r="O98" s="44">
        <v>3130430</v>
      </c>
      <c r="P98" s="44"/>
      <c r="Q98" s="44">
        <v>4827624</v>
      </c>
      <c r="R98" s="44"/>
      <c r="S98" s="44">
        <v>143617</v>
      </c>
      <c r="T98" s="44"/>
      <c r="U98" s="44">
        <v>1846956</v>
      </c>
      <c r="V98" s="44"/>
      <c r="W98" s="44">
        <v>492500</v>
      </c>
      <c r="X98" s="44"/>
      <c r="Y98" s="44">
        <v>0</v>
      </c>
      <c r="Z98" s="44"/>
      <c r="AA98" s="44">
        <f t="shared" si="2"/>
        <v>39554227</v>
      </c>
      <c r="AB98" s="44"/>
      <c r="AC98" s="44">
        <f t="shared" si="3"/>
        <v>61171216</v>
      </c>
    </row>
    <row r="99" spans="1:30" s="47" customFormat="1" ht="12.75" customHeight="1">
      <c r="A99" s="47" t="s">
        <v>123</v>
      </c>
      <c r="C99" s="47" t="s">
        <v>45</v>
      </c>
      <c r="E99" s="44">
        <v>1055322</v>
      </c>
      <c r="F99" s="44"/>
      <c r="G99" s="44">
        <v>896275</v>
      </c>
      <c r="H99" s="44"/>
      <c r="I99" s="44">
        <v>265063</v>
      </c>
      <c r="J99" s="44"/>
      <c r="K99" s="44">
        <f>1257994+739772+54489+14800+255008</f>
        <v>2322063</v>
      </c>
      <c r="L99" s="44"/>
      <c r="M99" s="44">
        <v>2860771</v>
      </c>
      <c r="N99" s="44"/>
      <c r="O99" s="44">
        <v>0</v>
      </c>
      <c r="P99" s="44"/>
      <c r="Q99" s="44">
        <v>1013554</v>
      </c>
      <c r="R99" s="44"/>
      <c r="S99" s="44">
        <v>67215</v>
      </c>
      <c r="T99" s="44"/>
      <c r="U99" s="44">
        <v>151696</v>
      </c>
      <c r="V99" s="44"/>
      <c r="W99" s="44">
        <v>0</v>
      </c>
      <c r="X99" s="44"/>
      <c r="Y99" s="44">
        <v>0</v>
      </c>
      <c r="Z99" s="44"/>
      <c r="AA99" s="44">
        <f t="shared" si="2"/>
        <v>6415299</v>
      </c>
      <c r="AB99" s="44"/>
      <c r="AC99" s="44">
        <f t="shared" si="3"/>
        <v>8631959</v>
      </c>
    </row>
    <row r="100" spans="1:30" s="47" customFormat="1" ht="12.75" customHeight="1">
      <c r="A100" s="47" t="s">
        <v>124</v>
      </c>
      <c r="C100" s="47" t="s">
        <v>125</v>
      </c>
      <c r="E100" s="44">
        <v>2662436</v>
      </c>
      <c r="F100" s="44"/>
      <c r="G100" s="44">
        <v>677664</v>
      </c>
      <c r="H100" s="44"/>
      <c r="I100" s="44">
        <v>2825769</v>
      </c>
      <c r="J100" s="44"/>
      <c r="K100" s="44">
        <v>1187092</v>
      </c>
      <c r="L100" s="44"/>
      <c r="M100" s="44">
        <v>4970988</v>
      </c>
      <c r="N100" s="44"/>
      <c r="O100" s="44">
        <v>10671</v>
      </c>
      <c r="P100" s="44"/>
      <c r="Q100" s="44">
        <v>835972</v>
      </c>
      <c r="R100" s="44"/>
      <c r="S100" s="44">
        <v>173836</v>
      </c>
      <c r="T100" s="44"/>
      <c r="U100" s="44">
        <v>87516</v>
      </c>
      <c r="V100" s="44"/>
      <c r="W100" s="44">
        <v>-23647</v>
      </c>
      <c r="X100" s="44"/>
      <c r="Y100" s="44">
        <v>0</v>
      </c>
      <c r="Z100" s="44"/>
      <c r="AA100" s="44">
        <f t="shared" si="2"/>
        <v>7242428</v>
      </c>
      <c r="AB100" s="44"/>
      <c r="AC100" s="44">
        <f t="shared" si="3"/>
        <v>13408297</v>
      </c>
    </row>
    <row r="101" spans="1:30" s="47" customFormat="1" ht="12.75" customHeight="1">
      <c r="A101" s="47" t="s">
        <v>126</v>
      </c>
      <c r="C101" s="47" t="s">
        <v>27</v>
      </c>
      <c r="E101" s="44">
        <v>1463937</v>
      </c>
      <c r="F101" s="44"/>
      <c r="G101" s="44">
        <v>443832</v>
      </c>
      <c r="H101" s="44"/>
      <c r="I101" s="44">
        <v>486198</v>
      </c>
      <c r="J101" s="44"/>
      <c r="K101" s="44">
        <f>787786+136074+567846</f>
        <v>1491706</v>
      </c>
      <c r="L101" s="44"/>
      <c r="M101" s="44">
        <f>8067233+654100</f>
        <v>8721333</v>
      </c>
      <c r="N101" s="44"/>
      <c r="O101" s="44">
        <v>131244</v>
      </c>
      <c r="P101" s="44"/>
      <c r="Q101" s="44">
        <v>1025909</v>
      </c>
      <c r="R101" s="44"/>
      <c r="S101" s="44">
        <v>43822</v>
      </c>
      <c r="T101" s="44"/>
      <c r="U101" s="44">
        <v>2056</v>
      </c>
      <c r="V101" s="44"/>
      <c r="W101" s="44">
        <v>0</v>
      </c>
      <c r="X101" s="44"/>
      <c r="Y101" s="44">
        <v>0</v>
      </c>
      <c r="Z101" s="44"/>
      <c r="AA101" s="44">
        <f t="shared" si="2"/>
        <v>11416070</v>
      </c>
      <c r="AB101" s="44"/>
      <c r="AC101" s="44">
        <f t="shared" si="3"/>
        <v>13810037</v>
      </c>
    </row>
    <row r="102" spans="1:30" s="47" customFormat="1" ht="12.75" customHeight="1">
      <c r="A102" s="47" t="s">
        <v>127</v>
      </c>
      <c r="C102" s="47" t="s">
        <v>43</v>
      </c>
      <c r="E102" s="44">
        <v>4620121</v>
      </c>
      <c r="F102" s="44"/>
      <c r="G102" s="44">
        <v>1422622</v>
      </c>
      <c r="H102" s="44"/>
      <c r="I102" s="44">
        <v>20966177</v>
      </c>
      <c r="J102" s="44"/>
      <c r="K102" s="44">
        <v>1682554</v>
      </c>
      <c r="L102" s="44"/>
      <c r="M102" s="44">
        <f>11470507+747888+4072798</f>
        <v>16291193</v>
      </c>
      <c r="N102" s="44"/>
      <c r="O102" s="44">
        <v>1846750</v>
      </c>
      <c r="P102" s="44"/>
      <c r="Q102" s="44">
        <v>1099064</v>
      </c>
      <c r="R102" s="44"/>
      <c r="S102" s="44">
        <v>156648</v>
      </c>
      <c r="T102" s="44"/>
      <c r="U102" s="44">
        <v>376594</v>
      </c>
      <c r="V102" s="44"/>
      <c r="W102" s="44">
        <v>0</v>
      </c>
      <c r="X102" s="44"/>
      <c r="Y102" s="44">
        <v>0</v>
      </c>
      <c r="Z102" s="44"/>
      <c r="AA102" s="44">
        <f t="shared" si="2"/>
        <v>21452803</v>
      </c>
      <c r="AB102" s="44"/>
      <c r="AC102" s="44">
        <f t="shared" si="3"/>
        <v>48461723</v>
      </c>
    </row>
    <row r="103" spans="1:30" s="47" customFormat="1" ht="12.75" customHeight="1">
      <c r="A103" s="47" t="s">
        <v>128</v>
      </c>
      <c r="C103" s="47" t="s">
        <v>119</v>
      </c>
      <c r="E103" s="44">
        <v>1153894</v>
      </c>
      <c r="F103" s="44"/>
      <c r="G103" s="44">
        <v>1218821</v>
      </c>
      <c r="H103" s="44"/>
      <c r="I103" s="44">
        <v>0</v>
      </c>
      <c r="J103" s="44"/>
      <c r="K103" s="44">
        <f>312815+84163+98512+156062</f>
        <v>651552</v>
      </c>
      <c r="L103" s="44"/>
      <c r="M103" s="44">
        <v>3370137</v>
      </c>
      <c r="N103" s="44"/>
      <c r="O103" s="44">
        <v>0</v>
      </c>
      <c r="P103" s="44"/>
      <c r="Q103" s="44">
        <v>312448</v>
      </c>
      <c r="R103" s="44"/>
      <c r="S103" s="44">
        <v>45001</v>
      </c>
      <c r="T103" s="44"/>
      <c r="U103" s="44">
        <f>8668+133593</f>
        <v>142261</v>
      </c>
      <c r="V103" s="44"/>
      <c r="W103" s="44">
        <v>-6562</v>
      </c>
      <c r="X103" s="44"/>
      <c r="Y103" s="44">
        <v>0</v>
      </c>
      <c r="Z103" s="44"/>
      <c r="AA103" s="44">
        <f t="shared" si="2"/>
        <v>4514837</v>
      </c>
      <c r="AB103" s="44"/>
      <c r="AC103" s="44">
        <f t="shared" si="3"/>
        <v>6887552</v>
      </c>
    </row>
    <row r="104" spans="1:30" s="47" customFormat="1" ht="12.75" customHeight="1">
      <c r="A104" s="47" t="s">
        <v>129</v>
      </c>
      <c r="C104" s="47" t="s">
        <v>80</v>
      </c>
      <c r="E104" s="44">
        <v>52136</v>
      </c>
      <c r="F104" s="44"/>
      <c r="G104" s="44">
        <v>398742</v>
      </c>
      <c r="H104" s="44"/>
      <c r="I104" s="44">
        <v>70737</v>
      </c>
      <c r="J104" s="44"/>
      <c r="K104" s="44">
        <f>260424+744+29876</f>
        <v>291044</v>
      </c>
      <c r="L104" s="44"/>
      <c r="M104" s="44">
        <v>1882307</v>
      </c>
      <c r="N104" s="44"/>
      <c r="O104" s="44">
        <v>0</v>
      </c>
      <c r="P104" s="44"/>
      <c r="Q104" s="44">
        <v>258833</v>
      </c>
      <c r="R104" s="44"/>
      <c r="S104" s="44">
        <v>234367</v>
      </c>
      <c r="T104" s="44"/>
      <c r="U104" s="44">
        <v>187752</v>
      </c>
      <c r="V104" s="44"/>
      <c r="W104" s="44">
        <v>-15753</v>
      </c>
      <c r="X104" s="44"/>
      <c r="Y104" s="44">
        <v>0</v>
      </c>
      <c r="Z104" s="44"/>
      <c r="AA104" s="44">
        <f t="shared" si="2"/>
        <v>2838550</v>
      </c>
      <c r="AB104" s="44"/>
      <c r="AC104" s="44">
        <f t="shared" si="3"/>
        <v>3360165</v>
      </c>
    </row>
    <row r="105" spans="1:30" s="47" customFormat="1" ht="12.75" customHeight="1">
      <c r="A105" s="47" t="s">
        <v>130</v>
      </c>
      <c r="C105" s="47" t="s">
        <v>66</v>
      </c>
      <c r="E105" s="44">
        <v>2262449</v>
      </c>
      <c r="F105" s="44"/>
      <c r="G105" s="44">
        <v>2024950</v>
      </c>
      <c r="H105" s="44"/>
      <c r="I105" s="44">
        <v>2678762</v>
      </c>
      <c r="J105" s="44"/>
      <c r="K105" s="44">
        <f>5317935+465416+3930334+1638240+1310556+457510</f>
        <v>13119991</v>
      </c>
      <c r="L105" s="44"/>
      <c r="M105" s="44">
        <f>1403928+1007494+1205346+222420</f>
        <v>3839188</v>
      </c>
      <c r="N105" s="44"/>
      <c r="O105" s="44">
        <f>173457+551963</f>
        <v>725420</v>
      </c>
      <c r="P105" s="44"/>
      <c r="Q105" s="44">
        <v>1090178</v>
      </c>
      <c r="R105" s="44"/>
      <c r="S105" s="44">
        <v>290205</v>
      </c>
      <c r="T105" s="44"/>
      <c r="U105" s="44">
        <v>435484</v>
      </c>
      <c r="V105" s="44"/>
      <c r="W105" s="44">
        <v>-1013329</v>
      </c>
      <c r="X105" s="44"/>
      <c r="Y105" s="44">
        <v>0</v>
      </c>
      <c r="Z105" s="44"/>
      <c r="AA105" s="44">
        <f t="shared" si="2"/>
        <v>18487137</v>
      </c>
      <c r="AB105" s="44"/>
      <c r="AC105" s="44">
        <f t="shared" si="3"/>
        <v>25453298</v>
      </c>
    </row>
    <row r="106" spans="1:30" s="47" customFormat="1" ht="12.75" customHeight="1">
      <c r="A106" s="47" t="s">
        <v>131</v>
      </c>
      <c r="C106" s="47" t="s">
        <v>13</v>
      </c>
      <c r="E106" s="44">
        <v>1278474</v>
      </c>
      <c r="F106" s="44"/>
      <c r="G106" s="44">
        <v>27810</v>
      </c>
      <c r="H106" s="44"/>
      <c r="I106" s="44">
        <v>469251</v>
      </c>
      <c r="J106" s="44"/>
      <c r="K106" s="44">
        <v>4508763</v>
      </c>
      <c r="L106" s="44"/>
      <c r="M106" s="44">
        <v>14706234</v>
      </c>
      <c r="N106" s="44"/>
      <c r="O106" s="44">
        <v>0</v>
      </c>
      <c r="P106" s="44"/>
      <c r="Q106" s="44">
        <v>5717814</v>
      </c>
      <c r="R106" s="44"/>
      <c r="S106" s="44">
        <v>1356009</v>
      </c>
      <c r="T106" s="44"/>
      <c r="U106" s="44">
        <v>646538</v>
      </c>
      <c r="V106" s="44"/>
      <c r="W106" s="44">
        <v>-2614902</v>
      </c>
      <c r="X106" s="44"/>
      <c r="Y106" s="44">
        <v>0</v>
      </c>
      <c r="Z106" s="44"/>
      <c r="AA106" s="44">
        <f t="shared" si="2"/>
        <v>24320456</v>
      </c>
      <c r="AB106" s="44"/>
      <c r="AC106" s="44">
        <f t="shared" si="3"/>
        <v>26095991</v>
      </c>
    </row>
    <row r="107" spans="1:30" s="47" customFormat="1" ht="12.75" customHeight="1">
      <c r="A107" s="47" t="s">
        <v>38</v>
      </c>
      <c r="C107" s="47" t="s">
        <v>132</v>
      </c>
      <c r="E107" s="44">
        <v>2471261</v>
      </c>
      <c r="F107" s="44"/>
      <c r="G107" s="44">
        <v>901710</v>
      </c>
      <c r="H107" s="44"/>
      <c r="I107" s="44">
        <v>0</v>
      </c>
      <c r="J107" s="44"/>
      <c r="K107" s="44">
        <f>305644+638288</f>
        <v>943932</v>
      </c>
      <c r="L107" s="44"/>
      <c r="M107" s="44">
        <v>2044712</v>
      </c>
      <c r="N107" s="44"/>
      <c r="O107" s="44">
        <v>1292</v>
      </c>
      <c r="P107" s="44"/>
      <c r="Q107" s="44">
        <v>593889</v>
      </c>
      <c r="R107" s="44"/>
      <c r="S107" s="44">
        <v>102129</v>
      </c>
      <c r="T107" s="44"/>
      <c r="U107" s="44">
        <f>5276+1540</f>
        <v>6816</v>
      </c>
      <c r="V107" s="44"/>
      <c r="W107" s="44">
        <v>9467</v>
      </c>
      <c r="X107" s="44"/>
      <c r="Y107" s="44">
        <v>0</v>
      </c>
      <c r="Z107" s="44"/>
      <c r="AA107" s="44">
        <f t="shared" si="2"/>
        <v>3702237</v>
      </c>
      <c r="AB107" s="44"/>
      <c r="AC107" s="44">
        <f t="shared" si="3"/>
        <v>7075208</v>
      </c>
      <c r="AD107" s="47">
        <f>3692770+9467+2471261+901710</f>
        <v>7075208</v>
      </c>
    </row>
    <row r="108" spans="1:30" s="47" customFormat="1" ht="12.75" customHeight="1">
      <c r="A108" s="47" t="s">
        <v>133</v>
      </c>
      <c r="C108" s="47" t="s">
        <v>27</v>
      </c>
      <c r="E108" s="44">
        <v>1396805</v>
      </c>
      <c r="F108" s="44"/>
      <c r="G108" s="44">
        <v>471385</v>
      </c>
      <c r="H108" s="44"/>
      <c r="I108" s="44">
        <v>161639</v>
      </c>
      <c r="J108" s="44"/>
      <c r="K108" s="44">
        <f>1167611+368719+184358</f>
        <v>1720688</v>
      </c>
      <c r="L108" s="44"/>
      <c r="M108" s="44">
        <v>23982611</v>
      </c>
      <c r="N108" s="44"/>
      <c r="O108" s="44">
        <f>939861+18078+669941</f>
        <v>1627880</v>
      </c>
      <c r="P108" s="44"/>
      <c r="Q108" s="44">
        <v>789889</v>
      </c>
      <c r="R108" s="44"/>
      <c r="S108" s="44">
        <v>143810</v>
      </c>
      <c r="T108" s="44"/>
      <c r="U108" s="44">
        <v>476102</v>
      </c>
      <c r="V108" s="44"/>
      <c r="W108" s="44">
        <v>0</v>
      </c>
      <c r="X108" s="44"/>
      <c r="Y108" s="44">
        <v>0</v>
      </c>
      <c r="Z108" s="44"/>
      <c r="AA108" s="44">
        <f t="shared" si="2"/>
        <v>28740980</v>
      </c>
      <c r="AB108" s="44"/>
      <c r="AC108" s="44">
        <f t="shared" si="3"/>
        <v>30770809</v>
      </c>
    </row>
    <row r="109" spans="1:30" s="47" customFormat="1" ht="12.75" hidden="1" customHeight="1">
      <c r="A109" s="47" t="s">
        <v>483</v>
      </c>
      <c r="C109" s="47" t="s">
        <v>45</v>
      </c>
      <c r="E109" s="44">
        <v>0</v>
      </c>
      <c r="F109" s="44"/>
      <c r="G109" s="44">
        <v>0</v>
      </c>
      <c r="H109" s="44"/>
      <c r="I109" s="44">
        <v>0</v>
      </c>
      <c r="J109" s="44"/>
      <c r="K109" s="44">
        <v>0</v>
      </c>
      <c r="L109" s="44"/>
      <c r="M109" s="44">
        <v>0</v>
      </c>
      <c r="N109" s="44"/>
      <c r="O109" s="44">
        <v>0</v>
      </c>
      <c r="P109" s="44"/>
      <c r="Q109" s="44">
        <v>0</v>
      </c>
      <c r="R109" s="44"/>
      <c r="S109" s="44">
        <v>0</v>
      </c>
      <c r="T109" s="44"/>
      <c r="U109" s="44">
        <v>0</v>
      </c>
      <c r="V109" s="44"/>
      <c r="W109" s="44">
        <v>0</v>
      </c>
      <c r="X109" s="44"/>
      <c r="Y109" s="44">
        <v>0</v>
      </c>
      <c r="Z109" s="44"/>
      <c r="AA109" s="44">
        <f t="shared" si="2"/>
        <v>0</v>
      </c>
      <c r="AB109" s="44"/>
      <c r="AC109" s="44">
        <f t="shared" si="3"/>
        <v>0</v>
      </c>
    </row>
    <row r="110" spans="1:30" s="47" customFormat="1" ht="12.75" customHeight="1">
      <c r="A110" s="47" t="s">
        <v>136</v>
      </c>
      <c r="C110" s="47" t="s">
        <v>136</v>
      </c>
      <c r="E110" s="44">
        <v>1114637</v>
      </c>
      <c r="F110" s="44"/>
      <c r="G110" s="44">
        <v>1192260</v>
      </c>
      <c r="H110" s="44"/>
      <c r="I110" s="44">
        <v>0</v>
      </c>
      <c r="J110" s="44"/>
      <c r="K110" s="44">
        <f>350318+159529+141491</f>
        <v>651338</v>
      </c>
      <c r="L110" s="44"/>
      <c r="M110" s="44">
        <v>0</v>
      </c>
      <c r="N110" s="44"/>
      <c r="O110" s="44">
        <v>740153</v>
      </c>
      <c r="P110" s="44"/>
      <c r="Q110" s="44">
        <v>476160</v>
      </c>
      <c r="R110" s="44"/>
      <c r="S110" s="44">
        <v>393303</v>
      </c>
      <c r="T110" s="44"/>
      <c r="U110" s="44">
        <f>2500+56014</f>
        <v>58514</v>
      </c>
      <c r="V110" s="44"/>
      <c r="W110" s="44">
        <v>-149948</v>
      </c>
      <c r="X110" s="44"/>
      <c r="Y110" s="44">
        <v>0</v>
      </c>
      <c r="Z110" s="44"/>
      <c r="AA110" s="44">
        <f>SUM(K110:Y110)</f>
        <v>2169520</v>
      </c>
      <c r="AB110" s="44"/>
      <c r="AC110" s="44">
        <f>SUM(E110:Y110)</f>
        <v>4476417</v>
      </c>
    </row>
    <row r="111" spans="1:30" s="47" customFormat="1" ht="12.75" customHeight="1">
      <c r="A111" s="47" t="s">
        <v>137</v>
      </c>
      <c r="C111" s="47" t="s">
        <v>22</v>
      </c>
      <c r="E111" s="44">
        <v>2200504</v>
      </c>
      <c r="F111" s="44"/>
      <c r="G111" s="44">
        <v>1376313</v>
      </c>
      <c r="H111" s="44"/>
      <c r="I111" s="44">
        <v>2005657</v>
      </c>
      <c r="J111" s="44"/>
      <c r="K111" s="44">
        <f>1639561+1578221</f>
        <v>3217782</v>
      </c>
      <c r="L111" s="44"/>
      <c r="M111" s="44">
        <v>10402223</v>
      </c>
      <c r="N111" s="44"/>
      <c r="O111" s="44">
        <v>0</v>
      </c>
      <c r="P111" s="44"/>
      <c r="Q111" s="44">
        <v>2403218</v>
      </c>
      <c r="R111" s="44"/>
      <c r="S111" s="44">
        <v>443814</v>
      </c>
      <c r="T111" s="44"/>
      <c r="U111" s="44">
        <v>165543</v>
      </c>
      <c r="V111" s="44"/>
      <c r="W111" s="44">
        <v>-102223</v>
      </c>
      <c r="X111" s="44"/>
      <c r="Y111" s="44">
        <v>0</v>
      </c>
      <c r="Z111" s="44"/>
      <c r="AA111" s="44">
        <f t="shared" si="2"/>
        <v>16530357</v>
      </c>
      <c r="AB111" s="44"/>
      <c r="AC111" s="44">
        <f t="shared" si="3"/>
        <v>22112831</v>
      </c>
      <c r="AD111" s="47">
        <f>16984166+2295383+1427695+2822271</f>
        <v>23529515</v>
      </c>
    </row>
    <row r="112" spans="1:30" s="47" customFormat="1" ht="12.75" hidden="1" customHeight="1">
      <c r="A112" s="47" t="s">
        <v>138</v>
      </c>
      <c r="C112" s="47" t="s">
        <v>139</v>
      </c>
      <c r="E112" s="44">
        <v>0</v>
      </c>
      <c r="F112" s="44"/>
      <c r="G112" s="44">
        <v>0</v>
      </c>
      <c r="H112" s="44"/>
      <c r="I112" s="44">
        <v>0</v>
      </c>
      <c r="J112" s="44"/>
      <c r="K112" s="44">
        <v>0</v>
      </c>
      <c r="L112" s="44"/>
      <c r="M112" s="44">
        <v>0</v>
      </c>
      <c r="N112" s="44"/>
      <c r="O112" s="44">
        <v>0</v>
      </c>
      <c r="P112" s="44"/>
      <c r="Q112" s="44">
        <v>0</v>
      </c>
      <c r="R112" s="44"/>
      <c r="S112" s="44">
        <v>0</v>
      </c>
      <c r="T112" s="44"/>
      <c r="U112" s="44">
        <v>0</v>
      </c>
      <c r="V112" s="44"/>
      <c r="W112" s="44">
        <v>0</v>
      </c>
      <c r="X112" s="44"/>
      <c r="Y112" s="44">
        <v>0</v>
      </c>
      <c r="Z112" s="44"/>
      <c r="AA112" s="44">
        <f t="shared" si="2"/>
        <v>0</v>
      </c>
      <c r="AB112" s="44"/>
      <c r="AC112" s="44">
        <f t="shared" si="3"/>
        <v>0</v>
      </c>
    </row>
    <row r="113" spans="1:31" s="47" customFormat="1" ht="12.75" customHeight="1">
      <c r="A113" s="47" t="s">
        <v>140</v>
      </c>
      <c r="C113" s="47" t="s">
        <v>66</v>
      </c>
      <c r="E113" s="44">
        <v>9938544</v>
      </c>
      <c r="F113" s="44"/>
      <c r="G113" s="44">
        <v>1484287</v>
      </c>
      <c r="H113" s="44"/>
      <c r="I113" s="44">
        <v>3856056</v>
      </c>
      <c r="J113" s="44"/>
      <c r="K113" s="44">
        <f>8094861+1252025</f>
        <v>9346886</v>
      </c>
      <c r="L113" s="44"/>
      <c r="M113" s="44">
        <v>34846179</v>
      </c>
      <c r="N113" s="44"/>
      <c r="O113" s="44">
        <v>7464283</v>
      </c>
      <c r="P113" s="44"/>
      <c r="Q113" s="44">
        <v>0</v>
      </c>
      <c r="R113" s="44"/>
      <c r="S113" s="44">
        <v>2963720</v>
      </c>
      <c r="T113" s="44"/>
      <c r="U113" s="44">
        <f>1484720+221701</f>
        <v>1706421</v>
      </c>
      <c r="V113" s="44"/>
      <c r="W113" s="44">
        <v>0</v>
      </c>
      <c r="X113" s="44"/>
      <c r="Y113" s="44">
        <v>0</v>
      </c>
      <c r="Z113" s="44"/>
      <c r="AA113" s="44">
        <f t="shared" si="2"/>
        <v>56327489</v>
      </c>
      <c r="AB113" s="44"/>
      <c r="AC113" s="44">
        <f t="shared" si="3"/>
        <v>71606376</v>
      </c>
    </row>
    <row r="114" spans="1:31" s="47" customFormat="1" ht="12.75" customHeight="1">
      <c r="A114" s="47" t="s">
        <v>478</v>
      </c>
      <c r="C114" s="47" t="s">
        <v>92</v>
      </c>
      <c r="E114" s="44">
        <v>541238</v>
      </c>
      <c r="F114" s="44"/>
      <c r="G114" s="44">
        <v>724272</v>
      </c>
      <c r="H114" s="44"/>
      <c r="I114" s="44">
        <v>272979</v>
      </c>
      <c r="J114" s="44"/>
      <c r="K114" s="44">
        <f>646927+787889+94659+71478+124306</f>
        <v>1725259</v>
      </c>
      <c r="L114" s="44"/>
      <c r="M114" s="44">
        <v>2700765</v>
      </c>
      <c r="N114" s="44"/>
      <c r="O114" s="44">
        <v>0</v>
      </c>
      <c r="P114" s="44"/>
      <c r="Q114" s="44">
        <v>639331</v>
      </c>
      <c r="R114" s="44"/>
      <c r="S114" s="44">
        <v>6548</v>
      </c>
      <c r="T114" s="44"/>
      <c r="U114" s="44">
        <v>72971</v>
      </c>
      <c r="V114" s="44"/>
      <c r="W114" s="44">
        <v>-62412</v>
      </c>
      <c r="X114" s="44"/>
      <c r="Y114" s="44">
        <v>0</v>
      </c>
      <c r="Z114" s="44"/>
      <c r="AA114" s="44">
        <f t="shared" si="2"/>
        <v>5082462</v>
      </c>
      <c r="AB114" s="44"/>
      <c r="AC114" s="44">
        <f t="shared" si="3"/>
        <v>6620951</v>
      </c>
    </row>
    <row r="115" spans="1:31" s="47" customFormat="1" ht="12.75" customHeight="1">
      <c r="A115" s="47" t="s">
        <v>141</v>
      </c>
      <c r="C115" s="47" t="s">
        <v>27</v>
      </c>
      <c r="E115" s="44">
        <v>6987726</v>
      </c>
      <c r="F115" s="44"/>
      <c r="G115" s="44">
        <v>6807213</v>
      </c>
      <c r="H115" s="44"/>
      <c r="I115" s="44">
        <v>0</v>
      </c>
      <c r="J115" s="44"/>
      <c r="K115" s="44">
        <f>7404532+2810315+2973092</f>
        <v>13187939</v>
      </c>
      <c r="L115" s="44"/>
      <c r="M115" s="44">
        <v>19314348</v>
      </c>
      <c r="N115" s="44"/>
      <c r="O115" s="44">
        <v>308520</v>
      </c>
      <c r="P115" s="44"/>
      <c r="Q115" s="44">
        <v>6345651</v>
      </c>
      <c r="R115" s="44"/>
      <c r="S115" s="44">
        <v>214275</v>
      </c>
      <c r="T115" s="44"/>
      <c r="U115" s="44">
        <v>606457</v>
      </c>
      <c r="V115" s="44"/>
      <c r="W115" s="44">
        <v>2084161</v>
      </c>
      <c r="X115" s="44"/>
      <c r="Y115" s="44">
        <v>0</v>
      </c>
      <c r="Z115" s="44"/>
      <c r="AA115" s="44">
        <f t="shared" si="2"/>
        <v>42061351</v>
      </c>
      <c r="AB115" s="44"/>
      <c r="AC115" s="44">
        <f t="shared" si="3"/>
        <v>55856290</v>
      </c>
    </row>
    <row r="116" spans="1:31" s="47" customFormat="1" ht="12.75" customHeight="1">
      <c r="A116" s="47" t="s">
        <v>142</v>
      </c>
      <c r="C116" s="47" t="s">
        <v>102</v>
      </c>
      <c r="E116" s="44">
        <v>5831825</v>
      </c>
      <c r="F116" s="44"/>
      <c r="G116" s="44">
        <v>5070598</v>
      </c>
      <c r="H116" s="44"/>
      <c r="I116" s="44">
        <v>0</v>
      </c>
      <c r="J116" s="44"/>
      <c r="K116" s="44">
        <f>2093725+417000</f>
        <v>2510725</v>
      </c>
      <c r="L116" s="44"/>
      <c r="M116" s="44">
        <v>17456314</v>
      </c>
      <c r="N116" s="44"/>
      <c r="O116" s="44">
        <v>517840</v>
      </c>
      <c r="P116" s="44"/>
      <c r="Q116" s="44">
        <v>2739915</v>
      </c>
      <c r="R116" s="44"/>
      <c r="S116" s="44">
        <v>529545</v>
      </c>
      <c r="T116" s="44"/>
      <c r="U116" s="44">
        <v>806267</v>
      </c>
      <c r="V116" s="44"/>
      <c r="W116" s="44">
        <v>-215123</v>
      </c>
      <c r="X116" s="44"/>
      <c r="Y116" s="44">
        <v>0</v>
      </c>
      <c r="Z116" s="44"/>
      <c r="AA116" s="44">
        <f t="shared" si="2"/>
        <v>24345483</v>
      </c>
      <c r="AB116" s="44"/>
      <c r="AC116" s="44">
        <f t="shared" si="3"/>
        <v>35247906</v>
      </c>
    </row>
    <row r="117" spans="1:31" s="47" customFormat="1" ht="12.75" customHeight="1">
      <c r="A117" s="47" t="s">
        <v>143</v>
      </c>
      <c r="C117" s="47" t="s">
        <v>111</v>
      </c>
      <c r="E117" s="44">
        <v>2917603</v>
      </c>
      <c r="F117" s="44"/>
      <c r="G117" s="44">
        <v>1911481</v>
      </c>
      <c r="H117" s="44"/>
      <c r="I117" s="44">
        <v>945434</v>
      </c>
      <c r="J117" s="44"/>
      <c r="K117" s="44">
        <f>1375734+2224683+27499</f>
        <v>3627916</v>
      </c>
      <c r="L117" s="44"/>
      <c r="M117" s="44">
        <v>5409147</v>
      </c>
      <c r="N117" s="44"/>
      <c r="O117" s="44">
        <f>1318586+1269899</f>
        <v>2588485</v>
      </c>
      <c r="P117" s="44"/>
      <c r="Q117" s="44">
        <v>818872</v>
      </c>
      <c r="R117" s="44"/>
      <c r="S117" s="44">
        <v>1063750</v>
      </c>
      <c r="T117" s="44"/>
      <c r="U117" s="44">
        <f>7375+14168+160078</f>
        <v>181621</v>
      </c>
      <c r="V117" s="44"/>
      <c r="W117" s="44">
        <v>-1536455</v>
      </c>
      <c r="X117" s="44"/>
      <c r="Y117" s="44">
        <v>0</v>
      </c>
      <c r="Z117" s="44"/>
      <c r="AA117" s="44">
        <f t="shared" si="2"/>
        <v>12153336</v>
      </c>
      <c r="AB117" s="44"/>
      <c r="AC117" s="44">
        <f t="shared" si="3"/>
        <v>17927854</v>
      </c>
    </row>
    <row r="118" spans="1:31" s="47" customFormat="1" ht="12.75" customHeight="1">
      <c r="A118" s="47" t="s">
        <v>144</v>
      </c>
      <c r="C118" s="47" t="s">
        <v>88</v>
      </c>
      <c r="E118" s="44">
        <v>8066912</v>
      </c>
      <c r="F118" s="44"/>
      <c r="G118" s="44">
        <v>3556580</v>
      </c>
      <c r="H118" s="44"/>
      <c r="I118" s="44">
        <v>3109248</v>
      </c>
      <c r="J118" s="44"/>
      <c r="K118" s="44">
        <v>1599617</v>
      </c>
      <c r="L118" s="44"/>
      <c r="M118" s="44">
        <v>14938589</v>
      </c>
      <c r="N118" s="44"/>
      <c r="O118" s="44">
        <v>104775</v>
      </c>
      <c r="P118" s="44"/>
      <c r="Q118" s="44">
        <v>3994327</v>
      </c>
      <c r="R118" s="44"/>
      <c r="S118" s="44">
        <v>743766</v>
      </c>
      <c r="T118" s="44"/>
      <c r="U118" s="44">
        <f>-38410+99521</f>
        <v>61111</v>
      </c>
      <c r="V118" s="44"/>
      <c r="W118" s="44">
        <v>0</v>
      </c>
      <c r="X118" s="44"/>
      <c r="Y118" s="44">
        <v>0</v>
      </c>
      <c r="Z118" s="44"/>
      <c r="AA118" s="44">
        <f t="shared" si="2"/>
        <v>21442185</v>
      </c>
      <c r="AB118" s="44"/>
      <c r="AC118" s="44">
        <f t="shared" si="3"/>
        <v>36174925</v>
      </c>
    </row>
    <row r="119" spans="1:31" s="47" customFormat="1" ht="12.75" customHeight="1">
      <c r="A119" s="47" t="s">
        <v>36</v>
      </c>
      <c r="C119" s="47" t="s">
        <v>145</v>
      </c>
      <c r="E119" s="44">
        <v>339523</v>
      </c>
      <c r="F119" s="44"/>
      <c r="G119" s="44">
        <v>1221056</v>
      </c>
      <c r="H119" s="44"/>
      <c r="I119" s="44">
        <v>409875</v>
      </c>
      <c r="J119" s="44"/>
      <c r="K119" s="44">
        <f>201617+30607+234746</f>
        <v>466970</v>
      </c>
      <c r="L119" s="44"/>
      <c r="M119" s="44">
        <f>2317443+195390</f>
        <v>2512833</v>
      </c>
      <c r="N119" s="44"/>
      <c r="O119" s="44">
        <v>0</v>
      </c>
      <c r="P119" s="44"/>
      <c r="Q119" s="44">
        <v>378289</v>
      </c>
      <c r="R119" s="44"/>
      <c r="S119" s="44">
        <v>23427</v>
      </c>
      <c r="T119" s="44"/>
      <c r="U119" s="44">
        <v>21095</v>
      </c>
      <c r="V119" s="44"/>
      <c r="W119" s="44">
        <v>0</v>
      </c>
      <c r="X119" s="44"/>
      <c r="Y119" s="44">
        <v>0</v>
      </c>
      <c r="Z119" s="44"/>
      <c r="AA119" s="44">
        <f t="shared" si="2"/>
        <v>3402614</v>
      </c>
      <c r="AB119" s="44"/>
      <c r="AC119" s="44">
        <f t="shared" si="3"/>
        <v>5373068</v>
      </c>
      <c r="AD119" s="47">
        <f>3402614+339523+1221056+409875</f>
        <v>5373068</v>
      </c>
    </row>
    <row r="120" spans="1:31" s="47" customFormat="1" ht="12.75" customHeight="1">
      <c r="A120" s="47" t="s">
        <v>146</v>
      </c>
      <c r="C120" s="47" t="s">
        <v>147</v>
      </c>
      <c r="E120" s="44">
        <v>383884</v>
      </c>
      <c r="F120" s="44"/>
      <c r="G120" s="44">
        <v>661644</v>
      </c>
      <c r="H120" s="44"/>
      <c r="I120" s="44">
        <v>18175</v>
      </c>
      <c r="J120" s="44"/>
      <c r="K120" s="44">
        <f>583224+374411</f>
        <v>957635</v>
      </c>
      <c r="L120" s="44"/>
      <c r="M120" s="44">
        <f>2612013+279600</f>
        <v>2891613</v>
      </c>
      <c r="N120" s="44"/>
      <c r="O120" s="44">
        <v>0</v>
      </c>
      <c r="P120" s="44"/>
      <c r="Q120" s="44">
        <v>388476</v>
      </c>
      <c r="R120" s="44"/>
      <c r="S120" s="44">
        <v>38906</v>
      </c>
      <c r="T120" s="44"/>
      <c r="U120" s="44">
        <v>90475</v>
      </c>
      <c r="V120" s="44"/>
      <c r="W120" s="44">
        <v>-48298</v>
      </c>
      <c r="X120" s="44"/>
      <c r="Y120" s="44">
        <v>1637127</v>
      </c>
      <c r="Z120" s="44"/>
      <c r="AA120" s="44">
        <f t="shared" si="2"/>
        <v>5955934</v>
      </c>
      <c r="AB120" s="44"/>
      <c r="AC120" s="44">
        <f t="shared" si="3"/>
        <v>7019637</v>
      </c>
    </row>
    <row r="121" spans="1:31" s="47" customFormat="1" ht="12.75" customHeight="1">
      <c r="A121" s="47" t="s">
        <v>17</v>
      </c>
      <c r="C121" s="47" t="s">
        <v>17</v>
      </c>
      <c r="E121" s="44">
        <v>4713828</v>
      </c>
      <c r="F121" s="44"/>
      <c r="G121" s="44">
        <v>10026961</v>
      </c>
      <c r="H121" s="44"/>
      <c r="I121" s="44">
        <v>1757274</v>
      </c>
      <c r="J121" s="44"/>
      <c r="K121" s="44">
        <f>2679184+138349+179102+1151160</f>
        <v>4147795</v>
      </c>
      <c r="L121" s="44"/>
      <c r="M121" s="44">
        <f>13701298+1934387</f>
        <v>15635685</v>
      </c>
      <c r="N121" s="44"/>
      <c r="O121" s="44">
        <f>916189+602430</f>
        <v>1518619</v>
      </c>
      <c r="P121" s="44"/>
      <c r="Q121" s="44">
        <v>5221222</v>
      </c>
      <c r="R121" s="44"/>
      <c r="S121" s="44">
        <v>53381</v>
      </c>
      <c r="T121" s="44"/>
      <c r="U121" s="44">
        <v>524420</v>
      </c>
      <c r="V121" s="44"/>
      <c r="W121" s="44">
        <v>0</v>
      </c>
      <c r="X121" s="44"/>
      <c r="Y121" s="44">
        <v>0</v>
      </c>
      <c r="Z121" s="44"/>
      <c r="AA121" s="44">
        <f t="shared" si="2"/>
        <v>27101122</v>
      </c>
      <c r="AB121" s="44"/>
      <c r="AC121" s="44">
        <f t="shared" si="3"/>
        <v>43599185</v>
      </c>
    </row>
    <row r="122" spans="1:31" s="47" customFormat="1" ht="12.75" customHeight="1">
      <c r="A122" s="47" t="s">
        <v>148</v>
      </c>
      <c r="C122" s="47" t="s">
        <v>15</v>
      </c>
      <c r="E122" s="44">
        <v>648459</v>
      </c>
      <c r="F122" s="44"/>
      <c r="G122" s="44">
        <v>424269</v>
      </c>
      <c r="H122" s="44"/>
      <c r="I122" s="44">
        <v>0</v>
      </c>
      <c r="J122" s="44"/>
      <c r="K122" s="44">
        <v>409330</v>
      </c>
      <c r="L122" s="44"/>
      <c r="M122" s="44">
        <v>2366926</v>
      </c>
      <c r="N122" s="44"/>
      <c r="O122" s="44">
        <v>0</v>
      </c>
      <c r="P122" s="44"/>
      <c r="Q122" s="44">
        <v>576332</v>
      </c>
      <c r="R122" s="44"/>
      <c r="S122" s="44">
        <v>3465</v>
      </c>
      <c r="T122" s="44"/>
      <c r="U122" s="44">
        <v>130514</v>
      </c>
      <c r="V122" s="44"/>
      <c r="W122" s="44">
        <v>153228</v>
      </c>
      <c r="X122" s="44"/>
      <c r="Y122" s="44">
        <v>0</v>
      </c>
      <c r="Z122" s="44"/>
      <c r="AA122" s="44">
        <f t="shared" si="2"/>
        <v>3639795</v>
      </c>
      <c r="AB122" s="44"/>
      <c r="AC122" s="44">
        <f t="shared" si="3"/>
        <v>4712523</v>
      </c>
    </row>
    <row r="123" spans="1:31" s="47" customFormat="1" ht="12.75" customHeight="1">
      <c r="A123" s="47" t="s">
        <v>149</v>
      </c>
      <c r="C123" s="47" t="s">
        <v>45</v>
      </c>
      <c r="E123" s="44">
        <v>874569</v>
      </c>
      <c r="F123" s="44"/>
      <c r="G123" s="44">
        <v>864967</v>
      </c>
      <c r="H123" s="44"/>
      <c r="I123" s="44">
        <v>286503</v>
      </c>
      <c r="J123" s="44"/>
      <c r="K123" s="44">
        <v>3205528</v>
      </c>
      <c r="L123" s="44"/>
      <c r="M123" s="44">
        <v>3102429</v>
      </c>
      <c r="N123" s="44"/>
      <c r="O123" s="44">
        <v>0</v>
      </c>
      <c r="P123" s="44"/>
      <c r="Q123" s="44">
        <v>1506295</v>
      </c>
      <c r="R123" s="44"/>
      <c r="S123" s="44">
        <v>166647</v>
      </c>
      <c r="T123" s="44"/>
      <c r="U123" s="44">
        <v>794417</v>
      </c>
      <c r="V123" s="44"/>
      <c r="W123" s="44">
        <v>184783</v>
      </c>
      <c r="X123" s="44"/>
      <c r="Y123" s="44">
        <v>0</v>
      </c>
      <c r="Z123" s="44"/>
      <c r="AA123" s="44">
        <f t="shared" si="2"/>
        <v>8960099</v>
      </c>
      <c r="AB123" s="44"/>
      <c r="AC123" s="44">
        <f t="shared" si="3"/>
        <v>10986138</v>
      </c>
    </row>
    <row r="124" spans="1:31" s="47" customFormat="1" ht="12.75" customHeight="1">
      <c r="A124" s="47" t="s">
        <v>150</v>
      </c>
      <c r="C124" s="47" t="s">
        <v>27</v>
      </c>
      <c r="E124" s="44">
        <v>2535651</v>
      </c>
      <c r="F124" s="44"/>
      <c r="G124" s="44">
        <v>1672521</v>
      </c>
      <c r="H124" s="44"/>
      <c r="I124" s="44">
        <v>117268</v>
      </c>
      <c r="J124" s="44"/>
      <c r="K124" s="44">
        <v>4981835</v>
      </c>
      <c r="L124" s="44"/>
      <c r="M124" s="44">
        <v>6117228</v>
      </c>
      <c r="N124" s="44"/>
      <c r="O124" s="44">
        <v>128884</v>
      </c>
      <c r="P124" s="44"/>
      <c r="Q124" s="44">
        <v>2731594</v>
      </c>
      <c r="R124" s="44"/>
      <c r="S124" s="44">
        <v>65957</v>
      </c>
      <c r="T124" s="44"/>
      <c r="U124" s="44">
        <v>115457</v>
      </c>
      <c r="V124" s="44"/>
      <c r="W124" s="44">
        <v>0</v>
      </c>
      <c r="X124" s="44"/>
      <c r="Y124" s="44">
        <v>0</v>
      </c>
      <c r="Z124" s="44"/>
      <c r="AA124" s="44">
        <f t="shared" si="2"/>
        <v>14140955</v>
      </c>
      <c r="AB124" s="44"/>
      <c r="AC124" s="44">
        <f t="shared" si="3"/>
        <v>18466395</v>
      </c>
    </row>
    <row r="125" spans="1:31" s="47" customFormat="1" ht="12.75" customHeight="1">
      <c r="A125" s="47" t="s">
        <v>151</v>
      </c>
      <c r="C125" s="47" t="s">
        <v>13</v>
      </c>
      <c r="E125" s="44">
        <v>2336272</v>
      </c>
      <c r="F125" s="44"/>
      <c r="G125" s="44">
        <v>964300</v>
      </c>
      <c r="H125" s="44"/>
      <c r="I125" s="44">
        <v>465383</v>
      </c>
      <c r="J125" s="44"/>
      <c r="K125" s="44">
        <f>1720458+390313+125969</f>
        <v>2236740</v>
      </c>
      <c r="L125" s="44"/>
      <c r="M125" s="44">
        <f>5475585+744823</f>
        <v>6220408</v>
      </c>
      <c r="N125" s="44"/>
      <c r="O125" s="44">
        <v>0</v>
      </c>
      <c r="P125" s="44"/>
      <c r="Q125" s="44">
        <v>1079045</v>
      </c>
      <c r="R125" s="44"/>
      <c r="S125" s="44">
        <v>73061</v>
      </c>
      <c r="T125" s="44"/>
      <c r="U125" s="44">
        <v>50880</v>
      </c>
      <c r="V125" s="44"/>
      <c r="W125" s="44">
        <v>0</v>
      </c>
      <c r="X125" s="44"/>
      <c r="Y125" s="44">
        <v>0</v>
      </c>
      <c r="Z125" s="44"/>
      <c r="AA125" s="44">
        <f t="shared" si="2"/>
        <v>9660134</v>
      </c>
      <c r="AB125" s="44"/>
      <c r="AC125" s="44">
        <f t="shared" si="3"/>
        <v>13426089</v>
      </c>
    </row>
    <row r="126" spans="1:31" s="47" customFormat="1" ht="12.75" customHeight="1">
      <c r="A126" s="47" t="s">
        <v>481</v>
      </c>
      <c r="C126" s="47" t="s">
        <v>45</v>
      </c>
      <c r="E126" s="44">
        <v>389687</v>
      </c>
      <c r="F126" s="44"/>
      <c r="G126" s="44">
        <v>1196644</v>
      </c>
      <c r="H126" s="44"/>
      <c r="I126" s="44">
        <v>0</v>
      </c>
      <c r="J126" s="44"/>
      <c r="K126" s="44">
        <v>2125629</v>
      </c>
      <c r="L126" s="44"/>
      <c r="M126" s="44">
        <v>2105205</v>
      </c>
      <c r="N126" s="44"/>
      <c r="O126" s="44">
        <v>117600</v>
      </c>
      <c r="P126" s="44"/>
      <c r="Q126" s="44">
        <v>835765</v>
      </c>
      <c r="R126" s="44"/>
      <c r="S126" s="44">
        <v>19416</v>
      </c>
      <c r="T126" s="44"/>
      <c r="U126" s="44">
        <v>0</v>
      </c>
      <c r="V126" s="44"/>
      <c r="W126" s="44">
        <v>0</v>
      </c>
      <c r="X126" s="44"/>
      <c r="Y126" s="44">
        <v>0</v>
      </c>
      <c r="Z126" s="44"/>
      <c r="AA126" s="44">
        <f t="shared" si="2"/>
        <v>5203615</v>
      </c>
      <c r="AB126" s="44"/>
      <c r="AC126" s="44">
        <f t="shared" si="3"/>
        <v>6789946</v>
      </c>
    </row>
    <row r="127" spans="1:31" s="47" customFormat="1" ht="12.75" customHeight="1">
      <c r="A127" s="47" t="s">
        <v>152</v>
      </c>
      <c r="C127" s="47" t="s">
        <v>153</v>
      </c>
      <c r="E127" s="44">
        <v>3502880</v>
      </c>
      <c r="F127" s="44"/>
      <c r="G127" s="44">
        <v>11546664</v>
      </c>
      <c r="H127" s="44"/>
      <c r="I127" s="44">
        <v>1260982</v>
      </c>
      <c r="J127" s="44"/>
      <c r="K127" s="44">
        <f>1990074+809951</f>
        <v>2800025</v>
      </c>
      <c r="L127" s="44"/>
      <c r="M127" s="44">
        <f>345944+15675390+3045109</f>
        <v>19066443</v>
      </c>
      <c r="N127" s="44"/>
      <c r="O127" s="44">
        <v>0</v>
      </c>
      <c r="P127" s="44"/>
      <c r="Q127" s="44">
        <v>3094597</v>
      </c>
      <c r="R127" s="44"/>
      <c r="S127" s="44">
        <v>413969</v>
      </c>
      <c r="T127" s="44"/>
      <c r="U127" s="44">
        <v>608749</v>
      </c>
      <c r="V127" s="44"/>
      <c r="W127" s="44">
        <v>0</v>
      </c>
      <c r="X127" s="44"/>
      <c r="Y127" s="44">
        <v>0</v>
      </c>
      <c r="Z127" s="44"/>
      <c r="AA127" s="44">
        <f t="shared" si="2"/>
        <v>25983783</v>
      </c>
      <c r="AB127" s="44"/>
      <c r="AC127" s="44">
        <f t="shared" si="3"/>
        <v>42294309</v>
      </c>
      <c r="AE127" s="44"/>
    </row>
    <row r="128" spans="1:31" s="47" customFormat="1" ht="12.75" customHeight="1">
      <c r="A128" s="47" t="s">
        <v>154</v>
      </c>
      <c r="C128" s="47" t="s">
        <v>27</v>
      </c>
      <c r="E128" s="44">
        <v>5053562</v>
      </c>
      <c r="F128" s="44"/>
      <c r="G128" s="44">
        <v>958763</v>
      </c>
      <c r="H128" s="44"/>
      <c r="I128" s="44">
        <v>520708</v>
      </c>
      <c r="J128" s="44"/>
      <c r="K128" s="44">
        <f>3069468+2697641</f>
        <v>5767109</v>
      </c>
      <c r="L128" s="44"/>
      <c r="M128" s="44">
        <v>7706650</v>
      </c>
      <c r="N128" s="44"/>
      <c r="O128" s="44">
        <v>0</v>
      </c>
      <c r="P128" s="44"/>
      <c r="Q128" s="44">
        <v>3031148</v>
      </c>
      <c r="R128" s="44"/>
      <c r="S128" s="44">
        <v>53160</v>
      </c>
      <c r="T128" s="44"/>
      <c r="U128" s="44">
        <v>38050</v>
      </c>
      <c r="V128" s="44"/>
      <c r="W128" s="44">
        <v>8626</v>
      </c>
      <c r="X128" s="44"/>
      <c r="Y128" s="44">
        <v>0</v>
      </c>
      <c r="Z128" s="44"/>
      <c r="AA128" s="44">
        <f t="shared" si="2"/>
        <v>16604743</v>
      </c>
      <c r="AB128" s="44"/>
      <c r="AC128" s="44">
        <f t="shared" si="3"/>
        <v>23137776</v>
      </c>
    </row>
    <row r="129" spans="1:29" s="47" customFormat="1" ht="12.75" customHeight="1">
      <c r="A129" s="47" t="s">
        <v>155</v>
      </c>
      <c r="C129" s="47" t="s">
        <v>40</v>
      </c>
      <c r="E129" s="44">
        <v>2584026</v>
      </c>
      <c r="F129" s="44"/>
      <c r="G129" s="44">
        <v>3744760</v>
      </c>
      <c r="H129" s="44"/>
      <c r="I129" s="44">
        <v>1972563</v>
      </c>
      <c r="J129" s="44"/>
      <c r="K129" s="44">
        <f>491466+15878</f>
        <v>507344</v>
      </c>
      <c r="L129" s="44"/>
      <c r="M129" s="44">
        <f>5618736+869730+869730+434864</f>
        <v>7793060</v>
      </c>
      <c r="N129" s="44"/>
      <c r="O129" s="44">
        <f>290271+252321+201107</f>
        <v>743699</v>
      </c>
      <c r="P129" s="44"/>
      <c r="Q129" s="44">
        <v>1179422</v>
      </c>
      <c r="R129" s="44"/>
      <c r="S129" s="44">
        <v>160394</v>
      </c>
      <c r="T129" s="44"/>
      <c r="U129" s="44">
        <f>33081+231338</f>
        <v>264419</v>
      </c>
      <c r="V129" s="44"/>
      <c r="W129" s="44">
        <v>0</v>
      </c>
      <c r="X129" s="44"/>
      <c r="Y129" s="44">
        <v>0</v>
      </c>
      <c r="Z129" s="44"/>
      <c r="AA129" s="44">
        <f t="shared" si="2"/>
        <v>10648338</v>
      </c>
      <c r="AB129" s="44"/>
      <c r="AC129" s="44">
        <f t="shared" si="3"/>
        <v>18949687</v>
      </c>
    </row>
    <row r="130" spans="1:29" s="47" customFormat="1" ht="12.75" customHeight="1">
      <c r="A130" s="47" t="s">
        <v>156</v>
      </c>
      <c r="C130" s="47" t="s">
        <v>156</v>
      </c>
      <c r="E130" s="44">
        <v>3578580</v>
      </c>
      <c r="F130" s="44"/>
      <c r="G130" s="44">
        <v>3137047</v>
      </c>
      <c r="H130" s="44"/>
      <c r="I130" s="44">
        <v>409556</v>
      </c>
      <c r="J130" s="44"/>
      <c r="K130" s="44">
        <f>1995107+209572</f>
        <v>2204679</v>
      </c>
      <c r="L130" s="44"/>
      <c r="M130" s="44">
        <f>12275009+194769+214554</f>
        <v>12684332</v>
      </c>
      <c r="N130" s="44"/>
      <c r="O130" s="44">
        <v>272225</v>
      </c>
      <c r="P130" s="44"/>
      <c r="Q130" s="44">
        <v>2339716</v>
      </c>
      <c r="R130" s="44"/>
      <c r="S130" s="44">
        <v>184976</v>
      </c>
      <c r="T130" s="44"/>
      <c r="U130" s="44">
        <v>760388</v>
      </c>
      <c r="V130" s="44"/>
      <c r="W130" s="44">
        <v>0</v>
      </c>
      <c r="X130" s="44"/>
      <c r="Y130" s="44">
        <v>0</v>
      </c>
      <c r="Z130" s="44"/>
      <c r="AA130" s="44">
        <f t="shared" si="2"/>
        <v>18446316</v>
      </c>
      <c r="AB130" s="44"/>
      <c r="AC130" s="44">
        <f t="shared" si="3"/>
        <v>25571499</v>
      </c>
    </row>
    <row r="131" spans="1:29" s="47" customFormat="1" ht="12.75" customHeight="1">
      <c r="A131" s="47" t="s">
        <v>157</v>
      </c>
      <c r="C131" s="47" t="s">
        <v>33</v>
      </c>
      <c r="E131" s="44">
        <v>1001310</v>
      </c>
      <c r="F131" s="44"/>
      <c r="G131" s="44">
        <v>537344</v>
      </c>
      <c r="H131" s="44"/>
      <c r="I131" s="44">
        <v>11150</v>
      </c>
      <c r="J131" s="44"/>
      <c r="K131" s="44">
        <f>163269+170579</f>
        <v>333848</v>
      </c>
      <c r="L131" s="44"/>
      <c r="M131" s="44">
        <v>1147412</v>
      </c>
      <c r="N131" s="44"/>
      <c r="O131" s="44">
        <v>0</v>
      </c>
      <c r="P131" s="44"/>
      <c r="Q131" s="44">
        <v>419090</v>
      </c>
      <c r="R131" s="44"/>
      <c r="S131" s="44">
        <v>25635</v>
      </c>
      <c r="T131" s="44"/>
      <c r="U131" s="44">
        <v>77631</v>
      </c>
      <c r="V131" s="44"/>
      <c r="W131" s="44">
        <v>-132777</v>
      </c>
      <c r="X131" s="44"/>
      <c r="Y131" s="44">
        <v>0</v>
      </c>
      <c r="Z131" s="44"/>
      <c r="AA131" s="44">
        <f t="shared" si="2"/>
        <v>1870839</v>
      </c>
      <c r="AB131" s="44"/>
      <c r="AC131" s="44">
        <f t="shared" si="3"/>
        <v>3420643</v>
      </c>
    </row>
    <row r="132" spans="1:29" s="47" customFormat="1" ht="12.75" customHeight="1">
      <c r="A132" s="47" t="s">
        <v>158</v>
      </c>
      <c r="C132" s="47" t="s">
        <v>159</v>
      </c>
      <c r="E132" s="44">
        <v>1790024</v>
      </c>
      <c r="F132" s="44"/>
      <c r="G132" s="44">
        <v>1010400</v>
      </c>
      <c r="H132" s="44"/>
      <c r="I132" s="44">
        <v>1427027</v>
      </c>
      <c r="J132" s="44"/>
      <c r="K132" s="44">
        <f>1627109+123807+123807</f>
        <v>1874723</v>
      </c>
      <c r="L132" s="44"/>
      <c r="M132" s="44">
        <v>8347026</v>
      </c>
      <c r="N132" s="44"/>
      <c r="O132" s="44">
        <f>120864+1022086</f>
        <v>1142950</v>
      </c>
      <c r="P132" s="44"/>
      <c r="Q132" s="44">
        <v>724478</v>
      </c>
      <c r="R132" s="44"/>
      <c r="S132" s="44">
        <v>142515</v>
      </c>
      <c r="T132" s="44"/>
      <c r="U132" s="44">
        <f>1206+576343</f>
        <v>577549</v>
      </c>
      <c r="V132" s="44"/>
      <c r="W132" s="44">
        <v>132992</v>
      </c>
      <c r="X132" s="44"/>
      <c r="Y132" s="44">
        <v>0</v>
      </c>
      <c r="Z132" s="44"/>
      <c r="AA132" s="44">
        <f t="shared" si="2"/>
        <v>12942233</v>
      </c>
      <c r="AB132" s="44"/>
      <c r="AC132" s="44">
        <f t="shared" si="3"/>
        <v>17169684</v>
      </c>
    </row>
    <row r="133" spans="1:29" s="47" customFormat="1" ht="12.75" customHeight="1">
      <c r="A133" s="47" t="s">
        <v>471</v>
      </c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8" t="s">
        <v>484</v>
      </c>
    </row>
    <row r="134" spans="1:29" s="46" customFormat="1" ht="12.75" customHeight="1">
      <c r="A134" s="46" t="s">
        <v>160</v>
      </c>
      <c r="C134" s="46" t="s">
        <v>111</v>
      </c>
      <c r="E134" s="46">
        <v>4551366</v>
      </c>
      <c r="G134" s="46">
        <v>3469094</v>
      </c>
      <c r="I134" s="46">
        <v>2060510</v>
      </c>
      <c r="K134" s="46">
        <f>1196087+3859491+1385822+509685</f>
        <v>6951085</v>
      </c>
      <c r="M134" s="46">
        <v>20749797</v>
      </c>
      <c r="O134" s="46">
        <v>0</v>
      </c>
      <c r="Q134" s="46">
        <v>2787157</v>
      </c>
      <c r="S134" s="46">
        <v>208558</v>
      </c>
      <c r="U134" s="46">
        <v>921424</v>
      </c>
      <c r="W134" s="46">
        <v>-9038489</v>
      </c>
      <c r="Y134" s="46">
        <v>0</v>
      </c>
      <c r="AA134" s="46">
        <f t="shared" si="2"/>
        <v>22579532</v>
      </c>
      <c r="AC134" s="46">
        <f t="shared" si="3"/>
        <v>32660502</v>
      </c>
    </row>
    <row r="135" spans="1:29" s="47" customFormat="1" ht="12.75" customHeight="1">
      <c r="A135" s="47" t="s">
        <v>161</v>
      </c>
      <c r="C135" s="47" t="s">
        <v>15</v>
      </c>
      <c r="E135" s="44">
        <v>4022919</v>
      </c>
      <c r="F135" s="44"/>
      <c r="G135" s="44">
        <v>2566588</v>
      </c>
      <c r="H135" s="44"/>
      <c r="I135" s="44">
        <v>4738383</v>
      </c>
      <c r="J135" s="44"/>
      <c r="K135" s="44">
        <f>1402917+308303</f>
        <v>1711220</v>
      </c>
      <c r="L135" s="44"/>
      <c r="M135" s="44">
        <f>10601681+711056+207280+1205558</f>
        <v>12725575</v>
      </c>
      <c r="N135" s="44"/>
      <c r="O135" s="44">
        <v>465315</v>
      </c>
      <c r="P135" s="44"/>
      <c r="Q135" s="44">
        <v>2104995</v>
      </c>
      <c r="R135" s="44"/>
      <c r="S135" s="44">
        <v>336463</v>
      </c>
      <c r="T135" s="44"/>
      <c r="U135" s="44">
        <v>436577</v>
      </c>
      <c r="V135" s="44"/>
      <c r="W135" s="44">
        <v>0</v>
      </c>
      <c r="X135" s="44"/>
      <c r="Y135" s="44">
        <v>0</v>
      </c>
      <c r="Z135" s="44"/>
      <c r="AA135" s="44">
        <f t="shared" si="2"/>
        <v>17780145</v>
      </c>
      <c r="AB135" s="44"/>
      <c r="AC135" s="44">
        <f t="shared" si="3"/>
        <v>29108035</v>
      </c>
    </row>
    <row r="136" spans="1:29" s="47" customFormat="1" ht="12.75" customHeight="1">
      <c r="A136" s="47" t="s">
        <v>162</v>
      </c>
      <c r="C136" s="47" t="s">
        <v>163</v>
      </c>
      <c r="E136" s="44">
        <v>3505425</v>
      </c>
      <c r="F136" s="44"/>
      <c r="G136" s="44">
        <v>1047525</v>
      </c>
      <c r="H136" s="44"/>
      <c r="I136" s="44">
        <v>1819620</v>
      </c>
      <c r="J136" s="44"/>
      <c r="K136" s="44">
        <v>3245190</v>
      </c>
      <c r="L136" s="44"/>
      <c r="M136" s="44">
        <v>13918990</v>
      </c>
      <c r="N136" s="44"/>
      <c r="O136" s="44">
        <v>0</v>
      </c>
      <c r="P136" s="44"/>
      <c r="Q136" s="44">
        <v>1163483</v>
      </c>
      <c r="R136" s="44"/>
      <c r="S136" s="44">
        <v>135797</v>
      </c>
      <c r="T136" s="44"/>
      <c r="U136" s="44">
        <v>624566</v>
      </c>
      <c r="V136" s="44"/>
      <c r="W136" s="44">
        <v>82550</v>
      </c>
      <c r="X136" s="44"/>
      <c r="Y136" s="44">
        <v>0</v>
      </c>
      <c r="Z136" s="44"/>
      <c r="AA136" s="44">
        <f t="shared" si="2"/>
        <v>19170576</v>
      </c>
      <c r="AB136" s="44"/>
      <c r="AC136" s="44">
        <f t="shared" si="3"/>
        <v>25543146</v>
      </c>
    </row>
    <row r="137" spans="1:29" s="47" customFormat="1" ht="12.75" customHeight="1">
      <c r="A137" s="47" t="s">
        <v>164</v>
      </c>
      <c r="C137" s="47" t="s">
        <v>27</v>
      </c>
      <c r="E137" s="44">
        <v>1505723</v>
      </c>
      <c r="F137" s="44"/>
      <c r="G137" s="44">
        <v>729076</v>
      </c>
      <c r="H137" s="44"/>
      <c r="I137" s="44">
        <v>71623</v>
      </c>
      <c r="J137" s="44"/>
      <c r="K137" s="44">
        <f>3438012+1441286+311958</f>
        <v>5191256</v>
      </c>
      <c r="L137" s="44"/>
      <c r="M137" s="44">
        <v>9744729</v>
      </c>
      <c r="N137" s="44"/>
      <c r="O137" s="44">
        <v>104302</v>
      </c>
      <c r="P137" s="44"/>
      <c r="Q137" s="44">
        <v>2231255</v>
      </c>
      <c r="R137" s="44"/>
      <c r="S137" s="44">
        <v>350972</v>
      </c>
      <c r="T137" s="44"/>
      <c r="U137" s="44">
        <v>169206</v>
      </c>
      <c r="V137" s="44"/>
      <c r="W137" s="44">
        <v>0</v>
      </c>
      <c r="X137" s="44"/>
      <c r="Y137" s="44">
        <v>0</v>
      </c>
      <c r="Z137" s="44"/>
      <c r="AA137" s="44">
        <f t="shared" si="2"/>
        <v>17791720</v>
      </c>
      <c r="AB137" s="44"/>
      <c r="AC137" s="44">
        <f t="shared" si="3"/>
        <v>20098142</v>
      </c>
    </row>
    <row r="138" spans="1:29" s="47" customFormat="1" ht="12.75" customHeight="1">
      <c r="A138" s="47" t="s">
        <v>53</v>
      </c>
      <c r="C138" s="47" t="s">
        <v>53</v>
      </c>
      <c r="E138" s="44">
        <v>3494100</v>
      </c>
      <c r="F138" s="44"/>
      <c r="G138" s="44">
        <v>1878093</v>
      </c>
      <c r="H138" s="44"/>
      <c r="I138" s="44">
        <v>2234402</v>
      </c>
      <c r="J138" s="44"/>
      <c r="K138" s="44">
        <f>1316586+1454802+28493</f>
        <v>2799881</v>
      </c>
      <c r="L138" s="44"/>
      <c r="M138" s="44">
        <f>2291235+8192865+909966</f>
        <v>11394066</v>
      </c>
      <c r="N138" s="44"/>
      <c r="O138" s="44">
        <v>0</v>
      </c>
      <c r="P138" s="44"/>
      <c r="Q138" s="44">
        <v>2384450</v>
      </c>
      <c r="R138" s="44"/>
      <c r="S138" s="44">
        <v>342474</v>
      </c>
      <c r="T138" s="44"/>
      <c r="U138" s="44">
        <v>245336</v>
      </c>
      <c r="V138" s="44"/>
      <c r="W138" s="44">
        <v>0</v>
      </c>
      <c r="X138" s="44"/>
      <c r="Y138" s="44">
        <v>0</v>
      </c>
      <c r="Z138" s="44"/>
      <c r="AA138" s="44">
        <f t="shared" si="2"/>
        <v>17166207</v>
      </c>
      <c r="AB138" s="44"/>
      <c r="AC138" s="44">
        <f t="shared" si="3"/>
        <v>24772802</v>
      </c>
    </row>
    <row r="139" spans="1:29" s="47" customFormat="1" ht="12.75" customHeight="1">
      <c r="A139" s="47" t="s">
        <v>165</v>
      </c>
      <c r="C139" s="47" t="s">
        <v>92</v>
      </c>
      <c r="E139" s="44">
        <v>9577077</v>
      </c>
      <c r="F139" s="44"/>
      <c r="G139" s="44">
        <v>899216</v>
      </c>
      <c r="H139" s="44"/>
      <c r="I139" s="44">
        <v>1011284</v>
      </c>
      <c r="J139" s="44"/>
      <c r="K139" s="44">
        <f>1784878+2165635+2018418</f>
        <v>5968931</v>
      </c>
      <c r="L139" s="44"/>
      <c r="M139" s="44">
        <v>29690527</v>
      </c>
      <c r="N139" s="44"/>
      <c r="O139" s="44">
        <f>443167+232416</f>
        <v>675583</v>
      </c>
      <c r="P139" s="44"/>
      <c r="Q139" s="44">
        <v>6872454</v>
      </c>
      <c r="R139" s="44"/>
      <c r="S139" s="44">
        <v>1002111</v>
      </c>
      <c r="T139" s="44"/>
      <c r="U139" s="44">
        <v>23966</v>
      </c>
      <c r="V139" s="44"/>
      <c r="W139" s="44">
        <v>0</v>
      </c>
      <c r="X139" s="44"/>
      <c r="Y139" s="44">
        <v>0</v>
      </c>
      <c r="Z139" s="44"/>
      <c r="AA139" s="44">
        <f t="shared" si="2"/>
        <v>44233572</v>
      </c>
      <c r="AB139" s="44"/>
      <c r="AC139" s="44">
        <f t="shared" si="3"/>
        <v>55721149</v>
      </c>
    </row>
    <row r="140" spans="1:29" s="47" customFormat="1" ht="12.75" customHeight="1">
      <c r="A140" s="47" t="s">
        <v>166</v>
      </c>
      <c r="C140" s="47" t="s">
        <v>92</v>
      </c>
      <c r="E140" s="44">
        <v>496688</v>
      </c>
      <c r="F140" s="44"/>
      <c r="G140" s="44">
        <v>307370</v>
      </c>
      <c r="H140" s="44"/>
      <c r="I140" s="44">
        <v>643674</v>
      </c>
      <c r="J140" s="44"/>
      <c r="K140" s="44">
        <f>365822+539+1329758</f>
        <v>1696119</v>
      </c>
      <c r="L140" s="44"/>
      <c r="M140" s="44">
        <v>818833</v>
      </c>
      <c r="N140" s="44"/>
      <c r="O140" s="44">
        <v>0</v>
      </c>
      <c r="P140" s="44"/>
      <c r="Q140" s="44">
        <v>739660</v>
      </c>
      <c r="R140" s="44"/>
      <c r="S140" s="44">
        <v>3432</v>
      </c>
      <c r="T140" s="44"/>
      <c r="U140" s="44">
        <v>17957</v>
      </c>
      <c r="V140" s="44"/>
      <c r="W140" s="44">
        <v>0</v>
      </c>
      <c r="X140" s="44"/>
      <c r="Y140" s="44">
        <v>0</v>
      </c>
      <c r="Z140" s="44"/>
      <c r="AA140" s="44">
        <f t="shared" si="2"/>
        <v>3276001</v>
      </c>
      <c r="AB140" s="44"/>
      <c r="AC140" s="44">
        <f t="shared" si="3"/>
        <v>4723733</v>
      </c>
    </row>
    <row r="141" spans="1:29" s="47" customFormat="1" ht="12.75" customHeight="1">
      <c r="A141" s="47" t="s">
        <v>167</v>
      </c>
      <c r="C141" s="47" t="s">
        <v>66</v>
      </c>
      <c r="E141" s="44">
        <v>4380712</v>
      </c>
      <c r="F141" s="44"/>
      <c r="G141" s="44">
        <v>1390968</v>
      </c>
      <c r="H141" s="44"/>
      <c r="I141" s="44">
        <v>178237</v>
      </c>
      <c r="J141" s="44"/>
      <c r="K141" s="44">
        <f>7522016+1220828</f>
        <v>8742844</v>
      </c>
      <c r="L141" s="44"/>
      <c r="M141" s="44">
        <f>1504078+50929+708713+235057</f>
        <v>2498777</v>
      </c>
      <c r="N141" s="44"/>
      <c r="O141" s="44">
        <v>0</v>
      </c>
      <c r="P141" s="44"/>
      <c r="Q141" s="44">
        <v>2012500</v>
      </c>
      <c r="R141" s="44"/>
      <c r="S141" s="44">
        <v>280973</v>
      </c>
      <c r="T141" s="44"/>
      <c r="U141" s="44">
        <v>586051</v>
      </c>
      <c r="V141" s="44"/>
      <c r="W141" s="44">
        <v>-3904</v>
      </c>
      <c r="X141" s="44"/>
      <c r="Y141" s="44">
        <v>0</v>
      </c>
      <c r="Z141" s="44"/>
      <c r="AA141" s="44">
        <f t="shared" si="2"/>
        <v>14117241</v>
      </c>
      <c r="AB141" s="44"/>
      <c r="AC141" s="44">
        <f t="shared" si="3"/>
        <v>20067158</v>
      </c>
    </row>
    <row r="142" spans="1:29" s="47" customFormat="1" ht="12.75" customHeight="1">
      <c r="A142" s="44" t="s">
        <v>168</v>
      </c>
      <c r="C142" s="44" t="s">
        <v>27</v>
      </c>
      <c r="D142" s="44"/>
      <c r="E142" s="44">
        <v>2636140</v>
      </c>
      <c r="F142" s="44"/>
      <c r="G142" s="44">
        <v>849270</v>
      </c>
      <c r="H142" s="44"/>
      <c r="I142" s="44">
        <v>7258633</v>
      </c>
      <c r="J142" s="44"/>
      <c r="K142" s="44">
        <f>1983876+447616+298410+156133</f>
        <v>2886035</v>
      </c>
      <c r="L142" s="44"/>
      <c r="M142" s="44">
        <f>11039967+1520127+1591301+1520723</f>
        <v>15672118</v>
      </c>
      <c r="N142" s="44"/>
      <c r="O142" s="44">
        <v>0</v>
      </c>
      <c r="P142" s="44"/>
      <c r="Q142" s="44">
        <v>3552070</v>
      </c>
      <c r="R142" s="44"/>
      <c r="S142" s="44">
        <v>97034</v>
      </c>
      <c r="T142" s="44"/>
      <c r="U142" s="44">
        <v>405359</v>
      </c>
      <c r="V142" s="44"/>
      <c r="W142" s="44">
        <v>0</v>
      </c>
      <c r="X142" s="44"/>
      <c r="Y142" s="44">
        <v>0</v>
      </c>
      <c r="Z142" s="44"/>
      <c r="AA142" s="44">
        <f t="shared" si="2"/>
        <v>22612616</v>
      </c>
      <c r="AB142" s="44"/>
      <c r="AC142" s="44">
        <f t="shared" si="3"/>
        <v>33356659</v>
      </c>
    </row>
    <row r="143" spans="1:29" s="47" customFormat="1" ht="12.75" customHeight="1">
      <c r="A143" s="47" t="s">
        <v>169</v>
      </c>
      <c r="C143" s="47" t="s">
        <v>103</v>
      </c>
      <c r="E143" s="44">
        <v>7054414</v>
      </c>
      <c r="F143" s="44"/>
      <c r="G143" s="44">
        <v>14555345</v>
      </c>
      <c r="H143" s="44"/>
      <c r="I143" s="44">
        <v>7087634</v>
      </c>
      <c r="J143" s="44"/>
      <c r="K143" s="44">
        <v>4533387</v>
      </c>
      <c r="L143" s="44"/>
      <c r="M143" s="44">
        <v>18942213</v>
      </c>
      <c r="N143" s="44"/>
      <c r="O143" s="44">
        <f>2427092+927584</f>
        <v>3354676</v>
      </c>
      <c r="P143" s="44"/>
      <c r="Q143" s="44">
        <v>3666479</v>
      </c>
      <c r="R143" s="44"/>
      <c r="S143" s="44">
        <v>-150814</v>
      </c>
      <c r="T143" s="44"/>
      <c r="U143" s="44">
        <v>894958</v>
      </c>
      <c r="V143" s="44"/>
      <c r="W143" s="44">
        <v>58138</v>
      </c>
      <c r="X143" s="44"/>
      <c r="Y143" s="44">
        <v>0</v>
      </c>
      <c r="Z143" s="44"/>
      <c r="AA143" s="44">
        <f t="shared" si="2"/>
        <v>31299037</v>
      </c>
      <c r="AB143" s="44"/>
      <c r="AC143" s="44">
        <f t="shared" si="3"/>
        <v>59996430</v>
      </c>
    </row>
    <row r="144" spans="1:29" s="47" customFormat="1" ht="12.75" customHeight="1">
      <c r="A144" s="47" t="s">
        <v>170</v>
      </c>
      <c r="C144" s="47" t="s">
        <v>171</v>
      </c>
      <c r="E144" s="44">
        <v>349494</v>
      </c>
      <c r="F144" s="44"/>
      <c r="G144" s="44">
        <v>382504</v>
      </c>
      <c r="H144" s="44"/>
      <c r="I144" s="44">
        <v>0</v>
      </c>
      <c r="J144" s="44"/>
      <c r="K144" s="44">
        <v>2054820</v>
      </c>
      <c r="L144" s="44"/>
      <c r="M144" s="44">
        <v>2657976</v>
      </c>
      <c r="N144" s="44"/>
      <c r="O144" s="44">
        <f>287335+87491+117808+126838+586176+78841</f>
        <v>1284489</v>
      </c>
      <c r="P144" s="44"/>
      <c r="Q144" s="44">
        <v>938898</v>
      </c>
      <c r="R144" s="44"/>
      <c r="S144" s="44">
        <v>55900</v>
      </c>
      <c r="T144" s="44"/>
      <c r="U144" s="44">
        <v>113776</v>
      </c>
      <c r="V144" s="44"/>
      <c r="W144" s="44">
        <v>0</v>
      </c>
      <c r="X144" s="44"/>
      <c r="Y144" s="44">
        <v>0</v>
      </c>
      <c r="Z144" s="44"/>
      <c r="AA144" s="44">
        <f t="shared" si="2"/>
        <v>7105859</v>
      </c>
      <c r="AB144" s="44"/>
      <c r="AC144" s="44">
        <f t="shared" si="3"/>
        <v>7837857</v>
      </c>
    </row>
    <row r="145" spans="1:29" s="47" customFormat="1" ht="12.75" customHeight="1">
      <c r="A145" s="47" t="s">
        <v>172</v>
      </c>
      <c r="C145" s="47" t="s">
        <v>103</v>
      </c>
      <c r="E145" s="44">
        <v>2317453</v>
      </c>
      <c r="F145" s="44"/>
      <c r="G145" s="44">
        <v>684139</v>
      </c>
      <c r="H145" s="44"/>
      <c r="I145" s="44">
        <v>3675130</v>
      </c>
      <c r="J145" s="44"/>
      <c r="K145" s="44">
        <v>1146468</v>
      </c>
      <c r="L145" s="44"/>
      <c r="M145" s="44">
        <v>5809473</v>
      </c>
      <c r="N145" s="44"/>
      <c r="O145" s="44">
        <f>153432+137095+58693+2005204+93120</f>
        <v>2447544</v>
      </c>
      <c r="P145" s="44"/>
      <c r="Q145" s="44">
        <v>956818</v>
      </c>
      <c r="R145" s="44"/>
      <c r="S145" s="44">
        <v>209864</v>
      </c>
      <c r="T145" s="44"/>
      <c r="U145" s="44">
        <v>60477</v>
      </c>
      <c r="V145" s="44"/>
      <c r="W145" s="44">
        <v>0</v>
      </c>
      <c r="X145" s="44"/>
      <c r="Y145" s="44">
        <v>0</v>
      </c>
      <c r="Z145" s="44"/>
      <c r="AA145" s="44">
        <f t="shared" si="2"/>
        <v>10630644</v>
      </c>
      <c r="AB145" s="44"/>
      <c r="AC145" s="44">
        <f t="shared" si="3"/>
        <v>17307366</v>
      </c>
    </row>
    <row r="146" spans="1:29" s="47" customFormat="1" ht="12.75" customHeight="1">
      <c r="A146" s="47" t="s">
        <v>66</v>
      </c>
      <c r="C146" s="47" t="s">
        <v>45</v>
      </c>
      <c r="E146" s="44">
        <v>973252</v>
      </c>
      <c r="F146" s="44"/>
      <c r="G146" s="44">
        <v>525090</v>
      </c>
      <c r="H146" s="44"/>
      <c r="I146" s="44">
        <v>83050</v>
      </c>
      <c r="J146" s="44"/>
      <c r="K146" s="44">
        <v>4822909</v>
      </c>
      <c r="L146" s="44"/>
      <c r="M146" s="44">
        <v>6732726</v>
      </c>
      <c r="N146" s="44"/>
      <c r="O146" s="44">
        <v>2208468</v>
      </c>
      <c r="P146" s="44"/>
      <c r="Q146" s="44">
        <v>667723</v>
      </c>
      <c r="R146" s="44"/>
      <c r="S146" s="44">
        <v>197009</v>
      </c>
      <c r="T146" s="44"/>
      <c r="U146" s="44">
        <v>274536</v>
      </c>
      <c r="V146" s="44"/>
      <c r="W146" s="44">
        <v>0</v>
      </c>
      <c r="X146" s="44"/>
      <c r="Y146" s="44">
        <v>0</v>
      </c>
      <c r="Z146" s="44"/>
      <c r="AA146" s="44">
        <f>SUM(K146:Y146)</f>
        <v>14903371</v>
      </c>
      <c r="AB146" s="44"/>
      <c r="AC146" s="44">
        <f t="shared" si="3"/>
        <v>16484763</v>
      </c>
    </row>
    <row r="147" spans="1:29" s="47" customFormat="1" ht="12.75" customHeight="1">
      <c r="A147" s="47" t="s">
        <v>173</v>
      </c>
      <c r="C147" s="47" t="s">
        <v>66</v>
      </c>
      <c r="E147" s="44">
        <v>1455421</v>
      </c>
      <c r="F147" s="44"/>
      <c r="G147" s="44">
        <v>200121</v>
      </c>
      <c r="H147" s="44"/>
      <c r="I147" s="44">
        <v>784271</v>
      </c>
      <c r="J147" s="44"/>
      <c r="K147" s="44">
        <f>344923+64387+64387</f>
        <v>473697</v>
      </c>
      <c r="L147" s="44"/>
      <c r="M147" s="44">
        <v>11817442</v>
      </c>
      <c r="N147" s="44"/>
      <c r="O147" s="44">
        <v>10876</v>
      </c>
      <c r="P147" s="44"/>
      <c r="Q147" s="44">
        <f>712879+259555</f>
        <v>972434</v>
      </c>
      <c r="R147" s="44"/>
      <c r="S147" s="44">
        <v>960468</v>
      </c>
      <c r="T147" s="44"/>
      <c r="U147" s="44">
        <f>1966599+13158</f>
        <v>1979757</v>
      </c>
      <c r="V147" s="44"/>
      <c r="W147" s="44">
        <v>0</v>
      </c>
      <c r="X147" s="44"/>
      <c r="Y147" s="44">
        <v>0</v>
      </c>
      <c r="Z147" s="44"/>
      <c r="AA147" s="44">
        <f t="shared" ref="AA147:AA213" si="4">SUM(K147:Y147)</f>
        <v>16214674</v>
      </c>
      <c r="AB147" s="44"/>
      <c r="AC147" s="44">
        <f t="shared" ref="AC147:AC213" si="5">SUM(E147:Y147)</f>
        <v>18654487</v>
      </c>
    </row>
    <row r="148" spans="1:29" s="47" customFormat="1" ht="12.75" customHeight="1">
      <c r="A148" s="47" t="s">
        <v>174</v>
      </c>
      <c r="C148" s="47" t="s">
        <v>45</v>
      </c>
      <c r="E148" s="44">
        <v>1085561</v>
      </c>
      <c r="F148" s="44"/>
      <c r="G148" s="44">
        <v>370261</v>
      </c>
      <c r="H148" s="44"/>
      <c r="I148" s="44">
        <v>676656</v>
      </c>
      <c r="J148" s="44"/>
      <c r="K148" s="44">
        <f>366623+81801+403042</f>
        <v>851466</v>
      </c>
      <c r="L148" s="44"/>
      <c r="M148" s="44">
        <v>1418511</v>
      </c>
      <c r="N148" s="44"/>
      <c r="O148" s="44">
        <v>61621</v>
      </c>
      <c r="P148" s="44"/>
      <c r="Q148" s="44">
        <v>190381</v>
      </c>
      <c r="R148" s="44"/>
      <c r="S148" s="44">
        <v>361</v>
      </c>
      <c r="T148" s="44"/>
      <c r="U148" s="44">
        <v>142318</v>
      </c>
      <c r="V148" s="44"/>
      <c r="W148" s="44">
        <v>0</v>
      </c>
      <c r="X148" s="44"/>
      <c r="Y148" s="44">
        <v>0</v>
      </c>
      <c r="Z148" s="44"/>
      <c r="AA148" s="44">
        <f t="shared" si="4"/>
        <v>2664658</v>
      </c>
      <c r="AB148" s="44"/>
      <c r="AC148" s="44">
        <f t="shared" si="5"/>
        <v>4797136</v>
      </c>
    </row>
    <row r="149" spans="1:29" s="47" customFormat="1" ht="12.75" customHeight="1">
      <c r="A149" s="47" t="s">
        <v>175</v>
      </c>
      <c r="C149" s="47" t="s">
        <v>176</v>
      </c>
      <c r="E149" s="44">
        <v>2295109</v>
      </c>
      <c r="F149" s="44"/>
      <c r="G149" s="44">
        <v>2336173</v>
      </c>
      <c r="H149" s="44"/>
      <c r="I149" s="44">
        <v>854233</v>
      </c>
      <c r="J149" s="44"/>
      <c r="K149" s="44">
        <f>682820+175254+1263314</f>
        <v>2121388</v>
      </c>
      <c r="L149" s="44"/>
      <c r="M149" s="44">
        <v>9383772</v>
      </c>
      <c r="N149" s="44"/>
      <c r="O149" s="44">
        <v>94493</v>
      </c>
      <c r="P149" s="44"/>
      <c r="Q149" s="44">
        <v>992167</v>
      </c>
      <c r="R149" s="44"/>
      <c r="S149" s="44">
        <v>190437</v>
      </c>
      <c r="T149" s="44"/>
      <c r="U149" s="44">
        <v>152110</v>
      </c>
      <c r="V149" s="44"/>
      <c r="W149" s="44">
        <v>0</v>
      </c>
      <c r="X149" s="44"/>
      <c r="Y149" s="44">
        <v>0</v>
      </c>
      <c r="Z149" s="44"/>
      <c r="AA149" s="44">
        <f t="shared" si="4"/>
        <v>12934367</v>
      </c>
      <c r="AB149" s="44"/>
      <c r="AC149" s="44">
        <f t="shared" si="5"/>
        <v>18419882</v>
      </c>
    </row>
    <row r="150" spans="1:29" s="47" customFormat="1" ht="12.75" customHeight="1">
      <c r="A150" s="47" t="s">
        <v>177</v>
      </c>
      <c r="C150" s="47" t="s">
        <v>13</v>
      </c>
      <c r="E150" s="44">
        <v>282188</v>
      </c>
      <c r="F150" s="44"/>
      <c r="G150" s="44">
        <v>324486</v>
      </c>
      <c r="H150" s="44"/>
      <c r="I150" s="44">
        <v>94431</v>
      </c>
      <c r="J150" s="44"/>
      <c r="K150" s="44">
        <f>255636+158978+180173+189834</f>
        <v>784621</v>
      </c>
      <c r="L150" s="44"/>
      <c r="M150" s="44">
        <f>843588+116997</f>
        <v>960585</v>
      </c>
      <c r="N150" s="44"/>
      <c r="O150" s="44">
        <v>0</v>
      </c>
      <c r="P150" s="44"/>
      <c r="Q150" s="44">
        <v>406272</v>
      </c>
      <c r="R150" s="44"/>
      <c r="S150" s="44">
        <v>88947</v>
      </c>
      <c r="T150" s="44"/>
      <c r="U150" s="44">
        <v>143680</v>
      </c>
      <c r="V150" s="44"/>
      <c r="W150" s="44">
        <v>553</v>
      </c>
      <c r="X150" s="44"/>
      <c r="Y150" s="44">
        <v>0</v>
      </c>
      <c r="Z150" s="44"/>
      <c r="AA150" s="44">
        <f t="shared" si="4"/>
        <v>2384658</v>
      </c>
      <c r="AB150" s="44"/>
      <c r="AC150" s="44">
        <f t="shared" si="5"/>
        <v>3085763</v>
      </c>
    </row>
    <row r="151" spans="1:29" s="47" customFormat="1" ht="12.75" customHeight="1">
      <c r="A151" s="47" t="s">
        <v>178</v>
      </c>
      <c r="C151" s="47" t="s">
        <v>179</v>
      </c>
      <c r="E151" s="44">
        <v>1505922</v>
      </c>
      <c r="F151" s="44"/>
      <c r="G151" s="44">
        <v>618192</v>
      </c>
      <c r="H151" s="44"/>
      <c r="I151" s="44">
        <v>154816</v>
      </c>
      <c r="J151" s="44"/>
      <c r="K151" s="44">
        <v>146252</v>
      </c>
      <c r="L151" s="44"/>
      <c r="M151" s="44">
        <v>2361108</v>
      </c>
      <c r="N151" s="44"/>
      <c r="O151" s="44">
        <v>493053</v>
      </c>
      <c r="P151" s="44"/>
      <c r="Q151" s="44">
        <v>788511</v>
      </c>
      <c r="R151" s="44"/>
      <c r="S151" s="44">
        <v>202278</v>
      </c>
      <c r="T151" s="44"/>
      <c r="U151" s="44">
        <v>485517</v>
      </c>
      <c r="V151" s="44"/>
      <c r="W151" s="44">
        <v>1913007</v>
      </c>
      <c r="X151" s="44"/>
      <c r="Y151" s="44">
        <v>0</v>
      </c>
      <c r="Z151" s="44"/>
      <c r="AA151" s="44">
        <f t="shared" si="4"/>
        <v>6389726</v>
      </c>
      <c r="AB151" s="44"/>
      <c r="AC151" s="44">
        <f t="shared" si="5"/>
        <v>8668656</v>
      </c>
    </row>
    <row r="152" spans="1:29" s="47" customFormat="1" ht="12.75" customHeight="1">
      <c r="A152" s="47" t="s">
        <v>180</v>
      </c>
      <c r="C152" s="47" t="s">
        <v>20</v>
      </c>
      <c r="E152" s="44">
        <v>187352</v>
      </c>
      <c r="F152" s="44"/>
      <c r="G152" s="44">
        <v>195927</v>
      </c>
      <c r="H152" s="44"/>
      <c r="I152" s="44">
        <v>988083</v>
      </c>
      <c r="J152" s="44"/>
      <c r="K152" s="44">
        <f>173517+165765+3865+18170</f>
        <v>361317</v>
      </c>
      <c r="L152" s="44"/>
      <c r="M152" s="44">
        <f>1156831+235201+255725</f>
        <v>1647757</v>
      </c>
      <c r="N152" s="44"/>
      <c r="O152" s="44">
        <v>0</v>
      </c>
      <c r="P152" s="44"/>
      <c r="Q152" s="44">
        <v>173354</v>
      </c>
      <c r="R152" s="44"/>
      <c r="S152" s="44">
        <v>159192</v>
      </c>
      <c r="T152" s="44"/>
      <c r="U152" s="44">
        <v>72745</v>
      </c>
      <c r="V152" s="44"/>
      <c r="W152" s="44">
        <v>0</v>
      </c>
      <c r="X152" s="44"/>
      <c r="Y152" s="44">
        <v>0</v>
      </c>
      <c r="Z152" s="44"/>
      <c r="AA152" s="44">
        <f t="shared" si="4"/>
        <v>2414365</v>
      </c>
      <c r="AB152" s="44"/>
      <c r="AC152" s="44">
        <f t="shared" si="5"/>
        <v>3785727</v>
      </c>
    </row>
    <row r="153" spans="1:29" s="47" customFormat="1" ht="12.75" customHeight="1">
      <c r="A153" s="47" t="s">
        <v>182</v>
      </c>
      <c r="C153" s="47" t="s">
        <v>183</v>
      </c>
      <c r="E153" s="44">
        <v>728927</v>
      </c>
      <c r="F153" s="44"/>
      <c r="G153" s="44">
        <v>419312</v>
      </c>
      <c r="H153" s="44"/>
      <c r="I153" s="44">
        <v>550607</v>
      </c>
      <c r="J153" s="44"/>
      <c r="K153" s="44">
        <v>530757</v>
      </c>
      <c r="L153" s="44"/>
      <c r="M153" s="44">
        <v>834521</v>
      </c>
      <c r="N153" s="44"/>
      <c r="O153" s="44">
        <f>96843+41459</f>
        <v>138302</v>
      </c>
      <c r="P153" s="44"/>
      <c r="Q153" s="44">
        <v>118121</v>
      </c>
      <c r="R153" s="44"/>
      <c r="S153" s="44">
        <v>0</v>
      </c>
      <c r="T153" s="44"/>
      <c r="U153" s="44">
        <v>146912</v>
      </c>
      <c r="V153" s="44"/>
      <c r="W153" s="44">
        <v>-32000</v>
      </c>
      <c r="X153" s="44"/>
      <c r="Y153" s="44">
        <v>0</v>
      </c>
      <c r="Z153" s="44"/>
      <c r="AA153" s="44">
        <f t="shared" si="4"/>
        <v>1736613</v>
      </c>
      <c r="AB153" s="44"/>
      <c r="AC153" s="44">
        <f t="shared" si="5"/>
        <v>3435459</v>
      </c>
    </row>
    <row r="154" spans="1:29" s="47" customFormat="1" ht="12.75" customHeight="1">
      <c r="A154" s="47" t="s">
        <v>487</v>
      </c>
      <c r="C154" s="47" t="s">
        <v>13</v>
      </c>
      <c r="E154" s="44">
        <v>548004</v>
      </c>
      <c r="F154" s="44"/>
      <c r="G154" s="44">
        <v>1265910</v>
      </c>
      <c r="H154" s="44"/>
      <c r="I154" s="44">
        <v>0</v>
      </c>
      <c r="J154" s="44"/>
      <c r="K154" s="44">
        <f>155309+381210+2376138</f>
        <v>2912657</v>
      </c>
      <c r="L154" s="44"/>
      <c r="M154" s="44">
        <f>689901+39413</f>
        <v>729314</v>
      </c>
      <c r="N154" s="44"/>
      <c r="O154" s="44">
        <v>0</v>
      </c>
      <c r="P154" s="44"/>
      <c r="Q154" s="44">
        <v>1571064</v>
      </c>
      <c r="R154" s="44"/>
      <c r="S154" s="44">
        <v>294</v>
      </c>
      <c r="T154" s="44"/>
      <c r="U154" s="44">
        <v>28926</v>
      </c>
      <c r="V154" s="44"/>
      <c r="W154" s="44">
        <v>0</v>
      </c>
      <c r="X154" s="44"/>
      <c r="Y154" s="44">
        <v>0</v>
      </c>
      <c r="Z154" s="44"/>
      <c r="AA154" s="44">
        <f>SUM(K154:Y154)</f>
        <v>5242255</v>
      </c>
      <c r="AB154" s="44"/>
      <c r="AC154" s="44">
        <f>SUM(E154:Y154)</f>
        <v>7056169</v>
      </c>
    </row>
    <row r="155" spans="1:29" s="47" customFormat="1" ht="12.75" customHeight="1">
      <c r="A155" s="47" t="s">
        <v>184</v>
      </c>
      <c r="C155" s="47" t="s">
        <v>89</v>
      </c>
      <c r="E155" s="44">
        <v>1870684</v>
      </c>
      <c r="F155" s="44"/>
      <c r="G155" s="44">
        <v>1150334</v>
      </c>
      <c r="H155" s="44"/>
      <c r="I155" s="44">
        <v>535914</v>
      </c>
      <c r="J155" s="44"/>
      <c r="K155" s="44">
        <f>953749+179042</f>
        <v>1132791</v>
      </c>
      <c r="L155" s="44"/>
      <c r="M155" s="44">
        <f>1803391+2004249+709900+1394556</f>
        <v>5912096</v>
      </c>
      <c r="N155" s="44"/>
      <c r="O155" s="44">
        <v>6263</v>
      </c>
      <c r="P155" s="44"/>
      <c r="Q155" s="44">
        <v>1670336</v>
      </c>
      <c r="R155" s="44"/>
      <c r="S155" s="44">
        <v>17120</v>
      </c>
      <c r="T155" s="44"/>
      <c r="U155" s="44">
        <v>159441</v>
      </c>
      <c r="V155" s="44"/>
      <c r="W155" s="44">
        <v>-3248</v>
      </c>
      <c r="X155" s="44"/>
      <c r="Y155" s="44">
        <v>0</v>
      </c>
      <c r="Z155" s="44"/>
      <c r="AA155" s="44">
        <f t="shared" si="4"/>
        <v>8894799</v>
      </c>
      <c r="AB155" s="44"/>
      <c r="AC155" s="44">
        <f t="shared" si="5"/>
        <v>12451731</v>
      </c>
    </row>
    <row r="156" spans="1:29" s="47" customFormat="1" ht="12.75" customHeight="1">
      <c r="A156" s="47" t="s">
        <v>181</v>
      </c>
      <c r="C156" s="47" t="s">
        <v>125</v>
      </c>
      <c r="E156" s="44">
        <v>5425370</v>
      </c>
      <c r="F156" s="44"/>
      <c r="G156" s="44">
        <v>5488390</v>
      </c>
      <c r="H156" s="44"/>
      <c r="I156" s="44">
        <v>184019</v>
      </c>
      <c r="J156" s="44"/>
      <c r="K156" s="44">
        <f>2150345+427084+251214</f>
        <v>2828643</v>
      </c>
      <c r="L156" s="44"/>
      <c r="M156" s="44">
        <v>18845278</v>
      </c>
      <c r="N156" s="44"/>
      <c r="O156" s="44">
        <v>358197</v>
      </c>
      <c r="P156" s="44"/>
      <c r="Q156" s="44">
        <v>4214287</v>
      </c>
      <c r="R156" s="44"/>
      <c r="S156" s="44">
        <v>369406</v>
      </c>
      <c r="T156" s="44"/>
      <c r="U156" s="44">
        <v>1134938</v>
      </c>
      <c r="V156" s="44"/>
      <c r="W156" s="44">
        <v>938020</v>
      </c>
      <c r="X156" s="44"/>
      <c r="Y156" s="44">
        <v>0</v>
      </c>
      <c r="Z156" s="44"/>
      <c r="AA156" s="44">
        <f t="shared" ref="AA156" si="6">SUM(K156:Y156)</f>
        <v>28688769</v>
      </c>
      <c r="AB156" s="44"/>
      <c r="AC156" s="44">
        <f t="shared" si="5"/>
        <v>39786548</v>
      </c>
    </row>
    <row r="157" spans="1:29" s="47" customFormat="1" ht="12.75" customHeight="1">
      <c r="A157" s="47" t="s">
        <v>185</v>
      </c>
      <c r="C157" s="47" t="s">
        <v>80</v>
      </c>
      <c r="E157" s="44">
        <v>2460189</v>
      </c>
      <c r="F157" s="44"/>
      <c r="G157" s="44">
        <v>1306597</v>
      </c>
      <c r="H157" s="44"/>
      <c r="I157" s="44">
        <v>0</v>
      </c>
      <c r="J157" s="44"/>
      <c r="K157" s="44">
        <f>3809217+1833241</f>
        <v>5642458</v>
      </c>
      <c r="L157" s="44"/>
      <c r="M157" s="44">
        <f>1560958+345698</f>
        <v>1906656</v>
      </c>
      <c r="N157" s="44"/>
      <c r="O157" s="44">
        <v>0</v>
      </c>
      <c r="P157" s="44"/>
      <c r="Q157" s="44">
        <v>601527</v>
      </c>
      <c r="R157" s="44"/>
      <c r="S157" s="44">
        <v>0</v>
      </c>
      <c r="T157" s="44"/>
      <c r="U157" s="44">
        <f>40204+246242</f>
        <v>286446</v>
      </c>
      <c r="V157" s="44"/>
      <c r="W157" s="44">
        <v>0</v>
      </c>
      <c r="X157" s="44"/>
      <c r="Y157" s="44">
        <v>0</v>
      </c>
      <c r="Z157" s="44"/>
      <c r="AA157" s="44">
        <f t="shared" si="4"/>
        <v>8437087</v>
      </c>
      <c r="AB157" s="44"/>
      <c r="AC157" s="44">
        <f t="shared" si="5"/>
        <v>12203873</v>
      </c>
    </row>
    <row r="158" spans="1:29" s="47" customFormat="1" ht="12.75" customHeight="1">
      <c r="A158" s="47" t="s">
        <v>186</v>
      </c>
      <c r="C158" s="47" t="s">
        <v>15</v>
      </c>
      <c r="E158" s="44">
        <v>1322983</v>
      </c>
      <c r="F158" s="44"/>
      <c r="G158" s="44">
        <v>1137428</v>
      </c>
      <c r="H158" s="44"/>
      <c r="I158" s="44">
        <v>4689324</v>
      </c>
      <c r="J158" s="44"/>
      <c r="K158" s="44">
        <f>797287+82972+148236+323509+323509</f>
        <v>1675513</v>
      </c>
      <c r="L158" s="44"/>
      <c r="M158" s="44">
        <f>4331485+1166334</f>
        <v>5497819</v>
      </c>
      <c r="N158" s="44"/>
      <c r="O158" s="44">
        <v>0</v>
      </c>
      <c r="P158" s="44"/>
      <c r="Q158" s="44">
        <v>1418091</v>
      </c>
      <c r="R158" s="44"/>
      <c r="S158" s="44">
        <v>23936</v>
      </c>
      <c r="T158" s="44"/>
      <c r="U158" s="44">
        <v>35012</v>
      </c>
      <c r="V158" s="44"/>
      <c r="W158" s="44">
        <v>-147331</v>
      </c>
      <c r="X158" s="44"/>
      <c r="Y158" s="44">
        <v>0</v>
      </c>
      <c r="Z158" s="44"/>
      <c r="AA158" s="44">
        <f t="shared" si="4"/>
        <v>8503040</v>
      </c>
      <c r="AB158" s="44"/>
      <c r="AC158" s="44">
        <f t="shared" si="5"/>
        <v>15652775</v>
      </c>
    </row>
    <row r="159" spans="1:29" s="44" customFormat="1" ht="12.75" customHeight="1">
      <c r="A159" s="44" t="s">
        <v>187</v>
      </c>
      <c r="C159" s="44" t="s">
        <v>27</v>
      </c>
      <c r="E159" s="44">
        <v>3821114</v>
      </c>
      <c r="G159" s="44">
        <v>1696873</v>
      </c>
      <c r="I159" s="44">
        <v>800379</v>
      </c>
      <c r="K159" s="44">
        <f>5445332+980005+245060+258119+4092185</f>
        <v>11020701</v>
      </c>
      <c r="M159" s="44">
        <f>8568516+1835437+1835437</f>
        <v>12239390</v>
      </c>
      <c r="O159" s="44">
        <v>0</v>
      </c>
      <c r="Q159" s="44">
        <v>3462553</v>
      </c>
      <c r="S159" s="44">
        <v>84227</v>
      </c>
      <c r="U159" s="44">
        <v>23747</v>
      </c>
      <c r="W159" s="44">
        <v>-27781</v>
      </c>
      <c r="Y159" s="44">
        <v>0</v>
      </c>
      <c r="AA159" s="44">
        <f t="shared" si="4"/>
        <v>26802837</v>
      </c>
      <c r="AC159" s="44">
        <f t="shared" si="5"/>
        <v>33121203</v>
      </c>
    </row>
    <row r="160" spans="1:29" s="47" customFormat="1" ht="12.75" customHeight="1">
      <c r="A160" s="47" t="s">
        <v>189</v>
      </c>
      <c r="C160" s="47" t="s">
        <v>17</v>
      </c>
      <c r="E160" s="44">
        <v>4576813</v>
      </c>
      <c r="F160" s="44"/>
      <c r="G160" s="44">
        <v>2258787</v>
      </c>
      <c r="H160" s="44"/>
      <c r="I160" s="44">
        <v>1870334</v>
      </c>
      <c r="J160" s="44"/>
      <c r="K160" s="44">
        <f>1060234+4194501</f>
        <v>5254735</v>
      </c>
      <c r="L160" s="44"/>
      <c r="M160" s="44">
        <v>7454586</v>
      </c>
      <c r="N160" s="44"/>
      <c r="O160" s="44">
        <v>0</v>
      </c>
      <c r="P160" s="44"/>
      <c r="Q160" s="44">
        <v>1968859</v>
      </c>
      <c r="R160" s="44"/>
      <c r="S160" s="44">
        <v>184515</v>
      </c>
      <c r="T160" s="44"/>
      <c r="U160" s="44">
        <v>292622</v>
      </c>
      <c r="V160" s="44"/>
      <c r="W160" s="44">
        <v>0</v>
      </c>
      <c r="X160" s="44"/>
      <c r="Y160" s="44">
        <v>0</v>
      </c>
      <c r="Z160" s="44"/>
      <c r="AA160" s="44">
        <f t="shared" si="4"/>
        <v>15155317</v>
      </c>
      <c r="AB160" s="44"/>
      <c r="AC160" s="44">
        <f t="shared" si="5"/>
        <v>23861251</v>
      </c>
    </row>
    <row r="161" spans="1:30" s="47" customFormat="1" ht="12.75" customHeight="1">
      <c r="A161" s="47" t="s">
        <v>188</v>
      </c>
      <c r="C161" s="47" t="s">
        <v>27</v>
      </c>
      <c r="E161" s="44">
        <v>2251299</v>
      </c>
      <c r="F161" s="44"/>
      <c r="G161" s="44">
        <v>1568905</v>
      </c>
      <c r="H161" s="44"/>
      <c r="I161" s="44">
        <v>0</v>
      </c>
      <c r="J161" s="44"/>
      <c r="K161" s="44">
        <f>923705+3203828+541220</f>
        <v>4668753</v>
      </c>
      <c r="L161" s="44"/>
      <c r="M161" s="44">
        <v>11451977</v>
      </c>
      <c r="N161" s="44"/>
      <c r="O161" s="44">
        <v>3180</v>
      </c>
      <c r="P161" s="44"/>
      <c r="Q161" s="44">
        <v>1756605</v>
      </c>
      <c r="R161" s="44"/>
      <c r="S161" s="44">
        <v>77880</v>
      </c>
      <c r="T161" s="44"/>
      <c r="U161" s="44">
        <v>242823</v>
      </c>
      <c r="V161" s="44"/>
      <c r="W161" s="44">
        <v>0</v>
      </c>
      <c r="X161" s="44"/>
      <c r="Y161" s="44">
        <v>0</v>
      </c>
      <c r="Z161" s="44"/>
      <c r="AA161" s="44">
        <f t="shared" si="4"/>
        <v>18201218</v>
      </c>
      <c r="AB161" s="44"/>
      <c r="AC161" s="44">
        <f>SUM(E161:Y161)</f>
        <v>22021422</v>
      </c>
    </row>
    <row r="162" spans="1:30" s="47" customFormat="1" ht="12.75" customHeight="1">
      <c r="A162" s="47" t="s">
        <v>190</v>
      </c>
      <c r="C162" s="47" t="s">
        <v>47</v>
      </c>
      <c r="E162" s="44">
        <v>885479</v>
      </c>
      <c r="F162" s="44"/>
      <c r="G162" s="44">
        <v>630584</v>
      </c>
      <c r="H162" s="44"/>
      <c r="I162" s="44">
        <v>241714</v>
      </c>
      <c r="J162" s="44"/>
      <c r="K162" s="44">
        <v>331711</v>
      </c>
      <c r="L162" s="44"/>
      <c r="M162" s="44">
        <v>3667625</v>
      </c>
      <c r="N162" s="44"/>
      <c r="O162" s="44">
        <v>47714</v>
      </c>
      <c r="P162" s="44"/>
      <c r="Q162" s="44">
        <v>501639</v>
      </c>
      <c r="R162" s="44"/>
      <c r="S162" s="44">
        <v>17024</v>
      </c>
      <c r="T162" s="44"/>
      <c r="U162" s="44">
        <v>0</v>
      </c>
      <c r="V162" s="44"/>
      <c r="W162" s="44">
        <v>0</v>
      </c>
      <c r="X162" s="44"/>
      <c r="Y162" s="44">
        <v>879607</v>
      </c>
      <c r="Z162" s="44"/>
      <c r="AA162" s="44">
        <f t="shared" si="4"/>
        <v>5445320</v>
      </c>
      <c r="AB162" s="44"/>
      <c r="AC162" s="44">
        <f t="shared" si="5"/>
        <v>7203097</v>
      </c>
    </row>
    <row r="163" spans="1:30" s="47" customFormat="1" ht="12.75" customHeight="1">
      <c r="A163" s="47" t="s">
        <v>191</v>
      </c>
      <c r="C163" s="47" t="s">
        <v>13</v>
      </c>
      <c r="E163" s="44">
        <v>927275</v>
      </c>
      <c r="F163" s="44"/>
      <c r="G163" s="44">
        <v>1189503</v>
      </c>
      <c r="H163" s="44"/>
      <c r="I163" s="44">
        <v>2001865</v>
      </c>
      <c r="J163" s="44"/>
      <c r="K163" s="44">
        <f>378213+319334+261571+70915+700260</f>
        <v>1730293</v>
      </c>
      <c r="L163" s="44"/>
      <c r="M163" s="44">
        <f>3461568+135842</f>
        <v>3597410</v>
      </c>
      <c r="N163" s="44"/>
      <c r="O163" s="44">
        <v>0</v>
      </c>
      <c r="P163" s="44"/>
      <c r="Q163" s="44">
        <v>811264</v>
      </c>
      <c r="R163" s="44"/>
      <c r="S163" s="44">
        <v>75019</v>
      </c>
      <c r="T163" s="44"/>
      <c r="U163" s="44">
        <v>176628</v>
      </c>
      <c r="V163" s="44"/>
      <c r="W163" s="44">
        <v>0</v>
      </c>
      <c r="X163" s="44"/>
      <c r="Y163" s="44">
        <v>0</v>
      </c>
      <c r="Z163" s="44"/>
      <c r="AA163" s="44">
        <f t="shared" si="4"/>
        <v>6390614</v>
      </c>
      <c r="AB163" s="44"/>
      <c r="AC163" s="44">
        <f t="shared" si="5"/>
        <v>10509257</v>
      </c>
    </row>
    <row r="164" spans="1:30" s="47" customFormat="1" ht="12.75" customHeight="1">
      <c r="A164" s="47" t="s">
        <v>192</v>
      </c>
      <c r="C164" s="47" t="s">
        <v>38</v>
      </c>
      <c r="E164" s="44">
        <v>2026721</v>
      </c>
      <c r="F164" s="44"/>
      <c r="G164" s="44">
        <v>228304</v>
      </c>
      <c r="H164" s="44"/>
      <c r="I164" s="44">
        <v>203217</v>
      </c>
      <c r="J164" s="44"/>
      <c r="K164" s="44">
        <f>1226028+904608</f>
        <v>2130636</v>
      </c>
      <c r="L164" s="44"/>
      <c r="M164" s="44">
        <v>4841472</v>
      </c>
      <c r="N164" s="44"/>
      <c r="O164" s="44">
        <v>0</v>
      </c>
      <c r="P164" s="44"/>
      <c r="Q164" s="44">
        <v>1298267</v>
      </c>
      <c r="R164" s="44"/>
      <c r="S164" s="44">
        <v>324529</v>
      </c>
      <c r="T164" s="44"/>
      <c r="U164" s="44">
        <v>291497</v>
      </c>
      <c r="V164" s="44"/>
      <c r="W164" s="44">
        <v>-724900</v>
      </c>
      <c r="X164" s="44"/>
      <c r="Y164" s="44">
        <v>0</v>
      </c>
      <c r="Z164" s="44"/>
      <c r="AA164" s="44">
        <f t="shared" si="4"/>
        <v>8161501</v>
      </c>
      <c r="AB164" s="44"/>
      <c r="AC164" s="44">
        <f t="shared" si="5"/>
        <v>10619743</v>
      </c>
    </row>
    <row r="165" spans="1:30" s="47" customFormat="1" ht="12.75" customHeight="1">
      <c r="A165" s="47" t="s">
        <v>193</v>
      </c>
      <c r="C165" s="47" t="s">
        <v>45</v>
      </c>
      <c r="E165" s="44">
        <v>2052239</v>
      </c>
      <c r="F165" s="44"/>
      <c r="G165" s="44">
        <v>324441</v>
      </c>
      <c r="H165" s="44"/>
      <c r="I165" s="44">
        <v>352970</v>
      </c>
      <c r="J165" s="44"/>
      <c r="K165" s="44">
        <v>2583802</v>
      </c>
      <c r="L165" s="44"/>
      <c r="M165" s="44">
        <v>16035144</v>
      </c>
      <c r="N165" s="44"/>
      <c r="O165" s="44">
        <v>1220620</v>
      </c>
      <c r="P165" s="44"/>
      <c r="Q165" s="44">
        <v>1640740</v>
      </c>
      <c r="R165" s="44"/>
      <c r="S165" s="44">
        <v>185746</v>
      </c>
      <c r="T165" s="44"/>
      <c r="U165" s="44">
        <v>195109</v>
      </c>
      <c r="V165" s="44"/>
      <c r="W165" s="44">
        <v>0</v>
      </c>
      <c r="X165" s="44"/>
      <c r="Y165" s="44">
        <v>0</v>
      </c>
      <c r="Z165" s="44"/>
      <c r="AA165" s="44">
        <f t="shared" si="4"/>
        <v>21861161</v>
      </c>
      <c r="AB165" s="44"/>
      <c r="AC165" s="44">
        <f t="shared" si="5"/>
        <v>24590811</v>
      </c>
      <c r="AD165" s="44"/>
    </row>
    <row r="166" spans="1:30" s="47" customFormat="1" ht="12.75" customHeight="1">
      <c r="A166" s="47" t="s">
        <v>194</v>
      </c>
      <c r="C166" s="47" t="s">
        <v>66</v>
      </c>
      <c r="E166" s="44">
        <v>1373022</v>
      </c>
      <c r="F166" s="44"/>
      <c r="G166" s="44">
        <v>14535</v>
      </c>
      <c r="H166" s="44"/>
      <c r="I166" s="44">
        <v>0</v>
      </c>
      <c r="J166" s="44"/>
      <c r="K166" s="44">
        <f>1464278+83132</f>
        <v>1547410</v>
      </c>
      <c r="L166" s="44"/>
      <c r="M166" s="44">
        <v>5597093</v>
      </c>
      <c r="N166" s="44"/>
      <c r="O166" s="44">
        <v>0</v>
      </c>
      <c r="P166" s="44"/>
      <c r="Q166" s="44">
        <v>4952373</v>
      </c>
      <c r="R166" s="44"/>
      <c r="S166" s="44">
        <v>329974</v>
      </c>
      <c r="T166" s="44"/>
      <c r="U166" s="44">
        <v>204552</v>
      </c>
      <c r="V166" s="44"/>
      <c r="W166" s="44">
        <v>0</v>
      </c>
      <c r="X166" s="44"/>
      <c r="Y166" s="44">
        <v>0</v>
      </c>
      <c r="Z166" s="44"/>
      <c r="AA166" s="44">
        <f t="shared" si="4"/>
        <v>12631402</v>
      </c>
      <c r="AB166" s="44"/>
      <c r="AC166" s="44">
        <f t="shared" si="5"/>
        <v>14018959</v>
      </c>
    </row>
    <row r="167" spans="1:30" s="47" customFormat="1" ht="12.75" customHeight="1">
      <c r="A167" s="47" t="s">
        <v>195</v>
      </c>
      <c r="C167" s="47" t="s">
        <v>17</v>
      </c>
      <c r="E167" s="44">
        <v>1390985</v>
      </c>
      <c r="F167" s="44"/>
      <c r="G167" s="44">
        <v>679901</v>
      </c>
      <c r="H167" s="44"/>
      <c r="I167" s="44">
        <v>3449</v>
      </c>
      <c r="J167" s="44"/>
      <c r="K167" s="44">
        <v>876225</v>
      </c>
      <c r="L167" s="44"/>
      <c r="M167" s="44">
        <v>5180583</v>
      </c>
      <c r="N167" s="44"/>
      <c r="O167" s="44">
        <v>0</v>
      </c>
      <c r="P167" s="44"/>
      <c r="Q167" s="44">
        <v>1829613</v>
      </c>
      <c r="R167" s="44"/>
      <c r="S167" s="44">
        <v>844566</v>
      </c>
      <c r="T167" s="44"/>
      <c r="U167" s="44">
        <v>837652</v>
      </c>
      <c r="V167" s="44"/>
      <c r="W167" s="44">
        <v>210818</v>
      </c>
      <c r="X167" s="44"/>
      <c r="Y167" s="44">
        <v>0</v>
      </c>
      <c r="Z167" s="44"/>
      <c r="AA167" s="44">
        <f t="shared" si="4"/>
        <v>9779457</v>
      </c>
      <c r="AB167" s="44"/>
      <c r="AC167" s="44">
        <f>SUM(E167:Y167)</f>
        <v>11853792</v>
      </c>
    </row>
    <row r="168" spans="1:30" s="122" customFormat="1" ht="12.75" hidden="1" customHeight="1">
      <c r="A168" s="44" t="s">
        <v>196</v>
      </c>
      <c r="B168" s="47"/>
      <c r="C168" s="44" t="s">
        <v>27</v>
      </c>
      <c r="D168" s="44"/>
      <c r="E168" s="44">
        <v>0</v>
      </c>
      <c r="F168" s="44"/>
      <c r="G168" s="44">
        <v>0</v>
      </c>
      <c r="H168" s="44"/>
      <c r="I168" s="44">
        <v>0</v>
      </c>
      <c r="J168" s="44"/>
      <c r="K168" s="44">
        <v>0</v>
      </c>
      <c r="L168" s="44"/>
      <c r="M168" s="44">
        <v>0</v>
      </c>
      <c r="N168" s="44"/>
      <c r="O168" s="44">
        <v>0</v>
      </c>
      <c r="P168" s="44"/>
      <c r="Q168" s="44">
        <v>0</v>
      </c>
      <c r="R168" s="44"/>
      <c r="S168" s="44">
        <v>0</v>
      </c>
      <c r="T168" s="44"/>
      <c r="U168" s="44">
        <v>0</v>
      </c>
      <c r="V168" s="44"/>
      <c r="W168" s="44">
        <v>0</v>
      </c>
      <c r="X168" s="44"/>
      <c r="Y168" s="44">
        <v>0</v>
      </c>
      <c r="Z168" s="44"/>
      <c r="AA168" s="44">
        <f t="shared" si="4"/>
        <v>0</v>
      </c>
      <c r="AB168" s="44"/>
      <c r="AC168" s="44">
        <f t="shared" si="5"/>
        <v>0</v>
      </c>
    </row>
    <row r="169" spans="1:30" s="47" customFormat="1" ht="12.75" customHeight="1">
      <c r="A169" s="44" t="s">
        <v>402</v>
      </c>
      <c r="C169" s="44" t="s">
        <v>153</v>
      </c>
      <c r="D169" s="44"/>
      <c r="E169" s="44">
        <v>606352</v>
      </c>
      <c r="F169" s="44"/>
      <c r="G169" s="44">
        <v>635937</v>
      </c>
      <c r="H169" s="44"/>
      <c r="I169" s="44">
        <v>401184</v>
      </c>
      <c r="J169" s="44"/>
      <c r="K169" s="44">
        <f>414293+65579</f>
        <v>479872</v>
      </c>
      <c r="L169" s="44"/>
      <c r="M169" s="44">
        <f>3114976+151260+75630</f>
        <v>3341866</v>
      </c>
      <c r="N169" s="44"/>
      <c r="O169" s="44">
        <v>56608</v>
      </c>
      <c r="P169" s="44"/>
      <c r="Q169" s="44">
        <v>251436</v>
      </c>
      <c r="R169" s="44"/>
      <c r="S169" s="44">
        <v>202134</v>
      </c>
      <c r="T169" s="44"/>
      <c r="U169" s="44">
        <f>64557-18943</f>
        <v>45614</v>
      </c>
      <c r="V169" s="44"/>
      <c r="W169" s="44">
        <v>-761417</v>
      </c>
      <c r="X169" s="44"/>
      <c r="Y169" s="44">
        <v>0</v>
      </c>
      <c r="Z169" s="44"/>
      <c r="AA169" s="44">
        <f t="shared" si="4"/>
        <v>3616113</v>
      </c>
      <c r="AB169" s="44"/>
      <c r="AC169" s="44">
        <f t="shared" si="5"/>
        <v>5259586</v>
      </c>
    </row>
    <row r="170" spans="1:30" s="47" customFormat="1" ht="12.75" customHeight="1">
      <c r="A170" s="47" t="s">
        <v>197</v>
      </c>
      <c r="C170" s="47" t="s">
        <v>163</v>
      </c>
      <c r="E170" s="44">
        <v>3089214</v>
      </c>
      <c r="F170" s="44"/>
      <c r="G170" s="44">
        <v>1908334</v>
      </c>
      <c r="H170" s="44"/>
      <c r="I170" s="44">
        <v>441197</v>
      </c>
      <c r="J170" s="44"/>
      <c r="K170" s="44">
        <v>1744997</v>
      </c>
      <c r="L170" s="44"/>
      <c r="M170" s="44">
        <v>15326778</v>
      </c>
      <c r="N170" s="44"/>
      <c r="O170" s="44">
        <v>0</v>
      </c>
      <c r="P170" s="44"/>
      <c r="Q170" s="44">
        <v>1956227</v>
      </c>
      <c r="R170" s="44"/>
      <c r="S170" s="44">
        <v>1026240</v>
      </c>
      <c r="T170" s="44"/>
      <c r="U170" s="44">
        <v>67586</v>
      </c>
      <c r="V170" s="44"/>
      <c r="W170" s="44">
        <v>-1061222</v>
      </c>
      <c r="X170" s="44"/>
      <c r="Y170" s="44">
        <v>0</v>
      </c>
      <c r="Z170" s="44"/>
      <c r="AA170" s="44">
        <f>SUM(K170:Y170)</f>
        <v>19060606</v>
      </c>
      <c r="AB170" s="44"/>
      <c r="AC170" s="44">
        <f>SUM(E170:Y170)</f>
        <v>24499351</v>
      </c>
    </row>
    <row r="171" spans="1:30" s="47" customFormat="1" ht="12.75" customHeight="1">
      <c r="A171" s="47" t="s">
        <v>198</v>
      </c>
      <c r="C171" s="47" t="s">
        <v>199</v>
      </c>
      <c r="E171" s="44">
        <v>894159</v>
      </c>
      <c r="F171" s="44"/>
      <c r="G171" s="44">
        <v>549039</v>
      </c>
      <c r="H171" s="44"/>
      <c r="I171" s="44">
        <v>779266</v>
      </c>
      <c r="J171" s="44"/>
      <c r="K171" s="44">
        <v>495460</v>
      </c>
      <c r="L171" s="44"/>
      <c r="M171" s="44">
        <f>3485477+1097066</f>
        <v>4582543</v>
      </c>
      <c r="N171" s="44"/>
      <c r="O171" s="44">
        <v>847907</v>
      </c>
      <c r="P171" s="44"/>
      <c r="Q171" s="44">
        <v>965243</v>
      </c>
      <c r="R171" s="44"/>
      <c r="S171" s="44">
        <v>77420</v>
      </c>
      <c r="T171" s="44"/>
      <c r="U171" s="44">
        <v>36796</v>
      </c>
      <c r="V171" s="44"/>
      <c r="W171" s="44">
        <v>-847907</v>
      </c>
      <c r="X171" s="44"/>
      <c r="Y171" s="44">
        <v>0</v>
      </c>
      <c r="Z171" s="44"/>
      <c r="AA171" s="44">
        <f t="shared" si="4"/>
        <v>6157462</v>
      </c>
      <c r="AB171" s="44"/>
      <c r="AC171" s="44">
        <f>SUM(E171:Y171)</f>
        <v>8379926</v>
      </c>
    </row>
    <row r="172" spans="1:30" s="47" customFormat="1" ht="12.75" customHeight="1">
      <c r="A172" s="47" t="s">
        <v>200</v>
      </c>
      <c r="C172" s="47" t="s">
        <v>103</v>
      </c>
      <c r="E172" s="44">
        <v>2091495</v>
      </c>
      <c r="F172" s="44"/>
      <c r="G172" s="44">
        <v>644261</v>
      </c>
      <c r="H172" s="44"/>
      <c r="I172" s="44">
        <v>10153</v>
      </c>
      <c r="J172" s="44"/>
      <c r="K172" s="44">
        <v>1222506</v>
      </c>
      <c r="L172" s="44"/>
      <c r="M172" s="44">
        <v>6912582</v>
      </c>
      <c r="N172" s="44"/>
      <c r="O172" s="44">
        <v>0</v>
      </c>
      <c r="P172" s="44"/>
      <c r="Q172" s="44">
        <v>1237839</v>
      </c>
      <c r="R172" s="44"/>
      <c r="S172" s="44">
        <v>163522</v>
      </c>
      <c r="T172" s="44"/>
      <c r="U172" s="44">
        <v>584256</v>
      </c>
      <c r="V172" s="44"/>
      <c r="W172" s="44">
        <v>0</v>
      </c>
      <c r="X172" s="44"/>
      <c r="Y172" s="44">
        <v>0</v>
      </c>
      <c r="Z172" s="44"/>
      <c r="AA172" s="44">
        <f t="shared" si="4"/>
        <v>10120705</v>
      </c>
      <c r="AB172" s="44"/>
      <c r="AC172" s="44">
        <f t="shared" si="5"/>
        <v>12866614</v>
      </c>
    </row>
    <row r="173" spans="1:30" s="47" customFormat="1" ht="12.75" customHeight="1">
      <c r="A173" s="47" t="s">
        <v>201</v>
      </c>
      <c r="C173" s="47" t="s">
        <v>92</v>
      </c>
      <c r="E173" s="44">
        <v>2556616</v>
      </c>
      <c r="F173" s="44"/>
      <c r="G173" s="44">
        <v>951327</v>
      </c>
      <c r="H173" s="44"/>
      <c r="I173" s="44">
        <v>2504425</v>
      </c>
      <c r="J173" s="44"/>
      <c r="K173" s="44">
        <v>1214434</v>
      </c>
      <c r="L173" s="44"/>
      <c r="M173" s="44">
        <v>7748215</v>
      </c>
      <c r="N173" s="44"/>
      <c r="O173" s="44">
        <v>11164</v>
      </c>
      <c r="P173" s="44"/>
      <c r="Q173" s="44">
        <v>1342000</v>
      </c>
      <c r="R173" s="44"/>
      <c r="S173" s="44">
        <v>831745</v>
      </c>
      <c r="T173" s="44"/>
      <c r="U173" s="44">
        <v>226494</v>
      </c>
      <c r="V173" s="44"/>
      <c r="W173" s="44">
        <v>1084895</v>
      </c>
      <c r="X173" s="44"/>
      <c r="Y173" s="44">
        <v>0</v>
      </c>
      <c r="Z173" s="44"/>
      <c r="AA173" s="44">
        <f>SUM(K173:Y173)</f>
        <v>12458947</v>
      </c>
      <c r="AB173" s="44"/>
      <c r="AC173" s="44">
        <f>SUM(E173:Y173)</f>
        <v>18471315</v>
      </c>
    </row>
    <row r="174" spans="1:30" s="47" customFormat="1" ht="12.75" customHeight="1">
      <c r="A174" s="47" t="s">
        <v>202</v>
      </c>
      <c r="C174" s="47" t="s">
        <v>27</v>
      </c>
      <c r="E174" s="44">
        <v>9200120</v>
      </c>
      <c r="F174" s="44"/>
      <c r="G174" s="44">
        <v>12128360</v>
      </c>
      <c r="H174" s="44"/>
      <c r="I174" s="44">
        <v>0</v>
      </c>
      <c r="J174" s="44"/>
      <c r="K174" s="44">
        <f>4505123+5422215+314349</f>
        <v>10241687</v>
      </c>
      <c r="L174" s="44"/>
      <c r="M174" s="44">
        <f>26200550+7069028</f>
        <v>33269578</v>
      </c>
      <c r="N174" s="44"/>
      <c r="O174" s="44">
        <v>0</v>
      </c>
      <c r="P174" s="44"/>
      <c r="Q174" s="44">
        <v>6721835</v>
      </c>
      <c r="R174" s="44"/>
      <c r="S174" s="44">
        <v>55516</v>
      </c>
      <c r="T174" s="44"/>
      <c r="U174" s="44">
        <v>0</v>
      </c>
      <c r="V174" s="44"/>
      <c r="W174" s="44">
        <v>0</v>
      </c>
      <c r="X174" s="44"/>
      <c r="Y174" s="44">
        <v>0</v>
      </c>
      <c r="Z174" s="44"/>
      <c r="AA174" s="44">
        <f>SUM(K174:Y174)</f>
        <v>50288616</v>
      </c>
      <c r="AB174" s="44"/>
      <c r="AC174" s="44">
        <f>SUM(E174:Y174)</f>
        <v>71617096</v>
      </c>
    </row>
    <row r="175" spans="1:30" s="47" customFormat="1" ht="12.75" customHeight="1">
      <c r="A175" s="47" t="s">
        <v>203</v>
      </c>
      <c r="C175" s="47" t="s">
        <v>27</v>
      </c>
      <c r="E175" s="44">
        <v>1736293</v>
      </c>
      <c r="F175" s="44"/>
      <c r="G175" s="44">
        <v>278038</v>
      </c>
      <c r="H175" s="44"/>
      <c r="I175" s="44">
        <v>1831754</v>
      </c>
      <c r="J175" s="44"/>
      <c r="K175" s="44">
        <f>2566655+348742+587513+158520</f>
        <v>3661430</v>
      </c>
      <c r="L175" s="44"/>
      <c r="M175" s="44">
        <v>7589499</v>
      </c>
      <c r="N175" s="44"/>
      <c r="O175" s="44">
        <v>0</v>
      </c>
      <c r="P175" s="44"/>
      <c r="Q175" s="44">
        <v>2370328</v>
      </c>
      <c r="R175" s="44"/>
      <c r="S175" s="44">
        <v>22982</v>
      </c>
      <c r="T175" s="44"/>
      <c r="U175" s="44">
        <v>674461</v>
      </c>
      <c r="V175" s="44"/>
      <c r="W175" s="44">
        <v>0</v>
      </c>
      <c r="X175" s="44"/>
      <c r="Y175" s="44">
        <v>0</v>
      </c>
      <c r="Z175" s="44"/>
      <c r="AA175" s="44">
        <f t="shared" si="4"/>
        <v>14318700</v>
      </c>
      <c r="AB175" s="44"/>
      <c r="AC175" s="44">
        <f t="shared" si="5"/>
        <v>18164785</v>
      </c>
    </row>
    <row r="176" spans="1:30" s="47" customFormat="1" ht="12.75" customHeight="1">
      <c r="A176" s="47" t="s">
        <v>204</v>
      </c>
      <c r="C176" s="47" t="s">
        <v>125</v>
      </c>
      <c r="E176" s="44">
        <v>583521</v>
      </c>
      <c r="F176" s="44"/>
      <c r="G176" s="44">
        <v>1249874</v>
      </c>
      <c r="H176" s="44"/>
      <c r="I176" s="44">
        <v>828333</v>
      </c>
      <c r="J176" s="44"/>
      <c r="K176" s="44">
        <f>862226+1375422</f>
        <v>2237648</v>
      </c>
      <c r="L176" s="44"/>
      <c r="M176" s="44">
        <v>0</v>
      </c>
      <c r="N176" s="44"/>
      <c r="O176" s="44">
        <v>0</v>
      </c>
      <c r="P176" s="44"/>
      <c r="Q176" s="44">
        <v>368296</v>
      </c>
      <c r="R176" s="44"/>
      <c r="S176" s="44">
        <v>11624</v>
      </c>
      <c r="T176" s="44"/>
      <c r="U176" s="44">
        <v>26982</v>
      </c>
      <c r="V176" s="44"/>
      <c r="W176" s="44">
        <v>0</v>
      </c>
      <c r="X176" s="44"/>
      <c r="Y176" s="44">
        <v>0</v>
      </c>
      <c r="Z176" s="44"/>
      <c r="AA176" s="44">
        <f t="shared" si="4"/>
        <v>2644550</v>
      </c>
      <c r="AB176" s="44"/>
      <c r="AC176" s="44">
        <f t="shared" si="5"/>
        <v>5306278</v>
      </c>
    </row>
    <row r="177" spans="1:29" s="47" customFormat="1" ht="12.75" customHeight="1">
      <c r="A177" s="47" t="s">
        <v>205</v>
      </c>
      <c r="C177" s="47" t="s">
        <v>27</v>
      </c>
      <c r="E177" s="44">
        <v>474582</v>
      </c>
      <c r="F177" s="44"/>
      <c r="G177" s="44">
        <v>505031</v>
      </c>
      <c r="H177" s="44"/>
      <c r="I177" s="44">
        <v>892182</v>
      </c>
      <c r="J177" s="44"/>
      <c r="K177" s="44">
        <f>1311404+446695+1350552+223056</f>
        <v>3331707</v>
      </c>
      <c r="L177" s="44"/>
      <c r="M177" s="44">
        <v>3946715</v>
      </c>
      <c r="N177" s="44"/>
      <c r="O177" s="44">
        <f>676130+279130</f>
        <v>955260</v>
      </c>
      <c r="P177" s="44"/>
      <c r="Q177" s="44">
        <v>419008</v>
      </c>
      <c r="R177" s="44"/>
      <c r="S177" s="44">
        <v>69409</v>
      </c>
      <c r="T177" s="44"/>
      <c r="U177" s="44">
        <v>96564</v>
      </c>
      <c r="V177" s="44"/>
      <c r="W177" s="44">
        <v>0</v>
      </c>
      <c r="X177" s="44"/>
      <c r="Y177" s="44">
        <v>0</v>
      </c>
      <c r="Z177" s="44"/>
      <c r="AA177" s="44">
        <f t="shared" si="4"/>
        <v>8818663</v>
      </c>
      <c r="AB177" s="44"/>
      <c r="AC177" s="44">
        <f>SUM(E177:Y177)</f>
        <v>10690458</v>
      </c>
    </row>
    <row r="178" spans="1:29" s="47" customFormat="1" ht="12.75" customHeight="1">
      <c r="A178" s="47" t="s">
        <v>206</v>
      </c>
      <c r="C178" s="47" t="s">
        <v>47</v>
      </c>
      <c r="E178" s="44">
        <v>1839208</v>
      </c>
      <c r="F178" s="44"/>
      <c r="G178" s="44">
        <v>1335169</v>
      </c>
      <c r="H178" s="44"/>
      <c r="I178" s="44">
        <v>2526158</v>
      </c>
      <c r="J178" s="44"/>
      <c r="K178" s="44">
        <v>3238241</v>
      </c>
      <c r="L178" s="44"/>
      <c r="M178" s="44">
        <v>12168080</v>
      </c>
      <c r="N178" s="44"/>
      <c r="O178" s="44">
        <v>0</v>
      </c>
      <c r="P178" s="44"/>
      <c r="Q178" s="44">
        <v>725681</v>
      </c>
      <c r="R178" s="44"/>
      <c r="S178" s="44">
        <v>116096</v>
      </c>
      <c r="T178" s="44"/>
      <c r="U178" s="44">
        <v>589124</v>
      </c>
      <c r="V178" s="44"/>
      <c r="W178" s="44">
        <v>-91000</v>
      </c>
      <c r="X178" s="44"/>
      <c r="Y178" s="44">
        <v>0</v>
      </c>
      <c r="Z178" s="44"/>
      <c r="AA178" s="44">
        <f t="shared" si="4"/>
        <v>16746222</v>
      </c>
      <c r="AB178" s="44"/>
      <c r="AC178" s="44">
        <f t="shared" si="5"/>
        <v>22446757</v>
      </c>
    </row>
    <row r="179" spans="1:29" s="47" customFormat="1" ht="12.75" customHeight="1">
      <c r="A179" s="47" t="s">
        <v>207</v>
      </c>
      <c r="C179" s="47" t="s">
        <v>102</v>
      </c>
      <c r="E179" s="44">
        <v>1047409</v>
      </c>
      <c r="F179" s="44"/>
      <c r="G179" s="44">
        <v>973695</v>
      </c>
      <c r="H179" s="44"/>
      <c r="I179" s="44">
        <v>4631410</v>
      </c>
      <c r="J179" s="44"/>
      <c r="K179" s="44">
        <f>972149+1423744</f>
        <v>2395893</v>
      </c>
      <c r="L179" s="44"/>
      <c r="M179" s="44">
        <v>4527504</v>
      </c>
      <c r="N179" s="44"/>
      <c r="O179" s="44">
        <f>189705+939085+323888</f>
        <v>1452678</v>
      </c>
      <c r="P179" s="44"/>
      <c r="Q179" s="44">
        <v>595467</v>
      </c>
      <c r="R179" s="44"/>
      <c r="S179" s="44">
        <v>145561</v>
      </c>
      <c r="T179" s="44"/>
      <c r="U179" s="44">
        <v>322661</v>
      </c>
      <c r="V179" s="44"/>
      <c r="W179" s="44">
        <v>-14197</v>
      </c>
      <c r="X179" s="44"/>
      <c r="Y179" s="44">
        <v>0</v>
      </c>
      <c r="Z179" s="44"/>
      <c r="AA179" s="44">
        <f t="shared" si="4"/>
        <v>9425567</v>
      </c>
      <c r="AB179" s="44"/>
      <c r="AC179" s="44">
        <f t="shared" si="5"/>
        <v>16078081</v>
      </c>
    </row>
    <row r="180" spans="1:29" s="47" customFormat="1" ht="12.75" customHeight="1">
      <c r="A180" s="47" t="s">
        <v>208</v>
      </c>
      <c r="C180" s="47" t="s">
        <v>209</v>
      </c>
      <c r="E180" s="44">
        <v>1733019</v>
      </c>
      <c r="F180" s="44"/>
      <c r="G180" s="44">
        <v>460718</v>
      </c>
      <c r="H180" s="44"/>
      <c r="I180" s="44">
        <v>534122</v>
      </c>
      <c r="J180" s="44"/>
      <c r="K180" s="44">
        <v>1349521</v>
      </c>
      <c r="L180" s="44"/>
      <c r="M180" s="44">
        <v>6999179</v>
      </c>
      <c r="N180" s="44"/>
      <c r="O180" s="44">
        <v>3404050</v>
      </c>
      <c r="P180" s="44"/>
      <c r="Q180" s="44">
        <v>1123045</v>
      </c>
      <c r="R180" s="44"/>
      <c r="S180" s="44">
        <v>134406</v>
      </c>
      <c r="T180" s="44"/>
      <c r="U180" s="44">
        <v>9515</v>
      </c>
      <c r="V180" s="44"/>
      <c r="W180" s="44">
        <v>-300798</v>
      </c>
      <c r="X180" s="44"/>
      <c r="Y180" s="44">
        <v>0</v>
      </c>
      <c r="Z180" s="44"/>
      <c r="AA180" s="44">
        <f t="shared" si="4"/>
        <v>12718918</v>
      </c>
      <c r="AB180" s="44"/>
      <c r="AC180" s="44">
        <f t="shared" si="5"/>
        <v>15446777</v>
      </c>
    </row>
    <row r="181" spans="1:29" s="47" customFormat="1" ht="12.75" customHeight="1">
      <c r="A181" s="47" t="s">
        <v>210</v>
      </c>
      <c r="C181" s="47" t="s">
        <v>211</v>
      </c>
      <c r="E181" s="44">
        <v>398196</v>
      </c>
      <c r="F181" s="44"/>
      <c r="G181" s="44">
        <v>926123</v>
      </c>
      <c r="H181" s="44"/>
      <c r="I181" s="44">
        <v>14785</v>
      </c>
      <c r="J181" s="44"/>
      <c r="K181" s="44">
        <f>547572+220624</f>
        <v>768196</v>
      </c>
      <c r="L181" s="44"/>
      <c r="M181" s="44">
        <v>2207164</v>
      </c>
      <c r="N181" s="44"/>
      <c r="O181" s="44">
        <f>145129+12000+48398</f>
        <v>205527</v>
      </c>
      <c r="P181" s="44"/>
      <c r="Q181" s="44">
        <v>586195</v>
      </c>
      <c r="R181" s="44"/>
      <c r="S181" s="44">
        <v>57642</v>
      </c>
      <c r="T181" s="44"/>
      <c r="U181" s="44">
        <v>43444</v>
      </c>
      <c r="V181" s="44"/>
      <c r="W181" s="44">
        <v>0</v>
      </c>
      <c r="X181" s="44"/>
      <c r="Y181" s="44">
        <v>0</v>
      </c>
      <c r="Z181" s="44"/>
      <c r="AA181" s="44">
        <f>SUM(K181:Y181)</f>
        <v>3868168</v>
      </c>
      <c r="AB181" s="44"/>
      <c r="AC181" s="44">
        <f>SUM(E181:Y181)</f>
        <v>5207272</v>
      </c>
    </row>
    <row r="182" spans="1:29" s="47" customFormat="1" ht="12.75" customHeight="1">
      <c r="A182" s="47" t="s">
        <v>212</v>
      </c>
      <c r="C182" s="47" t="s">
        <v>213</v>
      </c>
      <c r="E182" s="44">
        <v>2035652</v>
      </c>
      <c r="F182" s="44"/>
      <c r="G182" s="44">
        <v>5066400</v>
      </c>
      <c r="H182" s="44"/>
      <c r="I182" s="44">
        <v>0</v>
      </c>
      <c r="J182" s="44"/>
      <c r="K182" s="44">
        <f>1774175+336757+755347</f>
        <v>2866279</v>
      </c>
      <c r="L182" s="44"/>
      <c r="M182" s="44">
        <v>6573256</v>
      </c>
      <c r="N182" s="44"/>
      <c r="O182" s="44">
        <v>343294</v>
      </c>
      <c r="P182" s="44"/>
      <c r="Q182" s="44">
        <v>1815651</v>
      </c>
      <c r="R182" s="44"/>
      <c r="S182" s="44">
        <v>2347</v>
      </c>
      <c r="T182" s="44"/>
      <c r="U182" s="44">
        <v>635052</v>
      </c>
      <c r="V182" s="44"/>
      <c r="W182" s="44">
        <v>-62500</v>
      </c>
      <c r="X182" s="44"/>
      <c r="Y182" s="44">
        <v>0</v>
      </c>
      <c r="Z182" s="44"/>
      <c r="AA182" s="44">
        <f>SUM(K182:Y182)</f>
        <v>12173379</v>
      </c>
      <c r="AB182" s="44"/>
      <c r="AC182" s="44">
        <f>SUM(E182:Y182)</f>
        <v>19275431</v>
      </c>
    </row>
    <row r="183" spans="1:29" s="47" customFormat="1" ht="12.75" customHeight="1">
      <c r="A183" s="47" t="s">
        <v>214</v>
      </c>
      <c r="C183" s="47" t="s">
        <v>86</v>
      </c>
      <c r="E183" s="44">
        <v>1795710</v>
      </c>
      <c r="F183" s="44"/>
      <c r="G183" s="44">
        <v>563447</v>
      </c>
      <c r="H183" s="44"/>
      <c r="I183" s="44">
        <v>26449</v>
      </c>
      <c r="J183" s="44"/>
      <c r="K183" s="44">
        <v>1849495</v>
      </c>
      <c r="L183" s="44"/>
      <c r="M183" s="44">
        <v>3968885</v>
      </c>
      <c r="N183" s="44"/>
      <c r="O183" s="44">
        <v>0</v>
      </c>
      <c r="P183" s="44"/>
      <c r="Q183" s="44">
        <f>55671+516191</f>
        <v>571862</v>
      </c>
      <c r="R183" s="44"/>
      <c r="S183" s="44">
        <v>123460</v>
      </c>
      <c r="T183" s="44"/>
      <c r="U183" s="44">
        <v>101130</v>
      </c>
      <c r="V183" s="44"/>
      <c r="W183" s="44">
        <v>0</v>
      </c>
      <c r="X183" s="44"/>
      <c r="Y183" s="44">
        <v>0</v>
      </c>
      <c r="Z183" s="44"/>
      <c r="AA183" s="44">
        <f t="shared" si="4"/>
        <v>6614832</v>
      </c>
      <c r="AB183" s="44"/>
      <c r="AC183" s="44">
        <f t="shared" si="5"/>
        <v>9000438</v>
      </c>
    </row>
    <row r="184" spans="1:29" s="47" customFormat="1" ht="12.75" customHeight="1">
      <c r="A184" s="47" t="s">
        <v>215</v>
      </c>
      <c r="C184" s="47" t="s">
        <v>22</v>
      </c>
      <c r="E184" s="44">
        <v>1802404</v>
      </c>
      <c r="F184" s="44"/>
      <c r="G184" s="44">
        <v>1063789</v>
      </c>
      <c r="H184" s="44"/>
      <c r="I184" s="44">
        <v>54538</v>
      </c>
      <c r="J184" s="44"/>
      <c r="K184" s="44">
        <v>638140</v>
      </c>
      <c r="L184" s="44"/>
      <c r="M184" s="44">
        <f>4672454+525691+357614+286091+716656</f>
        <v>6558506</v>
      </c>
      <c r="N184" s="44"/>
      <c r="O184" s="44">
        <v>0</v>
      </c>
      <c r="P184" s="44"/>
      <c r="Q184" s="44">
        <v>1295019</v>
      </c>
      <c r="R184" s="44"/>
      <c r="S184" s="44">
        <v>28473</v>
      </c>
      <c r="T184" s="44"/>
      <c r="U184" s="44">
        <v>96742</v>
      </c>
      <c r="V184" s="44"/>
      <c r="W184" s="44">
        <v>-749436</v>
      </c>
      <c r="X184" s="44"/>
      <c r="Y184" s="44">
        <v>0</v>
      </c>
      <c r="Z184" s="44"/>
      <c r="AA184" s="44">
        <f t="shared" si="4"/>
        <v>7867444</v>
      </c>
      <c r="AB184" s="44"/>
      <c r="AC184" s="44">
        <f t="shared" si="5"/>
        <v>10788175</v>
      </c>
    </row>
    <row r="185" spans="1:29" s="47" customFormat="1" ht="12.75" customHeight="1">
      <c r="A185" s="47" t="s">
        <v>216</v>
      </c>
      <c r="C185" s="47" t="s">
        <v>45</v>
      </c>
      <c r="E185" s="44">
        <v>1439903</v>
      </c>
      <c r="F185" s="44"/>
      <c r="G185" s="44">
        <v>1392893</v>
      </c>
      <c r="H185" s="44"/>
      <c r="I185" s="44">
        <v>56500</v>
      </c>
      <c r="J185" s="44"/>
      <c r="K185" s="44">
        <f>447069+311141</f>
        <v>758210</v>
      </c>
      <c r="L185" s="44"/>
      <c r="M185" s="44">
        <v>5621676</v>
      </c>
      <c r="N185" s="44"/>
      <c r="O185" s="44">
        <v>0</v>
      </c>
      <c r="P185" s="44"/>
      <c r="Q185" s="44">
        <v>654081</v>
      </c>
      <c r="R185" s="44"/>
      <c r="S185" s="44">
        <v>7340</v>
      </c>
      <c r="T185" s="44"/>
      <c r="U185" s="44">
        <f>50+138728</f>
        <v>138778</v>
      </c>
      <c r="V185" s="44"/>
      <c r="W185" s="44">
        <v>0</v>
      </c>
      <c r="X185" s="44"/>
      <c r="Y185" s="44">
        <v>0</v>
      </c>
      <c r="Z185" s="44"/>
      <c r="AA185" s="44">
        <f t="shared" si="4"/>
        <v>7180085</v>
      </c>
      <c r="AB185" s="44"/>
      <c r="AC185" s="44">
        <f t="shared" si="5"/>
        <v>10069381</v>
      </c>
    </row>
    <row r="186" spans="1:29" s="47" customFormat="1" ht="12.75" customHeight="1">
      <c r="A186" s="47" t="s">
        <v>217</v>
      </c>
      <c r="C186" s="47" t="s">
        <v>43</v>
      </c>
      <c r="E186" s="44">
        <v>1342924</v>
      </c>
      <c r="F186" s="44"/>
      <c r="G186" s="44">
        <v>2343211</v>
      </c>
      <c r="H186" s="44"/>
      <c r="I186" s="44">
        <v>1669837</v>
      </c>
      <c r="J186" s="44"/>
      <c r="K186" s="44">
        <f>292624+202776+2108557</f>
        <v>2603957</v>
      </c>
      <c r="L186" s="44"/>
      <c r="M186" s="44">
        <v>9965514</v>
      </c>
      <c r="N186" s="44"/>
      <c r="O186" s="44">
        <v>362324</v>
      </c>
      <c r="P186" s="44"/>
      <c r="Q186" s="44">
        <v>1582537</v>
      </c>
      <c r="R186" s="44"/>
      <c r="S186" s="44">
        <v>282276</v>
      </c>
      <c r="T186" s="44"/>
      <c r="U186" s="44">
        <v>313148</v>
      </c>
      <c r="V186" s="44"/>
      <c r="W186" s="44">
        <v>-3186</v>
      </c>
      <c r="X186" s="44"/>
      <c r="Y186" s="44">
        <v>0</v>
      </c>
      <c r="Z186" s="44"/>
      <c r="AA186" s="44">
        <f t="shared" si="4"/>
        <v>15106570</v>
      </c>
      <c r="AB186" s="44"/>
      <c r="AC186" s="44">
        <f t="shared" si="5"/>
        <v>20462542</v>
      </c>
    </row>
    <row r="187" spans="1:29" s="47" customFormat="1" ht="12.75" hidden="1" customHeight="1">
      <c r="A187" s="47" t="s">
        <v>218</v>
      </c>
      <c r="C187" s="47" t="s">
        <v>27</v>
      </c>
      <c r="E187" s="44">
        <v>0</v>
      </c>
      <c r="F187" s="44"/>
      <c r="G187" s="44">
        <v>0</v>
      </c>
      <c r="H187" s="44"/>
      <c r="I187" s="44">
        <v>0</v>
      </c>
      <c r="J187" s="44"/>
      <c r="K187" s="44">
        <v>0</v>
      </c>
      <c r="L187" s="44"/>
      <c r="M187" s="44">
        <v>0</v>
      </c>
      <c r="N187" s="44"/>
      <c r="O187" s="44">
        <v>0</v>
      </c>
      <c r="P187" s="44"/>
      <c r="Q187" s="44">
        <v>0</v>
      </c>
      <c r="R187" s="44"/>
      <c r="S187" s="44">
        <v>0</v>
      </c>
      <c r="T187" s="44"/>
      <c r="U187" s="44">
        <v>0</v>
      </c>
      <c r="V187" s="44"/>
      <c r="W187" s="44">
        <v>0</v>
      </c>
      <c r="X187" s="44"/>
      <c r="Y187" s="44">
        <v>0</v>
      </c>
      <c r="Z187" s="44"/>
      <c r="AA187" s="44">
        <f>SUM(K187:Y187)</f>
        <v>0</v>
      </c>
      <c r="AB187" s="44"/>
      <c r="AC187" s="44">
        <f t="shared" si="5"/>
        <v>0</v>
      </c>
    </row>
    <row r="188" spans="1:29" s="47" customFormat="1" ht="12.75" customHeight="1">
      <c r="A188" s="47" t="s">
        <v>219</v>
      </c>
      <c r="C188" s="47" t="s">
        <v>199</v>
      </c>
      <c r="E188" s="44">
        <v>1197673</v>
      </c>
      <c r="F188" s="44"/>
      <c r="G188" s="44">
        <v>634740</v>
      </c>
      <c r="H188" s="44"/>
      <c r="I188" s="44">
        <v>192799</v>
      </c>
      <c r="J188" s="44"/>
      <c r="K188" s="44">
        <f>301319+266596</f>
        <v>567915</v>
      </c>
      <c r="L188" s="44"/>
      <c r="M188" s="44">
        <f>783525+391755</f>
        <v>1175280</v>
      </c>
      <c r="N188" s="44"/>
      <c r="O188" s="44">
        <v>0</v>
      </c>
      <c r="P188" s="44"/>
      <c r="Q188" s="44">
        <v>521478</v>
      </c>
      <c r="R188" s="44"/>
      <c r="S188" s="44">
        <v>57008</v>
      </c>
      <c r="T188" s="44"/>
      <c r="U188" s="44">
        <v>172931</v>
      </c>
      <c r="V188" s="44"/>
      <c r="W188" s="44">
        <v>0</v>
      </c>
      <c r="X188" s="44"/>
      <c r="Y188" s="44">
        <v>0</v>
      </c>
      <c r="Z188" s="44"/>
      <c r="AA188" s="44">
        <f t="shared" si="4"/>
        <v>2494612</v>
      </c>
      <c r="AB188" s="44"/>
      <c r="AC188" s="44">
        <f t="shared" si="5"/>
        <v>4519824</v>
      </c>
    </row>
    <row r="189" spans="1:29" s="47" customFormat="1" ht="12.75" customHeight="1">
      <c r="A189" s="47" t="s">
        <v>220</v>
      </c>
      <c r="C189" s="47" t="s">
        <v>66</v>
      </c>
      <c r="E189" s="44">
        <v>2122629</v>
      </c>
      <c r="F189" s="44"/>
      <c r="G189" s="44">
        <v>1859909</v>
      </c>
      <c r="H189" s="44"/>
      <c r="I189" s="44">
        <v>276223</v>
      </c>
      <c r="J189" s="44"/>
      <c r="K189" s="44">
        <f>397835+1700368</f>
        <v>2098203</v>
      </c>
      <c r="L189" s="44"/>
      <c r="M189" s="44">
        <v>4329652</v>
      </c>
      <c r="N189" s="44"/>
      <c r="O189" s="44">
        <f>234767+117250</f>
        <v>352017</v>
      </c>
      <c r="P189" s="44"/>
      <c r="Q189" s="44">
        <v>631600</v>
      </c>
      <c r="R189" s="44"/>
      <c r="S189" s="44">
        <v>45088</v>
      </c>
      <c r="T189" s="44"/>
      <c r="U189" s="44">
        <v>162568</v>
      </c>
      <c r="V189" s="44"/>
      <c r="W189" s="44">
        <v>0</v>
      </c>
      <c r="X189" s="44"/>
      <c r="Y189" s="44">
        <v>0</v>
      </c>
      <c r="Z189" s="44"/>
      <c r="AA189" s="44">
        <f>SUM(K189:Y189)</f>
        <v>7619128</v>
      </c>
      <c r="AB189" s="44"/>
      <c r="AC189" s="44">
        <f>SUM(E189:Y189)</f>
        <v>11877889</v>
      </c>
    </row>
    <row r="190" spans="1:29" s="47" customFormat="1" ht="12.75" customHeight="1">
      <c r="A190" s="47" t="s">
        <v>221</v>
      </c>
      <c r="C190" s="47" t="s">
        <v>27</v>
      </c>
      <c r="E190" s="44">
        <v>6846820</v>
      </c>
      <c r="F190" s="44"/>
      <c r="G190" s="44">
        <v>934037</v>
      </c>
      <c r="H190" s="44"/>
      <c r="I190" s="44">
        <v>1044787</v>
      </c>
      <c r="J190" s="44"/>
      <c r="K190" s="44">
        <f>4093251+324861+324861+649723+194916+194916+649723+634889</f>
        <v>7067140</v>
      </c>
      <c r="L190" s="44"/>
      <c r="M190" s="44">
        <v>7661534</v>
      </c>
      <c r="N190" s="44"/>
      <c r="O190" s="44">
        <f>128163+34981</f>
        <v>163144</v>
      </c>
      <c r="P190" s="44"/>
      <c r="Q190" s="44">
        <v>4195197</v>
      </c>
      <c r="R190" s="44"/>
      <c r="S190" s="44">
        <v>140058</v>
      </c>
      <c r="T190" s="44"/>
      <c r="U190" s="44">
        <v>193193</v>
      </c>
      <c r="V190" s="44"/>
      <c r="W190" s="44">
        <v>0</v>
      </c>
      <c r="X190" s="44"/>
      <c r="Y190" s="44">
        <v>0</v>
      </c>
      <c r="Z190" s="44"/>
      <c r="AA190" s="44">
        <f>SUM(K190:Y190)</f>
        <v>19420266</v>
      </c>
      <c r="AB190" s="44"/>
      <c r="AC190" s="44">
        <f>SUM(E190:Y190)</f>
        <v>28245910</v>
      </c>
    </row>
    <row r="191" spans="1:29" s="47" customFormat="1" ht="12.75" customHeight="1">
      <c r="A191" s="47" t="s">
        <v>222</v>
      </c>
      <c r="C191" s="47" t="s">
        <v>47</v>
      </c>
      <c r="E191" s="44">
        <v>619092</v>
      </c>
      <c r="F191" s="44"/>
      <c r="G191" s="44">
        <v>363725</v>
      </c>
      <c r="H191" s="44"/>
      <c r="I191" s="44">
        <v>0</v>
      </c>
      <c r="J191" s="44"/>
      <c r="K191" s="44">
        <f>604540+74618+191332</f>
        <v>870490</v>
      </c>
      <c r="L191" s="44"/>
      <c r="M191" s="44">
        <v>2511765</v>
      </c>
      <c r="N191" s="44"/>
      <c r="O191" s="44">
        <f>415196+780297</f>
        <v>1195493</v>
      </c>
      <c r="P191" s="44"/>
      <c r="Q191" s="44">
        <v>1112857</v>
      </c>
      <c r="R191" s="44"/>
      <c r="S191" s="44">
        <v>17531</v>
      </c>
      <c r="T191" s="44"/>
      <c r="U191" s="44">
        <v>156489</v>
      </c>
      <c r="V191" s="44"/>
      <c r="W191" s="44">
        <v>-90000</v>
      </c>
      <c r="X191" s="44"/>
      <c r="Y191" s="44">
        <v>0</v>
      </c>
      <c r="Z191" s="44"/>
      <c r="AA191" s="44">
        <f t="shared" si="4"/>
        <v>5774625</v>
      </c>
      <c r="AB191" s="44"/>
      <c r="AC191" s="44">
        <f t="shared" si="5"/>
        <v>6757442</v>
      </c>
    </row>
    <row r="192" spans="1:29" s="47" customFormat="1" ht="12.75" customHeight="1">
      <c r="A192" s="47" t="s">
        <v>223</v>
      </c>
      <c r="C192" s="47" t="s">
        <v>94</v>
      </c>
      <c r="E192" s="44">
        <v>447317</v>
      </c>
      <c r="F192" s="44"/>
      <c r="G192" s="44">
        <v>693065</v>
      </c>
      <c r="H192" s="44"/>
      <c r="I192" s="44">
        <v>11112</v>
      </c>
      <c r="J192" s="44"/>
      <c r="K192" s="44">
        <v>11282018</v>
      </c>
      <c r="L192" s="44"/>
      <c r="M192" s="44">
        <v>0</v>
      </c>
      <c r="N192" s="44"/>
      <c r="O192" s="44">
        <v>0</v>
      </c>
      <c r="P192" s="44"/>
      <c r="Q192" s="44">
        <v>764497</v>
      </c>
      <c r="R192" s="44"/>
      <c r="S192" s="44">
        <v>63395</v>
      </c>
      <c r="T192" s="44"/>
      <c r="U192" s="44">
        <v>172324</v>
      </c>
      <c r="V192" s="44"/>
      <c r="W192" s="44">
        <v>0</v>
      </c>
      <c r="X192" s="44"/>
      <c r="Y192" s="44">
        <v>0</v>
      </c>
      <c r="Z192" s="44"/>
      <c r="AA192" s="44">
        <f>SUM(K192:Y192)</f>
        <v>12282234</v>
      </c>
      <c r="AB192" s="44"/>
      <c r="AC192" s="44">
        <f>SUM(E192:Y192)</f>
        <v>13433728</v>
      </c>
    </row>
    <row r="193" spans="1:31" s="47" customFormat="1" ht="12.75" customHeight="1">
      <c r="A193" s="47" t="s">
        <v>76</v>
      </c>
      <c r="C193" s="47" t="s">
        <v>132</v>
      </c>
      <c r="E193" s="44">
        <v>3943798</v>
      </c>
      <c r="F193" s="44"/>
      <c r="G193" s="44">
        <v>3669304</v>
      </c>
      <c r="H193" s="44"/>
      <c r="I193" s="44">
        <v>2010876</v>
      </c>
      <c r="J193" s="44"/>
      <c r="K193" s="44">
        <f>1568338+257807+423572</f>
        <v>2249717</v>
      </c>
      <c r="L193" s="44"/>
      <c r="M193" s="44">
        <f>5609577+355717+283887</f>
        <v>6249181</v>
      </c>
      <c r="N193" s="44"/>
      <c r="O193" s="44">
        <f>509866+3530345+304588</f>
        <v>4344799</v>
      </c>
      <c r="P193" s="44"/>
      <c r="Q193" s="44">
        <v>1808763</v>
      </c>
      <c r="R193" s="44"/>
      <c r="S193" s="44">
        <v>559857</v>
      </c>
      <c r="T193" s="44"/>
      <c r="U193" s="44">
        <v>967843</v>
      </c>
      <c r="V193" s="44"/>
      <c r="W193" s="44">
        <v>-451084</v>
      </c>
      <c r="X193" s="44"/>
      <c r="Y193" s="44">
        <v>0</v>
      </c>
      <c r="Z193" s="44"/>
      <c r="AA193" s="44">
        <f t="shared" si="4"/>
        <v>15729076</v>
      </c>
      <c r="AB193" s="44"/>
      <c r="AC193" s="44">
        <f t="shared" si="5"/>
        <v>25353054</v>
      </c>
      <c r="AE193" s="44">
        <f>15729076-AA193</f>
        <v>0</v>
      </c>
    </row>
    <row r="194" spans="1:31" s="47" customFormat="1" ht="12.75" customHeight="1">
      <c r="A194" s="47" t="s">
        <v>224</v>
      </c>
      <c r="C194" s="47" t="s">
        <v>27</v>
      </c>
      <c r="E194" s="44">
        <v>1597527</v>
      </c>
      <c r="F194" s="44"/>
      <c r="G194" s="44">
        <v>17368</v>
      </c>
      <c r="H194" s="44"/>
      <c r="I194" s="44">
        <v>1896542</v>
      </c>
      <c r="J194" s="44"/>
      <c r="K194" s="44">
        <f>937272+1224811+453452</f>
        <v>2615535</v>
      </c>
      <c r="L194" s="44"/>
      <c r="M194" s="44">
        <v>4943540</v>
      </c>
      <c r="N194" s="44"/>
      <c r="O194" s="44">
        <v>0</v>
      </c>
      <c r="P194" s="44"/>
      <c r="Q194" s="44">
        <v>1721267</v>
      </c>
      <c r="R194" s="44"/>
      <c r="S194" s="44">
        <v>62605</v>
      </c>
      <c r="T194" s="44"/>
      <c r="U194" s="44">
        <f>10470+44050</f>
        <v>54520</v>
      </c>
      <c r="V194" s="44"/>
      <c r="W194" s="44">
        <v>0</v>
      </c>
      <c r="X194" s="44"/>
      <c r="Y194" s="44">
        <v>0</v>
      </c>
      <c r="Z194" s="44"/>
      <c r="AA194" s="44">
        <f t="shared" si="4"/>
        <v>9397467</v>
      </c>
      <c r="AB194" s="44"/>
      <c r="AC194" s="44">
        <f t="shared" si="5"/>
        <v>12908904</v>
      </c>
    </row>
    <row r="195" spans="1:31" s="47" customFormat="1" ht="12.75" customHeight="1">
      <c r="A195" s="47" t="s">
        <v>225</v>
      </c>
      <c r="C195" s="47" t="s">
        <v>27</v>
      </c>
      <c r="E195" s="44">
        <v>10100630</v>
      </c>
      <c r="F195" s="44"/>
      <c r="G195" s="44">
        <v>4651210</v>
      </c>
      <c r="H195" s="44"/>
      <c r="I195" s="44">
        <v>492845</v>
      </c>
      <c r="J195" s="44"/>
      <c r="K195" s="44">
        <f>7444238+477099+657853</f>
        <v>8579190</v>
      </c>
      <c r="L195" s="44"/>
      <c r="M195" s="44">
        <v>19466209</v>
      </c>
      <c r="N195" s="44"/>
      <c r="O195" s="44">
        <v>56869</v>
      </c>
      <c r="P195" s="44"/>
      <c r="Q195" s="44">
        <v>7372760</v>
      </c>
      <c r="R195" s="44"/>
      <c r="S195" s="44">
        <v>289963</v>
      </c>
      <c r="T195" s="44"/>
      <c r="U195" s="44">
        <v>451678</v>
      </c>
      <c r="V195" s="44"/>
      <c r="W195" s="44">
        <v>0</v>
      </c>
      <c r="X195" s="44"/>
      <c r="Y195" s="44">
        <v>0</v>
      </c>
      <c r="Z195" s="44"/>
      <c r="AA195" s="44">
        <f t="shared" si="4"/>
        <v>36216669</v>
      </c>
      <c r="AB195" s="44"/>
      <c r="AC195" s="44">
        <f t="shared" si="5"/>
        <v>51461354</v>
      </c>
    </row>
    <row r="196" spans="1:31" s="47" customFormat="1" ht="12.75" customHeight="1">
      <c r="A196" s="47" t="s">
        <v>471</v>
      </c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8" t="s">
        <v>484</v>
      </c>
    </row>
    <row r="197" spans="1:31" s="47" customFormat="1" ht="12.75" customHeight="1">
      <c r="A197" s="47" t="s">
        <v>226</v>
      </c>
      <c r="C197" s="47" t="s">
        <v>45</v>
      </c>
      <c r="E197" s="46">
        <v>2043382</v>
      </c>
      <c r="F197" s="46"/>
      <c r="G197" s="46">
        <v>1571977</v>
      </c>
      <c r="H197" s="46"/>
      <c r="I197" s="46">
        <v>1203849</v>
      </c>
      <c r="J197" s="46"/>
      <c r="K197" s="46">
        <v>0</v>
      </c>
      <c r="L197" s="46"/>
      <c r="M197" s="46">
        <v>17656370</v>
      </c>
      <c r="N197" s="46"/>
      <c r="O197" s="46">
        <v>736368</v>
      </c>
      <c r="P197" s="46"/>
      <c r="Q197" s="46">
        <v>965973</v>
      </c>
      <c r="R197" s="46"/>
      <c r="S197" s="46">
        <v>159497</v>
      </c>
      <c r="T197" s="46"/>
      <c r="U197" s="46">
        <v>367011</v>
      </c>
      <c r="V197" s="46"/>
      <c r="W197" s="46">
        <v>892450</v>
      </c>
      <c r="X197" s="46"/>
      <c r="Y197" s="46">
        <v>0</v>
      </c>
      <c r="Z197" s="46"/>
      <c r="AA197" s="46">
        <f t="shared" si="4"/>
        <v>20777669</v>
      </c>
      <c r="AB197" s="46"/>
      <c r="AC197" s="46">
        <f t="shared" si="5"/>
        <v>25596877</v>
      </c>
    </row>
    <row r="198" spans="1:31" s="46" customFormat="1" ht="12.75" customHeight="1">
      <c r="A198" s="46" t="s">
        <v>227</v>
      </c>
      <c r="C198" s="46" t="s">
        <v>17</v>
      </c>
      <c r="E198" s="44">
        <v>1150604</v>
      </c>
      <c r="F198" s="44"/>
      <c r="G198" s="44">
        <v>0</v>
      </c>
      <c r="H198" s="44"/>
      <c r="I198" s="44">
        <v>1340120</v>
      </c>
      <c r="J198" s="44"/>
      <c r="K198" s="44">
        <f>362553+80938+829429</f>
        <v>1272920</v>
      </c>
      <c r="L198" s="44"/>
      <c r="M198" s="44">
        <f>1508940+368737</f>
        <v>1877677</v>
      </c>
      <c r="N198" s="44"/>
      <c r="O198" s="44">
        <v>0</v>
      </c>
      <c r="P198" s="44"/>
      <c r="Q198" s="44">
        <v>148418</v>
      </c>
      <c r="R198" s="44"/>
      <c r="S198" s="44">
        <v>5876</v>
      </c>
      <c r="T198" s="44"/>
      <c r="U198" s="44">
        <v>640429</v>
      </c>
      <c r="V198" s="44"/>
      <c r="W198" s="44">
        <v>0</v>
      </c>
      <c r="X198" s="44"/>
      <c r="Y198" s="44">
        <v>0</v>
      </c>
      <c r="Z198" s="44"/>
      <c r="AA198" s="44">
        <f t="shared" si="4"/>
        <v>3945320</v>
      </c>
      <c r="AB198" s="44"/>
      <c r="AC198" s="44">
        <f t="shared" si="5"/>
        <v>6436044</v>
      </c>
    </row>
    <row r="199" spans="1:31" s="47" customFormat="1" ht="12.75" customHeight="1">
      <c r="A199" s="47" t="s">
        <v>228</v>
      </c>
      <c r="C199" s="47" t="s">
        <v>153</v>
      </c>
      <c r="E199" s="44">
        <v>854817</v>
      </c>
      <c r="F199" s="44"/>
      <c r="G199" s="44">
        <v>833173</v>
      </c>
      <c r="H199" s="44"/>
      <c r="I199" s="44">
        <v>1846535</v>
      </c>
      <c r="J199" s="44"/>
      <c r="K199" s="44">
        <f>242819+440265</f>
        <v>683084</v>
      </c>
      <c r="L199" s="44"/>
      <c r="M199" s="44">
        <f>1630905+52800+497863</f>
        <v>2181568</v>
      </c>
      <c r="N199" s="44"/>
      <c r="O199" s="44">
        <v>372314</v>
      </c>
      <c r="P199" s="44"/>
      <c r="Q199" s="44">
        <v>729547</v>
      </c>
      <c r="R199" s="44"/>
      <c r="S199" s="44">
        <v>89560</v>
      </c>
      <c r="T199" s="44"/>
      <c r="U199" s="44">
        <v>59832</v>
      </c>
      <c r="V199" s="44"/>
      <c r="W199" s="44">
        <v>-11805</v>
      </c>
      <c r="X199" s="44"/>
      <c r="Y199" s="44">
        <v>42922</v>
      </c>
      <c r="Z199" s="44"/>
      <c r="AA199" s="44">
        <f t="shared" si="4"/>
        <v>4147022</v>
      </c>
      <c r="AB199" s="44"/>
      <c r="AC199" s="44">
        <f t="shared" si="5"/>
        <v>7681547</v>
      </c>
    </row>
    <row r="200" spans="1:31" s="47" customFormat="1" ht="12.75" customHeight="1">
      <c r="A200" s="47" t="s">
        <v>229</v>
      </c>
      <c r="C200" s="47" t="s">
        <v>228</v>
      </c>
      <c r="E200" s="44">
        <v>1826508</v>
      </c>
      <c r="F200" s="44"/>
      <c r="G200" s="44">
        <v>1401094</v>
      </c>
      <c r="H200" s="44"/>
      <c r="I200" s="44">
        <v>2454174</v>
      </c>
      <c r="J200" s="44"/>
      <c r="K200" s="44">
        <v>1451435</v>
      </c>
      <c r="L200" s="44"/>
      <c r="M200" s="44">
        <v>9996527</v>
      </c>
      <c r="N200" s="44"/>
      <c r="O200" s="44">
        <v>805708</v>
      </c>
      <c r="P200" s="44"/>
      <c r="Q200" s="44">
        <v>887749</v>
      </c>
      <c r="R200" s="44"/>
      <c r="S200" s="44">
        <v>132406</v>
      </c>
      <c r="T200" s="44"/>
      <c r="U200" s="44">
        <f>21017+242371</f>
        <v>263388</v>
      </c>
      <c r="V200" s="44"/>
      <c r="W200" s="44">
        <v>-338475</v>
      </c>
      <c r="X200" s="44"/>
      <c r="Y200" s="44">
        <v>0</v>
      </c>
      <c r="Z200" s="44"/>
      <c r="AA200" s="44">
        <f t="shared" si="4"/>
        <v>13198738</v>
      </c>
      <c r="AB200" s="44"/>
      <c r="AC200" s="44">
        <f t="shared" si="5"/>
        <v>18880514</v>
      </c>
    </row>
    <row r="201" spans="1:31" s="47" customFormat="1" ht="12.75" customHeight="1">
      <c r="A201" s="47" t="s">
        <v>230</v>
      </c>
      <c r="C201" s="47" t="s">
        <v>45</v>
      </c>
      <c r="E201" s="44">
        <v>291338</v>
      </c>
      <c r="F201" s="44"/>
      <c r="G201" s="44">
        <v>268934</v>
      </c>
      <c r="H201" s="44"/>
      <c r="I201" s="44">
        <v>108267</v>
      </c>
      <c r="J201" s="44"/>
      <c r="K201" s="44">
        <v>575374</v>
      </c>
      <c r="L201" s="44"/>
      <c r="M201" s="44">
        <v>1246905</v>
      </c>
      <c r="N201" s="44"/>
      <c r="O201" s="44">
        <v>0</v>
      </c>
      <c r="P201" s="44"/>
      <c r="Q201" s="44">
        <v>333791</v>
      </c>
      <c r="R201" s="44"/>
      <c r="S201" s="44">
        <v>76932</v>
      </c>
      <c r="T201" s="44"/>
      <c r="U201" s="44">
        <v>241118</v>
      </c>
      <c r="V201" s="44"/>
      <c r="W201" s="44">
        <v>0</v>
      </c>
      <c r="X201" s="44"/>
      <c r="Y201" s="44">
        <v>0</v>
      </c>
      <c r="Z201" s="44"/>
      <c r="AA201" s="44">
        <f t="shared" si="4"/>
        <v>2474120</v>
      </c>
      <c r="AB201" s="44"/>
      <c r="AC201" s="44">
        <f t="shared" si="5"/>
        <v>3142659</v>
      </c>
    </row>
    <row r="202" spans="1:31" s="47" customFormat="1" ht="12.75" customHeight="1">
      <c r="A202" s="47" t="s">
        <v>231</v>
      </c>
      <c r="C202" s="47" t="s">
        <v>27</v>
      </c>
      <c r="E202" s="44">
        <v>4668825</v>
      </c>
      <c r="F202" s="44"/>
      <c r="G202" s="44">
        <v>1620631</v>
      </c>
      <c r="H202" s="44"/>
      <c r="I202" s="44">
        <v>3386397</v>
      </c>
      <c r="J202" s="44"/>
      <c r="K202" s="44">
        <f>830331+2227871+425385+637371+392947</f>
        <v>4513905</v>
      </c>
      <c r="L202" s="44"/>
      <c r="M202" s="44">
        <f>25569132+8360524+76178</f>
        <v>34005834</v>
      </c>
      <c r="N202" s="44"/>
      <c r="O202" s="44">
        <v>0</v>
      </c>
      <c r="P202" s="44"/>
      <c r="Q202" s="44">
        <v>1813161</v>
      </c>
      <c r="R202" s="44"/>
      <c r="S202" s="44">
        <v>998629</v>
      </c>
      <c r="T202" s="44"/>
      <c r="U202" s="44">
        <f>27013+650587</f>
        <v>677600</v>
      </c>
      <c r="V202" s="44"/>
      <c r="W202" s="44">
        <v>-1317560</v>
      </c>
      <c r="X202" s="44"/>
      <c r="Y202" s="44">
        <v>0</v>
      </c>
      <c r="Z202" s="44"/>
      <c r="AA202" s="44">
        <f t="shared" si="4"/>
        <v>40691569</v>
      </c>
      <c r="AB202" s="44"/>
      <c r="AC202" s="44">
        <f t="shared" si="5"/>
        <v>50367422</v>
      </c>
    </row>
    <row r="203" spans="1:31" s="47" customFormat="1" ht="12.75" customHeight="1">
      <c r="A203" s="47" t="s">
        <v>232</v>
      </c>
      <c r="C203" s="47" t="s">
        <v>27</v>
      </c>
      <c r="E203" s="44">
        <v>4541380</v>
      </c>
      <c r="F203" s="44"/>
      <c r="G203" s="44">
        <v>1262066</v>
      </c>
      <c r="H203" s="44"/>
      <c r="I203" s="44">
        <v>95906</v>
      </c>
      <c r="J203" s="44"/>
      <c r="K203" s="44">
        <f>4295069+520995+517143+242234</f>
        <v>5575441</v>
      </c>
      <c r="L203" s="44"/>
      <c r="M203" s="44">
        <v>8332487</v>
      </c>
      <c r="N203" s="44"/>
      <c r="O203" s="44">
        <v>0</v>
      </c>
      <c r="P203" s="44"/>
      <c r="Q203" s="44">
        <v>2143984</v>
      </c>
      <c r="R203" s="44"/>
      <c r="S203" s="44">
        <v>155891</v>
      </c>
      <c r="T203" s="44"/>
      <c r="U203" s="44">
        <v>500572</v>
      </c>
      <c r="V203" s="44"/>
      <c r="W203" s="44">
        <v>0</v>
      </c>
      <c r="X203" s="44"/>
      <c r="Y203" s="44">
        <v>0</v>
      </c>
      <c r="Z203" s="44"/>
      <c r="AA203" s="44">
        <f t="shared" si="4"/>
        <v>16708375</v>
      </c>
      <c r="AB203" s="44"/>
      <c r="AC203" s="44">
        <f t="shared" si="5"/>
        <v>22607727</v>
      </c>
    </row>
    <row r="204" spans="1:31" s="47" customFormat="1" ht="12.75" customHeight="1">
      <c r="A204" s="47" t="s">
        <v>233</v>
      </c>
      <c r="C204" s="47" t="s">
        <v>111</v>
      </c>
      <c r="E204" s="44">
        <v>1719660</v>
      </c>
      <c r="F204" s="44"/>
      <c r="G204" s="44">
        <v>942623</v>
      </c>
      <c r="H204" s="44"/>
      <c r="I204" s="44">
        <v>1346957</v>
      </c>
      <c r="J204" s="44"/>
      <c r="K204" s="44">
        <v>720042</v>
      </c>
      <c r="L204" s="44"/>
      <c r="M204" s="44">
        <v>9640943</v>
      </c>
      <c r="N204" s="44"/>
      <c r="O204" s="44">
        <f>70232+538388</f>
        <v>608620</v>
      </c>
      <c r="P204" s="44"/>
      <c r="Q204" s="44">
        <v>646503</v>
      </c>
      <c r="R204" s="44"/>
      <c r="S204" s="44">
        <v>309102</v>
      </c>
      <c r="T204" s="44"/>
      <c r="U204" s="44">
        <v>503598</v>
      </c>
      <c r="V204" s="44"/>
      <c r="W204" s="44">
        <v>-630200</v>
      </c>
      <c r="X204" s="44"/>
      <c r="Y204" s="44">
        <v>0</v>
      </c>
      <c r="Z204" s="44"/>
      <c r="AA204" s="44">
        <f t="shared" si="4"/>
        <v>11798608</v>
      </c>
      <c r="AB204" s="44"/>
      <c r="AC204" s="44">
        <f t="shared" si="5"/>
        <v>15807848</v>
      </c>
    </row>
    <row r="205" spans="1:31" s="47" customFormat="1" ht="12.75" customHeight="1">
      <c r="A205" s="47" t="s">
        <v>234</v>
      </c>
      <c r="C205" s="47" t="s">
        <v>45</v>
      </c>
      <c r="E205" s="44">
        <v>1129983</v>
      </c>
      <c r="F205" s="44"/>
      <c r="G205" s="44">
        <v>169939</v>
      </c>
      <c r="H205" s="44"/>
      <c r="I205" s="44">
        <v>2766840</v>
      </c>
      <c r="J205" s="44"/>
      <c r="K205" s="44">
        <v>1533906</v>
      </c>
      <c r="L205" s="44"/>
      <c r="M205" s="44">
        <v>12903475</v>
      </c>
      <c r="N205" s="44"/>
      <c r="O205" s="44">
        <f>682506+430108</f>
        <v>1112614</v>
      </c>
      <c r="P205" s="44"/>
      <c r="Q205" s="44">
        <v>1921521</v>
      </c>
      <c r="R205" s="44"/>
      <c r="S205" s="44">
        <v>30041</v>
      </c>
      <c r="T205" s="44"/>
      <c r="U205" s="44">
        <v>439322</v>
      </c>
      <c r="V205" s="44"/>
      <c r="W205" s="44">
        <v>0</v>
      </c>
      <c r="X205" s="44"/>
      <c r="Y205" s="44">
        <v>0</v>
      </c>
      <c r="Z205" s="44"/>
      <c r="AA205" s="44">
        <f>SUM(K205:Y205)</f>
        <v>17940879</v>
      </c>
      <c r="AB205" s="44"/>
      <c r="AC205" s="44">
        <f>SUM(E205:Y205)</f>
        <v>22007641</v>
      </c>
      <c r="AD205" s="47">
        <f>17940879+1129983+169939+2766840</f>
        <v>22007641</v>
      </c>
    </row>
    <row r="206" spans="1:31" s="47" customFormat="1" ht="12.75" customHeight="1">
      <c r="A206" s="47" t="s">
        <v>235</v>
      </c>
      <c r="C206" s="47" t="s">
        <v>183</v>
      </c>
      <c r="E206" s="44">
        <v>8321173</v>
      </c>
      <c r="F206" s="44"/>
      <c r="G206" s="44">
        <v>4384638</v>
      </c>
      <c r="H206" s="44"/>
      <c r="I206" s="44">
        <v>7966531</v>
      </c>
      <c r="J206" s="44"/>
      <c r="K206" s="44">
        <v>2738257</v>
      </c>
      <c r="L206" s="44"/>
      <c r="M206" s="44">
        <v>27945166</v>
      </c>
      <c r="N206" s="44"/>
      <c r="O206" s="44">
        <v>534692</v>
      </c>
      <c r="P206" s="44"/>
      <c r="Q206" s="44">
        <f>6712820+2738993</f>
        <v>9451813</v>
      </c>
      <c r="R206" s="44"/>
      <c r="S206" s="44">
        <v>409890</v>
      </c>
      <c r="T206" s="44"/>
      <c r="U206" s="44">
        <v>2158424</v>
      </c>
      <c r="V206" s="44"/>
      <c r="W206" s="44">
        <v>-72651</v>
      </c>
      <c r="X206" s="44"/>
      <c r="Y206" s="44">
        <v>0</v>
      </c>
      <c r="Z206" s="44"/>
      <c r="AA206" s="44">
        <f t="shared" si="4"/>
        <v>43165591</v>
      </c>
      <c r="AB206" s="44"/>
      <c r="AC206" s="44">
        <f t="shared" si="5"/>
        <v>63837933</v>
      </c>
    </row>
    <row r="207" spans="1:31" s="47" customFormat="1" ht="12.75" customHeight="1">
      <c r="A207" s="47" t="s">
        <v>236</v>
      </c>
      <c r="C207" s="47" t="s">
        <v>45</v>
      </c>
      <c r="E207" s="44">
        <v>447317</v>
      </c>
      <c r="F207" s="44"/>
      <c r="G207" s="44">
        <v>693065</v>
      </c>
      <c r="H207" s="44"/>
      <c r="I207" s="44">
        <v>11112</v>
      </c>
      <c r="J207" s="44"/>
      <c r="K207" s="44">
        <v>11282018</v>
      </c>
      <c r="L207" s="44"/>
      <c r="M207" s="44">
        <v>0</v>
      </c>
      <c r="N207" s="44"/>
      <c r="O207" s="44">
        <v>0</v>
      </c>
      <c r="P207" s="44"/>
      <c r="Q207" s="44">
        <v>764497</v>
      </c>
      <c r="R207" s="44"/>
      <c r="S207" s="44">
        <v>63395</v>
      </c>
      <c r="T207" s="44"/>
      <c r="U207" s="44">
        <v>172324</v>
      </c>
      <c r="V207" s="44"/>
      <c r="W207" s="44">
        <v>0</v>
      </c>
      <c r="X207" s="44"/>
      <c r="Y207" s="44">
        <v>0</v>
      </c>
      <c r="Z207" s="44"/>
      <c r="AA207" s="44">
        <f t="shared" si="4"/>
        <v>12282234</v>
      </c>
      <c r="AB207" s="44"/>
      <c r="AC207" s="44">
        <f>SUM(E207:Y207)</f>
        <v>13433728</v>
      </c>
    </row>
    <row r="208" spans="1:31" s="47" customFormat="1" ht="12.75" customHeight="1">
      <c r="A208" s="47" t="s">
        <v>237</v>
      </c>
      <c r="C208" s="47" t="s">
        <v>33</v>
      </c>
      <c r="E208" s="44">
        <v>276223</v>
      </c>
      <c r="F208" s="44"/>
      <c r="G208" s="44">
        <v>2140478</v>
      </c>
      <c r="H208" s="44"/>
      <c r="I208" s="44">
        <v>609238</v>
      </c>
      <c r="J208" s="44"/>
      <c r="K208" s="44">
        <f>462948+321287</f>
        <v>784235</v>
      </c>
      <c r="L208" s="44"/>
      <c r="M208" s="44">
        <v>0</v>
      </c>
      <c r="N208" s="44"/>
      <c r="O208" s="44">
        <v>0</v>
      </c>
      <c r="P208" s="44"/>
      <c r="Q208" s="44">
        <v>421287</v>
      </c>
      <c r="R208" s="44"/>
      <c r="S208" s="44">
        <v>94133</v>
      </c>
      <c r="T208" s="44"/>
      <c r="U208" s="44">
        <f>30+104958</f>
        <v>104988</v>
      </c>
      <c r="V208" s="44"/>
      <c r="W208" s="44">
        <v>0</v>
      </c>
      <c r="X208" s="44"/>
      <c r="Y208" s="44">
        <v>0</v>
      </c>
      <c r="Z208" s="44"/>
      <c r="AA208" s="44">
        <f t="shared" si="4"/>
        <v>1404643</v>
      </c>
      <c r="AB208" s="44"/>
      <c r="AC208" s="44">
        <f>SUM(E208:Y208)</f>
        <v>4430582</v>
      </c>
    </row>
    <row r="209" spans="1:29" s="47" customFormat="1" ht="12.75" customHeight="1">
      <c r="A209" s="47" t="s">
        <v>238</v>
      </c>
      <c r="C209" s="47" t="s">
        <v>239</v>
      </c>
      <c r="E209" s="44">
        <v>592388</v>
      </c>
      <c r="F209" s="44"/>
      <c r="G209" s="44">
        <v>342529</v>
      </c>
      <c r="H209" s="44"/>
      <c r="I209" s="44">
        <v>149280</v>
      </c>
      <c r="J209" s="44"/>
      <c r="K209" s="44">
        <f>1110785+86912</f>
        <v>1197697</v>
      </c>
      <c r="L209" s="44"/>
      <c r="M209" s="44">
        <f>1731841+367975+1190416</f>
        <v>3290232</v>
      </c>
      <c r="N209" s="44"/>
      <c r="O209" s="44">
        <v>0</v>
      </c>
      <c r="P209" s="44"/>
      <c r="Q209" s="44">
        <v>659855</v>
      </c>
      <c r="R209" s="44"/>
      <c r="S209" s="44">
        <v>204115</v>
      </c>
      <c r="T209" s="44"/>
      <c r="U209" s="44">
        <v>229979</v>
      </c>
      <c r="V209" s="44"/>
      <c r="W209" s="44">
        <v>-741839</v>
      </c>
      <c r="X209" s="44"/>
      <c r="Y209" s="44">
        <v>0</v>
      </c>
      <c r="Z209" s="44"/>
      <c r="AA209" s="44">
        <f>SUM(K209:Y209)</f>
        <v>4840039</v>
      </c>
      <c r="AB209" s="44"/>
      <c r="AC209" s="44">
        <f>SUM(E209:Y209)</f>
        <v>5924236</v>
      </c>
    </row>
    <row r="210" spans="1:29" s="47" customFormat="1" ht="12.75" customHeight="1">
      <c r="A210" s="47" t="s">
        <v>486</v>
      </c>
      <c r="C210" s="47" t="s">
        <v>249</v>
      </c>
      <c r="E210" s="44">
        <v>1310573</v>
      </c>
      <c r="F210" s="44"/>
      <c r="G210" s="44">
        <v>1695188</v>
      </c>
      <c r="H210" s="44"/>
      <c r="I210" s="44">
        <v>1131216</v>
      </c>
      <c r="J210" s="44"/>
      <c r="K210" s="44">
        <f>1045944+218263</f>
        <v>1264207</v>
      </c>
      <c r="L210" s="44"/>
      <c r="M210" s="44">
        <f>7943321+734850+316041+105347</f>
        <v>9099559</v>
      </c>
      <c r="N210" s="44"/>
      <c r="O210" s="44">
        <v>215029</v>
      </c>
      <c r="P210" s="44"/>
      <c r="Q210" s="44">
        <v>1857377</v>
      </c>
      <c r="R210" s="44"/>
      <c r="S210" s="44">
        <v>87574</v>
      </c>
      <c r="T210" s="44"/>
      <c r="U210" s="44">
        <f>15941+225452</f>
        <v>241393</v>
      </c>
      <c r="V210" s="44"/>
      <c r="W210" s="44">
        <v>1993424</v>
      </c>
      <c r="X210" s="44"/>
      <c r="Y210" s="44">
        <v>0</v>
      </c>
      <c r="Z210" s="44"/>
      <c r="AA210" s="44">
        <f>SUM(K210:Y210)</f>
        <v>14758563</v>
      </c>
      <c r="AB210" s="44"/>
      <c r="AC210" s="44">
        <f>SUM(E210:Y210)</f>
        <v>18895540</v>
      </c>
    </row>
    <row r="211" spans="1:29" s="47" customFormat="1" ht="12.75" customHeight="1">
      <c r="A211" s="47" t="s">
        <v>240</v>
      </c>
      <c r="C211" s="47" t="s">
        <v>13</v>
      </c>
      <c r="E211" s="44">
        <v>4921628</v>
      </c>
      <c r="F211" s="44"/>
      <c r="G211" s="44">
        <v>2075237</v>
      </c>
      <c r="H211" s="44"/>
      <c r="I211" s="44">
        <v>4360884</v>
      </c>
      <c r="J211" s="44"/>
      <c r="K211" s="44">
        <f>5031472+2383192</f>
        <v>7414664</v>
      </c>
      <c r="L211" s="44"/>
      <c r="M211" s="44">
        <v>11415940</v>
      </c>
      <c r="N211" s="44"/>
      <c r="O211" s="44">
        <v>0</v>
      </c>
      <c r="P211" s="44"/>
      <c r="Q211" s="44">
        <v>3881534</v>
      </c>
      <c r="R211" s="44"/>
      <c r="S211" s="44">
        <v>192603</v>
      </c>
      <c r="T211" s="44"/>
      <c r="U211" s="44">
        <v>660823</v>
      </c>
      <c r="V211" s="44"/>
      <c r="W211" s="44">
        <v>-346219</v>
      </c>
      <c r="X211" s="44"/>
      <c r="Y211" s="44">
        <v>1778978</v>
      </c>
      <c r="Z211" s="44"/>
      <c r="AA211" s="44">
        <f t="shared" si="4"/>
        <v>24998323</v>
      </c>
      <c r="AB211" s="44"/>
      <c r="AC211" s="44">
        <f t="shared" si="5"/>
        <v>36356072</v>
      </c>
    </row>
    <row r="212" spans="1:29" s="47" customFormat="1" ht="12.75" customHeight="1">
      <c r="A212" s="47" t="s">
        <v>241</v>
      </c>
      <c r="C212" s="47" t="s">
        <v>22</v>
      </c>
      <c r="E212" s="44">
        <v>1744351</v>
      </c>
      <c r="F212" s="44"/>
      <c r="G212" s="44">
        <v>764068</v>
      </c>
      <c r="H212" s="44"/>
      <c r="I212" s="44">
        <v>0</v>
      </c>
      <c r="J212" s="44"/>
      <c r="K212" s="44">
        <v>1444702</v>
      </c>
      <c r="L212" s="44"/>
      <c r="M212" s="44">
        <v>6988308</v>
      </c>
      <c r="N212" s="44"/>
      <c r="O212" s="44">
        <v>429617</v>
      </c>
      <c r="P212" s="44"/>
      <c r="Q212" s="44">
        <v>406544</v>
      </c>
      <c r="R212" s="44"/>
      <c r="S212" s="44">
        <v>17322</v>
      </c>
      <c r="T212" s="44"/>
      <c r="U212" s="44">
        <v>79607</v>
      </c>
      <c r="V212" s="44"/>
      <c r="W212" s="44">
        <v>-35621</v>
      </c>
      <c r="X212" s="44"/>
      <c r="Y212" s="44">
        <v>0</v>
      </c>
      <c r="Z212" s="44"/>
      <c r="AA212" s="44">
        <f t="shared" si="4"/>
        <v>9330479</v>
      </c>
      <c r="AB212" s="44"/>
      <c r="AC212" s="44">
        <f t="shared" si="5"/>
        <v>11838898</v>
      </c>
    </row>
    <row r="213" spans="1:29" s="47" customFormat="1" ht="12.75" customHeight="1">
      <c r="A213" s="47" t="s">
        <v>242</v>
      </c>
      <c r="C213" s="47" t="s">
        <v>27</v>
      </c>
      <c r="E213" s="44">
        <v>6493958</v>
      </c>
      <c r="F213" s="44"/>
      <c r="G213" s="44">
        <v>2319608</v>
      </c>
      <c r="H213" s="44"/>
      <c r="I213" s="44">
        <v>921391</v>
      </c>
      <c r="J213" s="44"/>
      <c r="K213" s="44">
        <f>557971+5664398+3893170</f>
        <v>10115539</v>
      </c>
      <c r="L213" s="44"/>
      <c r="M213" s="44">
        <f>23250680+2680482</f>
        <v>25931162</v>
      </c>
      <c r="N213" s="44"/>
      <c r="O213" s="44">
        <f>1237868+313231+349651</f>
        <v>1900750</v>
      </c>
      <c r="P213" s="44"/>
      <c r="Q213" s="44">
        <v>3351151</v>
      </c>
      <c r="R213" s="44"/>
      <c r="S213" s="44">
        <v>565760</v>
      </c>
      <c r="T213" s="44"/>
      <c r="U213" s="44">
        <v>0</v>
      </c>
      <c r="V213" s="44"/>
      <c r="W213" s="44">
        <v>0</v>
      </c>
      <c r="X213" s="44"/>
      <c r="Y213" s="44">
        <v>0</v>
      </c>
      <c r="Z213" s="44"/>
      <c r="AA213" s="44">
        <f t="shared" si="4"/>
        <v>41864362</v>
      </c>
      <c r="AB213" s="44"/>
      <c r="AC213" s="44">
        <f t="shared" si="5"/>
        <v>51599319</v>
      </c>
    </row>
    <row r="214" spans="1:29" s="47" customFormat="1" ht="12.75" customHeight="1">
      <c r="A214" s="47" t="s">
        <v>243</v>
      </c>
      <c r="C214" s="47" t="s">
        <v>163</v>
      </c>
      <c r="E214" s="44">
        <v>1701048</v>
      </c>
      <c r="F214" s="44"/>
      <c r="G214" s="44">
        <v>2078102</v>
      </c>
      <c r="H214" s="44"/>
      <c r="I214" s="44">
        <v>318180</v>
      </c>
      <c r="J214" s="44"/>
      <c r="K214" s="44">
        <v>1529880</v>
      </c>
      <c r="L214" s="44"/>
      <c r="M214" s="44">
        <v>8174617</v>
      </c>
      <c r="N214" s="44"/>
      <c r="O214" s="44">
        <v>0</v>
      </c>
      <c r="P214" s="44"/>
      <c r="Q214" s="44">
        <v>1878640</v>
      </c>
      <c r="R214" s="44"/>
      <c r="S214" s="44">
        <v>334419</v>
      </c>
      <c r="T214" s="44"/>
      <c r="U214" s="44">
        <v>429228</v>
      </c>
      <c r="V214" s="44"/>
      <c r="W214" s="44">
        <v>210484</v>
      </c>
      <c r="X214" s="44"/>
      <c r="Y214" s="44">
        <v>0</v>
      </c>
      <c r="Z214" s="44"/>
      <c r="AA214" s="44">
        <f t="shared" ref="AA214" si="7">SUM(K214:Y214)</f>
        <v>12557268</v>
      </c>
      <c r="AB214" s="44"/>
      <c r="AC214" s="44">
        <f t="shared" ref="AC214" si="8">SUM(E214:Y214)</f>
        <v>16654598</v>
      </c>
    </row>
    <row r="215" spans="1:29" s="47" customFormat="1" ht="12.75" customHeight="1">
      <c r="A215" s="47" t="s">
        <v>244</v>
      </c>
      <c r="C215" s="47" t="s">
        <v>13</v>
      </c>
      <c r="E215" s="44">
        <v>2671072</v>
      </c>
      <c r="F215" s="44"/>
      <c r="G215" s="44">
        <v>828557</v>
      </c>
      <c r="H215" s="44"/>
      <c r="I215" s="44">
        <v>500000</v>
      </c>
      <c r="J215" s="44"/>
      <c r="K215" s="44">
        <f>748351+1370016+106689</f>
        <v>2225056</v>
      </c>
      <c r="L215" s="44"/>
      <c r="M215" s="44">
        <v>7226715</v>
      </c>
      <c r="N215" s="44"/>
      <c r="O215" s="44">
        <v>0</v>
      </c>
      <c r="P215" s="44"/>
      <c r="Q215" s="44">
        <v>2223903</v>
      </c>
      <c r="R215" s="44"/>
      <c r="S215" s="44">
        <v>141630</v>
      </c>
      <c r="T215" s="44"/>
      <c r="U215" s="44">
        <v>265173</v>
      </c>
      <c r="V215" s="44"/>
      <c r="W215" s="44">
        <v>0</v>
      </c>
      <c r="X215" s="44"/>
      <c r="Y215" s="44">
        <v>0</v>
      </c>
      <c r="Z215" s="44"/>
      <c r="AA215" s="44">
        <f t="shared" ref="AA215:AA228" si="9">SUM(K215:Y215)</f>
        <v>12082477</v>
      </c>
      <c r="AB215" s="44"/>
      <c r="AC215" s="44">
        <f t="shared" ref="AC215:AC255" si="10">SUM(E215:Y215)</f>
        <v>16082106</v>
      </c>
    </row>
    <row r="216" spans="1:29" s="47" customFormat="1" ht="12.75" customHeight="1">
      <c r="A216" s="47" t="s">
        <v>245</v>
      </c>
      <c r="C216" s="47" t="s">
        <v>110</v>
      </c>
      <c r="E216" s="44">
        <v>1339374</v>
      </c>
      <c r="F216" s="44"/>
      <c r="G216" s="44">
        <v>1397985</v>
      </c>
      <c r="H216" s="44"/>
      <c r="I216" s="44">
        <v>594900</v>
      </c>
      <c r="J216" s="44"/>
      <c r="K216" s="44">
        <f>1041384+89536+89548</f>
        <v>1220468</v>
      </c>
      <c r="L216" s="44"/>
      <c r="M216" s="44">
        <v>6272340</v>
      </c>
      <c r="N216" s="44"/>
      <c r="O216" s="44">
        <v>0</v>
      </c>
      <c r="P216" s="44"/>
      <c r="Q216" s="44">
        <v>2543962</v>
      </c>
      <c r="R216" s="44"/>
      <c r="S216" s="44">
        <v>23555</v>
      </c>
      <c r="T216" s="44"/>
      <c r="U216" s="44">
        <f>23982+129861+136740</f>
        <v>290583</v>
      </c>
      <c r="V216" s="44"/>
      <c r="W216" s="44">
        <v>0</v>
      </c>
      <c r="X216" s="44"/>
      <c r="Y216" s="44">
        <v>0</v>
      </c>
      <c r="Z216" s="44"/>
      <c r="AA216" s="44">
        <f t="shared" si="9"/>
        <v>10350908</v>
      </c>
      <c r="AB216" s="44"/>
      <c r="AC216" s="44">
        <f t="shared" si="10"/>
        <v>13683167</v>
      </c>
    </row>
    <row r="217" spans="1:29" s="47" customFormat="1" ht="12.75" customHeight="1">
      <c r="A217" s="47" t="s">
        <v>246</v>
      </c>
      <c r="C217" s="47" t="s">
        <v>209</v>
      </c>
      <c r="E217" s="44">
        <v>1185625</v>
      </c>
      <c r="F217" s="44"/>
      <c r="G217" s="44">
        <v>693882</v>
      </c>
      <c r="H217" s="44"/>
      <c r="I217" s="44">
        <v>1168819</v>
      </c>
      <c r="J217" s="44"/>
      <c r="K217" s="44">
        <v>326079</v>
      </c>
      <c r="L217" s="44"/>
      <c r="M217" s="44">
        <v>3133216</v>
      </c>
      <c r="N217" s="44"/>
      <c r="O217" s="44">
        <v>28052</v>
      </c>
      <c r="P217" s="44"/>
      <c r="Q217" s="44">
        <v>1302247</v>
      </c>
      <c r="R217" s="44"/>
      <c r="S217" s="44">
        <v>195035</v>
      </c>
      <c r="T217" s="44"/>
      <c r="U217" s="44">
        <v>1036774</v>
      </c>
      <c r="V217" s="44"/>
      <c r="W217" s="44">
        <v>19105</v>
      </c>
      <c r="X217" s="44"/>
      <c r="Y217" s="44">
        <v>0</v>
      </c>
      <c r="Z217" s="44"/>
      <c r="AA217" s="44">
        <f t="shared" si="9"/>
        <v>6040508</v>
      </c>
      <c r="AB217" s="44"/>
      <c r="AC217" s="44">
        <f t="shared" si="10"/>
        <v>9088834</v>
      </c>
    </row>
    <row r="218" spans="1:29" s="47" customFormat="1" ht="12.75" customHeight="1">
      <c r="A218" s="47" t="s">
        <v>247</v>
      </c>
      <c r="C218" s="47" t="s">
        <v>163</v>
      </c>
      <c r="E218" s="44">
        <v>93208000</v>
      </c>
      <c r="F218" s="44"/>
      <c r="G218" s="44">
        <v>40689000</v>
      </c>
      <c r="H218" s="44"/>
      <c r="I218" s="44">
        <v>18348000</v>
      </c>
      <c r="J218" s="44"/>
      <c r="K218" s="44">
        <v>15518000</v>
      </c>
      <c r="L218" s="44"/>
      <c r="M218" s="44">
        <v>138474000</v>
      </c>
      <c r="N218" s="44"/>
      <c r="O218" s="44">
        <v>0</v>
      </c>
      <c r="P218" s="44"/>
      <c r="Q218" s="44">
        <v>6928000</v>
      </c>
      <c r="R218" s="44"/>
      <c r="S218" s="44">
        <v>2483000</v>
      </c>
      <c r="T218" s="44"/>
      <c r="U218" s="44">
        <v>0</v>
      </c>
      <c r="V218" s="44"/>
      <c r="W218" s="44">
        <v>655000</v>
      </c>
      <c r="X218" s="44"/>
      <c r="Y218" s="44">
        <v>0</v>
      </c>
      <c r="Z218" s="44"/>
      <c r="AA218" s="44">
        <f t="shared" si="9"/>
        <v>164058000</v>
      </c>
      <c r="AB218" s="44"/>
      <c r="AC218" s="44">
        <f t="shared" si="10"/>
        <v>316303000</v>
      </c>
    </row>
    <row r="219" spans="1:29" s="47" customFormat="1" ht="12.75" customHeight="1">
      <c r="A219" s="47" t="s">
        <v>248</v>
      </c>
      <c r="C219" s="47" t="s">
        <v>249</v>
      </c>
      <c r="E219" s="44">
        <v>125600</v>
      </c>
      <c r="F219" s="44"/>
      <c r="G219" s="44">
        <v>410326</v>
      </c>
      <c r="H219" s="44"/>
      <c r="I219" s="44">
        <v>432564</v>
      </c>
      <c r="J219" s="44"/>
      <c r="K219" s="44">
        <f>116922+42610</f>
        <v>159532</v>
      </c>
      <c r="L219" s="44"/>
      <c r="M219" s="44">
        <v>2182411</v>
      </c>
      <c r="N219" s="44"/>
      <c r="O219" s="44">
        <v>25492</v>
      </c>
      <c r="P219" s="44"/>
      <c r="Q219" s="44">
        <v>444960</v>
      </c>
      <c r="R219" s="44"/>
      <c r="S219" s="44">
        <v>2575</v>
      </c>
      <c r="T219" s="44"/>
      <c r="U219" s="44">
        <v>47177</v>
      </c>
      <c r="V219" s="44"/>
      <c r="W219" s="44">
        <v>-546238</v>
      </c>
      <c r="X219" s="44"/>
      <c r="Y219" s="44">
        <v>0</v>
      </c>
      <c r="Z219" s="44"/>
      <c r="AA219" s="44">
        <f t="shared" si="9"/>
        <v>2315909</v>
      </c>
      <c r="AB219" s="44"/>
      <c r="AC219" s="44">
        <f t="shared" si="10"/>
        <v>3284399</v>
      </c>
    </row>
    <row r="220" spans="1:29" s="47" customFormat="1" ht="12.75" customHeight="1">
      <c r="A220" s="47" t="s">
        <v>250</v>
      </c>
      <c r="C220" s="47" t="s">
        <v>103</v>
      </c>
      <c r="E220" s="44">
        <v>585889</v>
      </c>
      <c r="F220" s="44"/>
      <c r="G220" s="44">
        <v>481845</v>
      </c>
      <c r="H220" s="44"/>
      <c r="I220" s="44">
        <v>0</v>
      </c>
      <c r="J220" s="44"/>
      <c r="K220" s="44">
        <v>519425</v>
      </c>
      <c r="L220" s="44"/>
      <c r="M220" s="44">
        <v>1490505</v>
      </c>
      <c r="N220" s="44"/>
      <c r="O220" s="44">
        <f>36703+114808+8229+75706</f>
        <v>235446</v>
      </c>
      <c r="P220" s="44"/>
      <c r="Q220" s="44">
        <v>334425</v>
      </c>
      <c r="R220" s="44"/>
      <c r="S220" s="44">
        <v>133809</v>
      </c>
      <c r="T220" s="44"/>
      <c r="U220" s="44">
        <v>59112</v>
      </c>
      <c r="V220" s="44"/>
      <c r="W220" s="44">
        <v>-3516</v>
      </c>
      <c r="X220" s="44"/>
      <c r="Y220" s="44">
        <v>0</v>
      </c>
      <c r="Z220" s="44"/>
      <c r="AA220" s="44">
        <f t="shared" si="9"/>
        <v>2769206</v>
      </c>
      <c r="AB220" s="44"/>
      <c r="AC220" s="44">
        <f t="shared" si="10"/>
        <v>3836940</v>
      </c>
    </row>
    <row r="221" spans="1:29" s="47" customFormat="1" ht="12.75" customHeight="1">
      <c r="A221" s="47" t="s">
        <v>251</v>
      </c>
      <c r="C221" s="47" t="s">
        <v>66</v>
      </c>
      <c r="E221" s="44">
        <v>1964273</v>
      </c>
      <c r="F221" s="44"/>
      <c r="G221" s="44">
        <v>3323285</v>
      </c>
      <c r="H221" s="44"/>
      <c r="I221" s="44">
        <v>2279206</v>
      </c>
      <c r="J221" s="44"/>
      <c r="K221" s="44">
        <f>1846296+2842302+163110</f>
        <v>4851708</v>
      </c>
      <c r="L221" s="44"/>
      <c r="M221" s="44">
        <v>5058111</v>
      </c>
      <c r="N221" s="44"/>
      <c r="O221" s="44">
        <v>320584</v>
      </c>
      <c r="P221" s="44"/>
      <c r="Q221" s="44">
        <v>1421021</v>
      </c>
      <c r="R221" s="44"/>
      <c r="S221" s="44">
        <v>78738</v>
      </c>
      <c r="T221" s="44"/>
      <c r="U221" s="44">
        <v>335746</v>
      </c>
      <c r="V221" s="44"/>
      <c r="W221" s="44">
        <v>-680840</v>
      </c>
      <c r="X221" s="44"/>
      <c r="Y221" s="44">
        <v>0</v>
      </c>
      <c r="Z221" s="44"/>
      <c r="AA221" s="44">
        <f t="shared" si="9"/>
        <v>11385068</v>
      </c>
      <c r="AB221" s="44"/>
      <c r="AC221" s="44">
        <f t="shared" si="10"/>
        <v>18951832</v>
      </c>
    </row>
    <row r="222" spans="1:29" s="47" customFormat="1" ht="12.75" customHeight="1">
      <c r="A222" s="47" t="s">
        <v>252</v>
      </c>
      <c r="C222" s="47" t="s">
        <v>209</v>
      </c>
      <c r="E222" s="44">
        <v>3293493</v>
      </c>
      <c r="F222" s="44"/>
      <c r="G222" s="44">
        <v>1930659</v>
      </c>
      <c r="H222" s="44"/>
      <c r="I222" s="44">
        <v>1506391</v>
      </c>
      <c r="J222" s="44"/>
      <c r="K222" s="44">
        <f>1889150+1888060</f>
        <v>3777210</v>
      </c>
      <c r="L222" s="44"/>
      <c r="M222" s="44">
        <v>10947510</v>
      </c>
      <c r="N222" s="44"/>
      <c r="O222" s="44">
        <v>194775</v>
      </c>
      <c r="P222" s="44"/>
      <c r="Q222" s="44">
        <v>1739288</v>
      </c>
      <c r="R222" s="44"/>
      <c r="S222" s="44">
        <v>1035398</v>
      </c>
      <c r="T222" s="44"/>
      <c r="U222" s="44">
        <f>48268+280779</f>
        <v>329047</v>
      </c>
      <c r="V222" s="44"/>
      <c r="W222" s="44">
        <v>25200</v>
      </c>
      <c r="X222" s="44"/>
      <c r="Y222" s="44">
        <v>0</v>
      </c>
      <c r="Z222" s="44"/>
      <c r="AA222" s="44">
        <f t="shared" si="9"/>
        <v>18048428</v>
      </c>
      <c r="AB222" s="44"/>
      <c r="AC222" s="44">
        <f t="shared" si="10"/>
        <v>24778971</v>
      </c>
    </row>
    <row r="223" spans="1:29" s="47" customFormat="1" ht="12.75" customHeight="1">
      <c r="A223" s="47" t="s">
        <v>253</v>
      </c>
      <c r="C223" s="47" t="s">
        <v>13</v>
      </c>
      <c r="E223" s="44">
        <v>2875920</v>
      </c>
      <c r="F223" s="44"/>
      <c r="G223" s="44">
        <v>47966</v>
      </c>
      <c r="H223" s="44"/>
      <c r="I223" s="44">
        <v>0</v>
      </c>
      <c r="J223" s="44"/>
      <c r="K223" s="44">
        <f>654575+997881</f>
        <v>1652456</v>
      </c>
      <c r="L223" s="44"/>
      <c r="M223" s="44">
        <v>16912896</v>
      </c>
      <c r="N223" s="44"/>
      <c r="O223" s="44">
        <v>0</v>
      </c>
      <c r="P223" s="44"/>
      <c r="Q223" s="44">
        <v>2303380</v>
      </c>
      <c r="R223" s="44"/>
      <c r="S223" s="44">
        <v>390794</v>
      </c>
      <c r="T223" s="44"/>
      <c r="U223" s="44">
        <v>247635</v>
      </c>
      <c r="V223" s="44"/>
      <c r="W223" s="44">
        <v>-285926</v>
      </c>
      <c r="X223" s="44"/>
      <c r="Y223" s="44">
        <v>0</v>
      </c>
      <c r="Z223" s="44"/>
      <c r="AA223" s="44">
        <f t="shared" si="9"/>
        <v>21221235</v>
      </c>
      <c r="AB223" s="44"/>
      <c r="AC223" s="44">
        <f>SUM(E223:Y223)</f>
        <v>24145121</v>
      </c>
    </row>
    <row r="224" spans="1:29" s="47" customFormat="1" ht="12.75" customHeight="1">
      <c r="A224" s="47" t="s">
        <v>254</v>
      </c>
      <c r="C224" s="47" t="s">
        <v>89</v>
      </c>
      <c r="E224" s="44">
        <v>282894</v>
      </c>
      <c r="F224" s="44"/>
      <c r="G224" s="44">
        <v>253603</v>
      </c>
      <c r="H224" s="44"/>
      <c r="I224" s="44">
        <v>381419</v>
      </c>
      <c r="J224" s="44"/>
      <c r="K224" s="44">
        <f>313733+95233+5085+68663+33062</f>
        <v>515776</v>
      </c>
      <c r="L224" s="44"/>
      <c r="M224" s="44">
        <f>903880+246386</f>
        <v>1150266</v>
      </c>
      <c r="N224" s="44"/>
      <c r="O224" s="44">
        <v>0</v>
      </c>
      <c r="P224" s="44"/>
      <c r="Q224" s="44">
        <v>255752</v>
      </c>
      <c r="R224" s="44"/>
      <c r="S224" s="44">
        <v>15566</v>
      </c>
      <c r="T224" s="44"/>
      <c r="U224" s="44">
        <v>16379</v>
      </c>
      <c r="V224" s="44"/>
      <c r="W224" s="44">
        <v>0</v>
      </c>
      <c r="X224" s="44"/>
      <c r="Y224" s="44">
        <v>0</v>
      </c>
      <c r="Z224" s="44"/>
      <c r="AA224" s="44">
        <f t="shared" si="9"/>
        <v>1953739</v>
      </c>
      <c r="AB224" s="44"/>
      <c r="AC224" s="44">
        <f t="shared" si="10"/>
        <v>2871655</v>
      </c>
    </row>
    <row r="225" spans="1:29" s="47" customFormat="1" ht="12.75" customHeight="1">
      <c r="A225" s="47" t="s">
        <v>159</v>
      </c>
      <c r="C225" s="47" t="s">
        <v>66</v>
      </c>
      <c r="E225" s="44">
        <v>1163296</v>
      </c>
      <c r="F225" s="44"/>
      <c r="G225" s="44">
        <v>600711</v>
      </c>
      <c r="H225" s="44"/>
      <c r="I225" s="44">
        <v>59411</v>
      </c>
      <c r="J225" s="44"/>
      <c r="K225" s="44">
        <v>1693166</v>
      </c>
      <c r="L225" s="44"/>
      <c r="M225" s="44">
        <v>460474</v>
      </c>
      <c r="N225" s="44"/>
      <c r="O225" s="44">
        <v>0</v>
      </c>
      <c r="P225" s="44"/>
      <c r="Q225" s="44">
        <v>163694</v>
      </c>
      <c r="R225" s="44"/>
      <c r="S225" s="44">
        <v>9534</v>
      </c>
      <c r="T225" s="44"/>
      <c r="U225" s="44">
        <f>189601+15058-2371</f>
        <v>202288</v>
      </c>
      <c r="V225" s="44"/>
      <c r="W225" s="44">
        <v>-7600</v>
      </c>
      <c r="X225" s="44"/>
      <c r="Y225" s="44">
        <v>0</v>
      </c>
      <c r="Z225" s="44"/>
      <c r="AA225" s="44">
        <f t="shared" si="9"/>
        <v>2521556</v>
      </c>
      <c r="AB225" s="44"/>
      <c r="AC225" s="44">
        <f>SUM(E225:Y225)</f>
        <v>4344974</v>
      </c>
    </row>
    <row r="226" spans="1:29" s="47" customFormat="1" ht="12.75" customHeight="1">
      <c r="A226" s="47" t="s">
        <v>255</v>
      </c>
      <c r="C226" s="47" t="s">
        <v>27</v>
      </c>
      <c r="E226" s="44">
        <v>1300808</v>
      </c>
      <c r="F226" s="44"/>
      <c r="G226" s="44">
        <v>125989</v>
      </c>
      <c r="H226" s="44"/>
      <c r="I226" s="44">
        <v>1833228</v>
      </c>
      <c r="J226" s="44"/>
      <c r="K226" s="44">
        <f>2636589+145708+509979</f>
        <v>3292276</v>
      </c>
      <c r="L226" s="44"/>
      <c r="M226" s="44">
        <v>7777904</v>
      </c>
      <c r="N226" s="44"/>
      <c r="O226" s="44">
        <v>4131516</v>
      </c>
      <c r="P226" s="44"/>
      <c r="Q226" s="44">
        <v>1786221</v>
      </c>
      <c r="R226" s="44"/>
      <c r="S226" s="44">
        <v>6181</v>
      </c>
      <c r="T226" s="44"/>
      <c r="U226" s="44">
        <v>66348</v>
      </c>
      <c r="V226" s="44"/>
      <c r="W226" s="44">
        <v>0</v>
      </c>
      <c r="X226" s="44"/>
      <c r="Y226" s="44">
        <v>0</v>
      </c>
      <c r="Z226" s="44"/>
      <c r="AA226" s="44">
        <f t="shared" si="9"/>
        <v>17060446</v>
      </c>
      <c r="AB226" s="44"/>
      <c r="AC226" s="44">
        <f t="shared" si="10"/>
        <v>20320471</v>
      </c>
    </row>
    <row r="227" spans="1:29" s="44" customFormat="1" ht="12.75" customHeight="1">
      <c r="A227" s="44" t="s">
        <v>256</v>
      </c>
      <c r="C227" s="44" t="s">
        <v>43</v>
      </c>
      <c r="E227" s="44">
        <v>3941284</v>
      </c>
      <c r="G227" s="44">
        <v>1813340</v>
      </c>
      <c r="I227" s="44">
        <v>79800</v>
      </c>
      <c r="K227" s="44">
        <v>9109176</v>
      </c>
      <c r="M227" s="44">
        <v>12173360</v>
      </c>
      <c r="O227" s="44">
        <v>4191686</v>
      </c>
      <c r="Q227" s="44">
        <v>3484158</v>
      </c>
      <c r="S227" s="44">
        <v>887257</v>
      </c>
      <c r="U227" s="44">
        <v>331685</v>
      </c>
      <c r="W227" s="44">
        <v>-1047894</v>
      </c>
      <c r="Y227" s="44">
        <v>0</v>
      </c>
      <c r="AA227" s="44">
        <f>SUM(K227:Y227)</f>
        <v>29129428</v>
      </c>
      <c r="AC227" s="44">
        <f>SUM(E227:Y227)</f>
        <v>34963852</v>
      </c>
    </row>
    <row r="228" spans="1:29" s="47" customFormat="1" ht="12.75" customHeight="1">
      <c r="A228" s="47" t="s">
        <v>257</v>
      </c>
      <c r="C228" s="47" t="s">
        <v>258</v>
      </c>
      <c r="E228" s="44">
        <v>202342</v>
      </c>
      <c r="F228" s="44"/>
      <c r="G228" s="44">
        <v>310164</v>
      </c>
      <c r="H228" s="44"/>
      <c r="I228" s="44">
        <v>240324</v>
      </c>
      <c r="J228" s="44"/>
      <c r="K228" s="44">
        <v>343810</v>
      </c>
      <c r="L228" s="44"/>
      <c r="M228" s="44">
        <v>1704768</v>
      </c>
      <c r="N228" s="44"/>
      <c r="O228" s="44">
        <f>554520+56115</f>
        <v>610635</v>
      </c>
      <c r="P228" s="44"/>
      <c r="Q228" s="44">
        <v>795451</v>
      </c>
      <c r="R228" s="44"/>
      <c r="S228" s="44">
        <v>17380</v>
      </c>
      <c r="T228" s="44"/>
      <c r="U228" s="44">
        <v>143081</v>
      </c>
      <c r="V228" s="44"/>
      <c r="W228" s="44">
        <v>447102</v>
      </c>
      <c r="X228" s="44"/>
      <c r="Y228" s="44">
        <v>0</v>
      </c>
      <c r="Z228" s="44"/>
      <c r="AA228" s="44">
        <f t="shared" si="9"/>
        <v>4062227</v>
      </c>
      <c r="AB228" s="44"/>
      <c r="AC228" s="44">
        <f>SUM(E228:Y228)</f>
        <v>4815057</v>
      </c>
    </row>
    <row r="229" spans="1:29" s="47" customFormat="1" ht="12.75" customHeight="1">
      <c r="A229" s="47" t="s">
        <v>259</v>
      </c>
      <c r="C229" s="47" t="s">
        <v>260</v>
      </c>
      <c r="E229" s="44">
        <v>1890596</v>
      </c>
      <c r="F229" s="44"/>
      <c r="G229" s="44">
        <v>1187753</v>
      </c>
      <c r="H229" s="44"/>
      <c r="I229" s="44">
        <v>1922330</v>
      </c>
      <c r="J229" s="44"/>
      <c r="K229" s="44">
        <v>588171</v>
      </c>
      <c r="L229" s="44"/>
      <c r="M229" s="44">
        <v>4645885</v>
      </c>
      <c r="N229" s="44"/>
      <c r="O229" s="44">
        <v>173465</v>
      </c>
      <c r="P229" s="44"/>
      <c r="Q229" s="44">
        <v>582350</v>
      </c>
      <c r="R229" s="44"/>
      <c r="S229" s="44">
        <v>130997</v>
      </c>
      <c r="T229" s="44"/>
      <c r="U229" s="44">
        <v>462160</v>
      </c>
      <c r="V229" s="44"/>
      <c r="W229" s="44">
        <v>0</v>
      </c>
      <c r="X229" s="44"/>
      <c r="Y229" s="44">
        <v>0</v>
      </c>
      <c r="Z229" s="44"/>
      <c r="AA229" s="44">
        <f t="shared" ref="AA229:AA255" si="11">SUM(K229:Y229)</f>
        <v>6583028</v>
      </c>
      <c r="AB229" s="44"/>
      <c r="AC229" s="44">
        <f t="shared" si="10"/>
        <v>11583707</v>
      </c>
    </row>
    <row r="230" spans="1:29" s="47" customFormat="1" ht="12.75" customHeight="1">
      <c r="A230" s="47" t="s">
        <v>261</v>
      </c>
      <c r="C230" s="47" t="s">
        <v>66</v>
      </c>
      <c r="E230" s="44">
        <v>5165206</v>
      </c>
      <c r="F230" s="44"/>
      <c r="G230" s="44">
        <v>1324350</v>
      </c>
      <c r="H230" s="44"/>
      <c r="I230" s="44">
        <v>2078995</v>
      </c>
      <c r="J230" s="44"/>
      <c r="K230" s="44">
        <v>1670726</v>
      </c>
      <c r="L230" s="44"/>
      <c r="M230" s="44">
        <v>9222083</v>
      </c>
      <c r="N230" s="44"/>
      <c r="O230" s="44">
        <v>16857</v>
      </c>
      <c r="P230" s="44"/>
      <c r="Q230" s="44">
        <v>1931238</v>
      </c>
      <c r="R230" s="44"/>
      <c r="S230" s="44">
        <v>622173</v>
      </c>
      <c r="T230" s="44"/>
      <c r="U230" s="44">
        <v>114904</v>
      </c>
      <c r="V230" s="44"/>
      <c r="W230" s="44">
        <v>-192856</v>
      </c>
      <c r="X230" s="44"/>
      <c r="Y230" s="44">
        <v>0</v>
      </c>
      <c r="Z230" s="44"/>
      <c r="AA230" s="44">
        <f t="shared" si="11"/>
        <v>13385125</v>
      </c>
      <c r="AB230" s="44"/>
      <c r="AC230" s="44">
        <f t="shared" si="10"/>
        <v>21953676</v>
      </c>
    </row>
    <row r="231" spans="1:29" s="47" customFormat="1" ht="12.75" customHeight="1">
      <c r="A231" s="47" t="s">
        <v>262</v>
      </c>
      <c r="C231" s="47" t="s">
        <v>132</v>
      </c>
      <c r="E231" s="44">
        <v>2250935</v>
      </c>
      <c r="F231" s="44"/>
      <c r="G231" s="44">
        <v>919533</v>
      </c>
      <c r="H231" s="44"/>
      <c r="I231" s="44">
        <v>70049</v>
      </c>
      <c r="J231" s="44"/>
      <c r="K231" s="44">
        <f>1914228+325022+75065+375055</f>
        <v>2689370</v>
      </c>
      <c r="L231" s="44"/>
      <c r="M231" s="44">
        <v>1096028</v>
      </c>
      <c r="N231" s="44"/>
      <c r="O231" s="44">
        <v>0</v>
      </c>
      <c r="P231" s="44"/>
      <c r="Q231" s="44">
        <v>927394</v>
      </c>
      <c r="R231" s="44"/>
      <c r="S231" s="44">
        <v>56476</v>
      </c>
      <c r="T231" s="44"/>
      <c r="U231" s="44">
        <f>185501+95608</f>
        <v>281109</v>
      </c>
      <c r="V231" s="44"/>
      <c r="W231" s="44">
        <v>-81866</v>
      </c>
      <c r="X231" s="44"/>
      <c r="Y231" s="44">
        <v>0</v>
      </c>
      <c r="Z231" s="44"/>
      <c r="AA231" s="44">
        <f t="shared" si="11"/>
        <v>4968511</v>
      </c>
      <c r="AB231" s="44"/>
      <c r="AC231" s="44">
        <f t="shared" si="10"/>
        <v>8209028</v>
      </c>
    </row>
    <row r="232" spans="1:29" s="47" customFormat="1" ht="12.75" customHeight="1">
      <c r="A232" s="47" t="s">
        <v>263</v>
      </c>
      <c r="C232" s="47" t="s">
        <v>53</v>
      </c>
      <c r="E232" s="44">
        <v>3665213</v>
      </c>
      <c r="F232" s="44"/>
      <c r="G232" s="44">
        <v>283725</v>
      </c>
      <c r="H232" s="44"/>
      <c r="I232" s="44">
        <v>1812276</v>
      </c>
      <c r="J232" s="44"/>
      <c r="K232" s="44">
        <f>1052918+416378+1717949</f>
        <v>3187245</v>
      </c>
      <c r="L232" s="44"/>
      <c r="M232" s="44">
        <v>6477735</v>
      </c>
      <c r="N232" s="44"/>
      <c r="O232" s="44">
        <v>0</v>
      </c>
      <c r="P232" s="44"/>
      <c r="Q232" s="44">
        <v>4398252</v>
      </c>
      <c r="R232" s="44"/>
      <c r="S232" s="44">
        <v>195647</v>
      </c>
      <c r="T232" s="44"/>
      <c r="U232" s="44">
        <v>88582</v>
      </c>
      <c r="V232" s="44"/>
      <c r="W232" s="44">
        <v>69566</v>
      </c>
      <c r="X232" s="44"/>
      <c r="Y232" s="44">
        <v>0</v>
      </c>
      <c r="Z232" s="44"/>
      <c r="AA232" s="44">
        <f t="shared" si="11"/>
        <v>14417027</v>
      </c>
      <c r="AB232" s="44"/>
      <c r="AC232" s="44">
        <f t="shared" si="10"/>
        <v>20178241</v>
      </c>
    </row>
    <row r="233" spans="1:29" s="47" customFormat="1" ht="12.75" customHeight="1">
      <c r="A233" s="47" t="s">
        <v>264</v>
      </c>
      <c r="C233" s="47" t="s">
        <v>239</v>
      </c>
      <c r="E233" s="44">
        <v>895220</v>
      </c>
      <c r="F233" s="44"/>
      <c r="G233" s="44">
        <v>608906</v>
      </c>
      <c r="H233" s="44"/>
      <c r="I233" s="44">
        <v>426237</v>
      </c>
      <c r="J233" s="44"/>
      <c r="K233" s="44">
        <f>365898+92532</f>
        <v>458430</v>
      </c>
      <c r="L233" s="44"/>
      <c r="M233" s="44">
        <v>2163600</v>
      </c>
      <c r="N233" s="44"/>
      <c r="O233" s="44">
        <f>604597+70776</f>
        <v>675373</v>
      </c>
      <c r="P233" s="44"/>
      <c r="Q233" s="44">
        <v>571917</v>
      </c>
      <c r="R233" s="44"/>
      <c r="S233" s="44">
        <v>123591</v>
      </c>
      <c r="T233" s="44"/>
      <c r="U233" s="44">
        <f>9671+48787</f>
        <v>58458</v>
      </c>
      <c r="V233" s="44"/>
      <c r="W233" s="44">
        <v>-557664</v>
      </c>
      <c r="X233" s="44"/>
      <c r="Y233" s="44">
        <v>0</v>
      </c>
      <c r="Z233" s="44"/>
      <c r="AA233" s="44">
        <f>SUM(K233:Y233)</f>
        <v>3493705</v>
      </c>
      <c r="AB233" s="44"/>
      <c r="AC233" s="44">
        <f>SUM(E233:Y233)</f>
        <v>5424068</v>
      </c>
    </row>
    <row r="234" spans="1:29" s="47" customFormat="1" ht="12.75" customHeight="1">
      <c r="A234" s="47" t="s">
        <v>111</v>
      </c>
      <c r="C234" s="47" t="s">
        <v>80</v>
      </c>
      <c r="E234" s="44">
        <v>4251761</v>
      </c>
      <c r="F234" s="44"/>
      <c r="G234" s="44">
        <v>5489769</v>
      </c>
      <c r="H234" s="44"/>
      <c r="I234" s="44">
        <v>3501520</v>
      </c>
      <c r="J234" s="44"/>
      <c r="K234" s="44">
        <f>1298598+133797+133797</f>
        <v>1566192</v>
      </c>
      <c r="L234" s="44"/>
      <c r="M234" s="44">
        <v>16411492</v>
      </c>
      <c r="N234" s="44"/>
      <c r="O234" s="44">
        <v>0</v>
      </c>
      <c r="P234" s="44"/>
      <c r="Q234" s="44">
        <v>2908110</v>
      </c>
      <c r="R234" s="44"/>
      <c r="S234" s="44">
        <v>302100</v>
      </c>
      <c r="T234" s="44"/>
      <c r="U234" s="44">
        <v>605315</v>
      </c>
      <c r="V234" s="44"/>
      <c r="W234" s="44">
        <v>-510000</v>
      </c>
      <c r="X234" s="44"/>
      <c r="Y234" s="44">
        <v>0</v>
      </c>
      <c r="Z234" s="44"/>
      <c r="AA234" s="44">
        <f t="shared" si="11"/>
        <v>21283209</v>
      </c>
      <c r="AB234" s="44"/>
      <c r="AC234" s="44">
        <f t="shared" si="10"/>
        <v>34526259</v>
      </c>
    </row>
    <row r="235" spans="1:29" s="47" customFormat="1" ht="12.75" customHeight="1">
      <c r="A235" s="47" t="s">
        <v>265</v>
      </c>
      <c r="C235" s="47" t="s">
        <v>27</v>
      </c>
      <c r="E235" s="44">
        <v>913993</v>
      </c>
      <c r="F235" s="44"/>
      <c r="G235" s="44">
        <v>548446</v>
      </c>
      <c r="H235" s="44"/>
      <c r="I235" s="44">
        <v>770621</v>
      </c>
      <c r="J235" s="44"/>
      <c r="K235" s="44">
        <f>664309+573336+610702</f>
        <v>1848347</v>
      </c>
      <c r="L235" s="44"/>
      <c r="M235" s="44">
        <v>10857890</v>
      </c>
      <c r="N235" s="44"/>
      <c r="O235" s="44">
        <v>0</v>
      </c>
      <c r="P235" s="44"/>
      <c r="Q235" s="44">
        <v>1514445</v>
      </c>
      <c r="R235" s="44"/>
      <c r="S235" s="44">
        <v>2137</v>
      </c>
      <c r="T235" s="44"/>
      <c r="U235" s="44">
        <v>110512</v>
      </c>
      <c r="V235" s="44"/>
      <c r="W235" s="44">
        <v>0</v>
      </c>
      <c r="X235" s="44"/>
      <c r="Y235" s="44">
        <v>0</v>
      </c>
      <c r="Z235" s="44"/>
      <c r="AA235" s="44">
        <f t="shared" si="11"/>
        <v>14333331</v>
      </c>
      <c r="AB235" s="44"/>
      <c r="AC235" s="44">
        <f t="shared" si="10"/>
        <v>16566391</v>
      </c>
    </row>
    <row r="236" spans="1:29" s="47" customFormat="1" ht="12.75" customHeight="1">
      <c r="A236" s="47" t="s">
        <v>40</v>
      </c>
      <c r="C236" s="47" t="s">
        <v>451</v>
      </c>
      <c r="E236" s="44">
        <v>1665262</v>
      </c>
      <c r="F236" s="44"/>
      <c r="G236" s="44">
        <v>116529</v>
      </c>
      <c r="H236" s="44"/>
      <c r="I236" s="44">
        <v>547712</v>
      </c>
      <c r="J236" s="44"/>
      <c r="K236" s="44">
        <v>1633207</v>
      </c>
      <c r="L236" s="44"/>
      <c r="M236" s="44">
        <v>5522602</v>
      </c>
      <c r="N236" s="44"/>
      <c r="O236" s="44">
        <v>744008</v>
      </c>
      <c r="P236" s="44"/>
      <c r="Q236" s="44">
        <f>1385752+6886</f>
        <v>1392638</v>
      </c>
      <c r="R236" s="44"/>
      <c r="S236" s="44">
        <v>92087</v>
      </c>
      <c r="T236" s="44"/>
      <c r="U236" s="44">
        <v>189354</v>
      </c>
      <c r="V236" s="44"/>
      <c r="W236" s="44">
        <v>-27500</v>
      </c>
      <c r="X236" s="44"/>
      <c r="Y236" s="44">
        <v>0</v>
      </c>
      <c r="Z236" s="44"/>
      <c r="AA236" s="44">
        <f t="shared" si="11"/>
        <v>9546396</v>
      </c>
      <c r="AB236" s="44"/>
      <c r="AC236" s="44">
        <f t="shared" si="10"/>
        <v>11875899</v>
      </c>
    </row>
    <row r="237" spans="1:29" s="47" customFormat="1" ht="12.75" customHeight="1">
      <c r="A237" s="47" t="s">
        <v>266</v>
      </c>
      <c r="C237" s="47" t="s">
        <v>267</v>
      </c>
      <c r="E237" s="44">
        <v>516903</v>
      </c>
      <c r="F237" s="44"/>
      <c r="G237" s="44">
        <v>499487</v>
      </c>
      <c r="H237" s="44"/>
      <c r="I237" s="44">
        <v>0</v>
      </c>
      <c r="J237" s="44"/>
      <c r="K237" s="44">
        <v>253225</v>
      </c>
      <c r="L237" s="44"/>
      <c r="M237" s="44">
        <v>2995850</v>
      </c>
      <c r="N237" s="44"/>
      <c r="O237" s="44">
        <v>0</v>
      </c>
      <c r="P237" s="44"/>
      <c r="Q237" s="44">
        <v>424348</v>
      </c>
      <c r="R237" s="44"/>
      <c r="S237" s="44">
        <v>30218</v>
      </c>
      <c r="T237" s="44"/>
      <c r="U237" s="44">
        <v>105766</v>
      </c>
      <c r="V237" s="44"/>
      <c r="W237" s="44">
        <v>-506792</v>
      </c>
      <c r="X237" s="44"/>
      <c r="Y237" s="44">
        <v>0</v>
      </c>
      <c r="Z237" s="44"/>
      <c r="AA237" s="44">
        <f t="shared" si="11"/>
        <v>3302615</v>
      </c>
      <c r="AB237" s="44"/>
      <c r="AC237" s="44">
        <f t="shared" si="10"/>
        <v>4319005</v>
      </c>
    </row>
    <row r="238" spans="1:29" s="47" customFormat="1" ht="12.75" customHeight="1">
      <c r="A238" s="47" t="s">
        <v>268</v>
      </c>
      <c r="C238" s="47" t="s">
        <v>269</v>
      </c>
      <c r="E238" s="44">
        <v>167216</v>
      </c>
      <c r="F238" s="44"/>
      <c r="G238" s="44">
        <v>254470</v>
      </c>
      <c r="H238" s="44"/>
      <c r="I238" s="44">
        <v>0</v>
      </c>
      <c r="J238" s="44"/>
      <c r="K238" s="44">
        <f>142234+497942</f>
        <v>640176</v>
      </c>
      <c r="L238" s="44"/>
      <c r="M238" s="44">
        <v>1234912</v>
      </c>
      <c r="N238" s="44"/>
      <c r="O238" s="44">
        <v>0</v>
      </c>
      <c r="P238" s="44"/>
      <c r="Q238" s="44">
        <v>783975</v>
      </c>
      <c r="R238" s="44"/>
      <c r="S238" s="44">
        <v>2929</v>
      </c>
      <c r="T238" s="44"/>
      <c r="U238" s="44">
        <v>96050</v>
      </c>
      <c r="V238" s="44"/>
      <c r="W238" s="44">
        <v>0</v>
      </c>
      <c r="X238" s="44"/>
      <c r="Y238" s="44">
        <v>0</v>
      </c>
      <c r="Z238" s="44"/>
      <c r="AA238" s="44">
        <f t="shared" si="11"/>
        <v>2758042</v>
      </c>
      <c r="AB238" s="44"/>
      <c r="AC238" s="44">
        <f t="shared" si="10"/>
        <v>3179728</v>
      </c>
    </row>
    <row r="239" spans="1:29" s="47" customFormat="1" ht="12.75" customHeight="1">
      <c r="A239" s="47" t="s">
        <v>270</v>
      </c>
      <c r="C239" s="47" t="s">
        <v>136</v>
      </c>
      <c r="E239" s="44">
        <v>341526</v>
      </c>
      <c r="F239" s="44"/>
      <c r="G239" s="44">
        <v>1189584</v>
      </c>
      <c r="H239" s="44"/>
      <c r="I239" s="44">
        <v>0</v>
      </c>
      <c r="J239" s="44"/>
      <c r="K239" s="44">
        <f>170267+203466+98264</f>
        <v>471997</v>
      </c>
      <c r="L239" s="44"/>
      <c r="M239" s="44">
        <v>1013452</v>
      </c>
      <c r="N239" s="44"/>
      <c r="O239" s="44">
        <v>0</v>
      </c>
      <c r="P239" s="44"/>
      <c r="Q239" s="44">
        <v>256772</v>
      </c>
      <c r="R239" s="44"/>
      <c r="S239" s="44">
        <v>108702</v>
      </c>
      <c r="T239" s="44"/>
      <c r="U239" s="44">
        <v>108161</v>
      </c>
      <c r="V239" s="44"/>
      <c r="W239" s="44">
        <v>0</v>
      </c>
      <c r="X239" s="44"/>
      <c r="Y239" s="44">
        <v>0</v>
      </c>
      <c r="Z239" s="44"/>
      <c r="AA239" s="44">
        <f>SUM(K239:Y239)</f>
        <v>1959084</v>
      </c>
      <c r="AB239" s="44"/>
      <c r="AC239" s="44">
        <f>SUM(E239:Y239)</f>
        <v>3490194</v>
      </c>
    </row>
    <row r="240" spans="1:29" s="47" customFormat="1" ht="12.75" customHeight="1">
      <c r="A240" s="47" t="s">
        <v>271</v>
      </c>
      <c r="C240" s="47" t="s">
        <v>66</v>
      </c>
      <c r="E240" s="44">
        <v>1385318</v>
      </c>
      <c r="F240" s="44"/>
      <c r="G240" s="44">
        <v>158404</v>
      </c>
      <c r="H240" s="44"/>
      <c r="I240" s="44">
        <v>195048</v>
      </c>
      <c r="J240" s="44"/>
      <c r="K240" s="44">
        <f>1217394+106760</f>
        <v>1324154</v>
      </c>
      <c r="L240" s="44"/>
      <c r="M240" s="44">
        <v>6249398</v>
      </c>
      <c r="N240" s="44"/>
      <c r="O240" s="44">
        <v>0</v>
      </c>
      <c r="P240" s="44"/>
      <c r="Q240" s="44">
        <v>581219</v>
      </c>
      <c r="R240" s="44"/>
      <c r="S240" s="44">
        <v>39654</v>
      </c>
      <c r="T240" s="44"/>
      <c r="U240" s="44">
        <f>402685+400000</f>
        <v>802685</v>
      </c>
      <c r="V240" s="44"/>
      <c r="W240" s="44">
        <v>-27500</v>
      </c>
      <c r="X240" s="44"/>
      <c r="Y240" s="44">
        <v>0</v>
      </c>
      <c r="Z240" s="44"/>
      <c r="AA240" s="44">
        <f t="shared" si="11"/>
        <v>8969610</v>
      </c>
      <c r="AB240" s="44"/>
      <c r="AC240" s="44">
        <f t="shared" si="10"/>
        <v>10708380</v>
      </c>
    </row>
    <row r="241" spans="1:29" s="47" customFormat="1" ht="12.75" customHeight="1">
      <c r="A241" s="47" t="s">
        <v>272</v>
      </c>
      <c r="C241" s="47" t="s">
        <v>43</v>
      </c>
      <c r="E241" s="44">
        <v>5253704</v>
      </c>
      <c r="F241" s="44"/>
      <c r="G241" s="44">
        <v>5497164</v>
      </c>
      <c r="H241" s="44"/>
      <c r="I241" s="44">
        <v>130359</v>
      </c>
      <c r="J241" s="44"/>
      <c r="K241" s="44">
        <f>3040208+6893177+187731</f>
        <v>10121116</v>
      </c>
      <c r="L241" s="44"/>
      <c r="M241" s="44">
        <f>29002095+3854332</f>
        <v>32856427</v>
      </c>
      <c r="N241" s="44"/>
      <c r="O241" s="44">
        <v>505053</v>
      </c>
      <c r="P241" s="44"/>
      <c r="Q241" s="44">
        <v>5172682</v>
      </c>
      <c r="R241" s="44"/>
      <c r="S241" s="44">
        <v>1284620</v>
      </c>
      <c r="T241" s="44"/>
      <c r="U241" s="44">
        <f>2239257+408414</f>
        <v>2647671</v>
      </c>
      <c r="V241" s="44"/>
      <c r="W241" s="44">
        <v>-271134</v>
      </c>
      <c r="X241" s="44"/>
      <c r="Y241" s="44">
        <v>0</v>
      </c>
      <c r="Z241" s="44"/>
      <c r="AA241" s="44">
        <f t="shared" si="11"/>
        <v>52316435</v>
      </c>
      <c r="AB241" s="44"/>
      <c r="AC241" s="44">
        <f t="shared" si="10"/>
        <v>63197662</v>
      </c>
    </row>
    <row r="242" spans="1:29" s="47" customFormat="1" ht="12.75" customHeight="1">
      <c r="A242" s="47" t="s">
        <v>273</v>
      </c>
      <c r="C242" s="47" t="s">
        <v>27</v>
      </c>
      <c r="E242" s="44">
        <v>5191432</v>
      </c>
      <c r="F242" s="44"/>
      <c r="G242" s="44">
        <v>1908400</v>
      </c>
      <c r="H242" s="44"/>
      <c r="I242" s="44">
        <v>198262</v>
      </c>
      <c r="J242" s="44"/>
      <c r="K242" s="44">
        <f>10340850+387081+387081+1161243+100983</f>
        <v>12377238</v>
      </c>
      <c r="L242" s="44"/>
      <c r="M242" s="44">
        <f>12306589+975491+5176375</f>
        <v>18458455</v>
      </c>
      <c r="N242" s="44"/>
      <c r="O242" s="44">
        <f>188867+374953+450860</f>
        <v>1014680</v>
      </c>
      <c r="P242" s="44"/>
      <c r="Q242" s="44">
        <v>4653290</v>
      </c>
      <c r="R242" s="44"/>
      <c r="S242" s="44">
        <v>2788286</v>
      </c>
      <c r="T242" s="44"/>
      <c r="U242" s="44">
        <f>5000+702847</f>
        <v>707847</v>
      </c>
      <c r="V242" s="44"/>
      <c r="W242" s="44">
        <v>0</v>
      </c>
      <c r="X242" s="44"/>
      <c r="Y242" s="44">
        <v>0</v>
      </c>
      <c r="Z242" s="44"/>
      <c r="AA242" s="44">
        <f t="shared" si="11"/>
        <v>39999796</v>
      </c>
      <c r="AB242" s="44"/>
      <c r="AC242" s="44">
        <f t="shared" si="10"/>
        <v>47297890</v>
      </c>
    </row>
    <row r="243" spans="1:29" s="47" customFormat="1" ht="12.75" customHeight="1">
      <c r="A243" s="47" t="s">
        <v>274</v>
      </c>
      <c r="C243" s="47" t="s">
        <v>43</v>
      </c>
      <c r="E243" s="44">
        <v>1523889</v>
      </c>
      <c r="F243" s="44"/>
      <c r="G243" s="44">
        <v>1355463</v>
      </c>
      <c r="H243" s="44"/>
      <c r="I243" s="44">
        <v>929554</v>
      </c>
      <c r="J243" s="44"/>
      <c r="K243" s="44">
        <v>423734</v>
      </c>
      <c r="L243" s="44"/>
      <c r="M243" s="44">
        <v>16004379</v>
      </c>
      <c r="N243" s="44"/>
      <c r="O243" s="44">
        <f>92834+1125044</f>
        <v>1217878</v>
      </c>
      <c r="P243" s="44"/>
      <c r="Q243" s="44">
        <v>1456263</v>
      </c>
      <c r="R243" s="44"/>
      <c r="S243" s="44">
        <v>139826</v>
      </c>
      <c r="T243" s="44"/>
      <c r="U243" s="44">
        <v>752830</v>
      </c>
      <c r="V243" s="44"/>
      <c r="W243" s="44">
        <v>0</v>
      </c>
      <c r="X243" s="44"/>
      <c r="Y243" s="44">
        <v>0</v>
      </c>
      <c r="Z243" s="44"/>
      <c r="AA243" s="44">
        <f t="shared" si="11"/>
        <v>19994910</v>
      </c>
      <c r="AB243" s="44"/>
      <c r="AC243" s="44">
        <f t="shared" si="10"/>
        <v>23803816</v>
      </c>
    </row>
    <row r="244" spans="1:29" s="47" customFormat="1" ht="12.75" customHeight="1">
      <c r="A244" s="47" t="s">
        <v>275</v>
      </c>
      <c r="C244" s="47" t="s">
        <v>92</v>
      </c>
      <c r="E244" s="44">
        <v>1721653</v>
      </c>
      <c r="F244" s="44"/>
      <c r="G244" s="44">
        <v>843213</v>
      </c>
      <c r="H244" s="44"/>
      <c r="I244" s="44">
        <v>609610</v>
      </c>
      <c r="J244" s="44"/>
      <c r="K244" s="44">
        <v>2867808</v>
      </c>
      <c r="L244" s="44"/>
      <c r="M244" s="44">
        <v>9152154</v>
      </c>
      <c r="N244" s="44"/>
      <c r="O244" s="44">
        <v>162333</v>
      </c>
      <c r="P244" s="44"/>
      <c r="Q244" s="44">
        <v>2495720</v>
      </c>
      <c r="R244" s="44"/>
      <c r="S244" s="44">
        <v>64130</v>
      </c>
      <c r="T244" s="44"/>
      <c r="U244" s="44">
        <v>193470</v>
      </c>
      <c r="V244" s="44"/>
      <c r="W244" s="44">
        <v>0</v>
      </c>
      <c r="X244" s="44"/>
      <c r="Y244" s="44">
        <v>0</v>
      </c>
      <c r="Z244" s="44"/>
      <c r="AA244" s="44">
        <f t="shared" si="11"/>
        <v>14935615</v>
      </c>
      <c r="AB244" s="44"/>
      <c r="AC244" s="44">
        <f t="shared" si="10"/>
        <v>18110091</v>
      </c>
    </row>
    <row r="245" spans="1:29" s="47" customFormat="1" ht="12.75" customHeight="1">
      <c r="A245" s="47" t="s">
        <v>276</v>
      </c>
      <c r="C245" s="47" t="s">
        <v>38</v>
      </c>
      <c r="E245" s="44">
        <v>746863</v>
      </c>
      <c r="F245" s="44"/>
      <c r="G245" s="44">
        <v>280314</v>
      </c>
      <c r="H245" s="44"/>
      <c r="I245" s="44">
        <v>439368</v>
      </c>
      <c r="J245" s="44"/>
      <c r="K245" s="44">
        <f>256318+40908+25845+52107</f>
        <v>375178</v>
      </c>
      <c r="L245" s="44"/>
      <c r="M245" s="44">
        <f>1719300+393701+545875</f>
        <v>2658876</v>
      </c>
      <c r="N245" s="44"/>
      <c r="O245" s="44">
        <v>0</v>
      </c>
      <c r="P245" s="44"/>
      <c r="Q245" s="44">
        <v>615167</v>
      </c>
      <c r="R245" s="44"/>
      <c r="S245" s="44">
        <v>52952</v>
      </c>
      <c r="T245" s="44"/>
      <c r="U245" s="44">
        <v>13931</v>
      </c>
      <c r="V245" s="44"/>
      <c r="W245" s="44">
        <v>0</v>
      </c>
      <c r="X245" s="44"/>
      <c r="Y245" s="44">
        <v>0</v>
      </c>
      <c r="Z245" s="44"/>
      <c r="AA245" s="44">
        <f t="shared" si="11"/>
        <v>3716104</v>
      </c>
      <c r="AB245" s="44"/>
      <c r="AC245" s="44">
        <f t="shared" si="10"/>
        <v>5182649</v>
      </c>
    </row>
    <row r="246" spans="1:29" s="47" customFormat="1" ht="12.75" customHeight="1">
      <c r="A246" s="47" t="s">
        <v>277</v>
      </c>
      <c r="C246" s="47" t="s">
        <v>92</v>
      </c>
      <c r="E246" s="44">
        <v>5071212</v>
      </c>
      <c r="F246" s="44"/>
      <c r="G246" s="44">
        <v>93517</v>
      </c>
      <c r="H246" s="44"/>
      <c r="I246" s="44">
        <v>681633</v>
      </c>
      <c r="J246" s="44"/>
      <c r="K246" s="44">
        <f>1637646+1581617+1175110+109799</f>
        <v>4504172</v>
      </c>
      <c r="L246" s="44"/>
      <c r="M246" s="44">
        <f>13200377+1118397</f>
        <v>14318774</v>
      </c>
      <c r="N246" s="44"/>
      <c r="O246" s="44">
        <v>0</v>
      </c>
      <c r="P246" s="44"/>
      <c r="Q246" s="44">
        <v>4659956</v>
      </c>
      <c r="R246" s="44"/>
      <c r="S246" s="44">
        <v>433778</v>
      </c>
      <c r="T246" s="44"/>
      <c r="U246" s="44">
        <f>882+4577</f>
        <v>5459</v>
      </c>
      <c r="V246" s="44"/>
      <c r="W246" s="44">
        <v>-62164</v>
      </c>
      <c r="X246" s="44"/>
      <c r="Y246" s="44">
        <v>0</v>
      </c>
      <c r="Z246" s="44"/>
      <c r="AA246" s="44">
        <f t="shared" si="11"/>
        <v>23859975</v>
      </c>
      <c r="AB246" s="44"/>
      <c r="AC246" s="44">
        <f t="shared" si="10"/>
        <v>29706337</v>
      </c>
    </row>
    <row r="247" spans="1:29" s="47" customFormat="1" ht="12.75" customHeight="1">
      <c r="A247" s="47" t="s">
        <v>278</v>
      </c>
      <c r="C247" s="47" t="s">
        <v>92</v>
      </c>
      <c r="E247" s="44">
        <v>2470710</v>
      </c>
      <c r="F247" s="44"/>
      <c r="G247" s="44">
        <v>753158</v>
      </c>
      <c r="H247" s="44"/>
      <c r="I247" s="44">
        <v>402000</v>
      </c>
      <c r="J247" s="44"/>
      <c r="K247" s="44">
        <f>631068+92224+84897+508382+659519</f>
        <v>1976090</v>
      </c>
      <c r="L247" s="44"/>
      <c r="M247" s="44">
        <v>3043926</v>
      </c>
      <c r="N247" s="44"/>
      <c r="O247" s="44">
        <f>53597+78994</f>
        <v>132591</v>
      </c>
      <c r="P247" s="44"/>
      <c r="Q247" s="44">
        <v>892036</v>
      </c>
      <c r="R247" s="44"/>
      <c r="S247" s="44">
        <v>22546</v>
      </c>
      <c r="T247" s="44"/>
      <c r="U247" s="44">
        <v>178875</v>
      </c>
      <c r="V247" s="44"/>
      <c r="W247" s="44">
        <v>20163</v>
      </c>
      <c r="X247" s="44"/>
      <c r="Y247" s="44">
        <v>0</v>
      </c>
      <c r="Z247" s="44"/>
      <c r="AA247" s="44">
        <f t="shared" si="11"/>
        <v>6266227</v>
      </c>
      <c r="AB247" s="44"/>
      <c r="AC247" s="44">
        <f t="shared" si="10"/>
        <v>9892095</v>
      </c>
    </row>
    <row r="248" spans="1:29" s="47" customFormat="1" ht="12.75" customHeight="1">
      <c r="A248" s="47" t="s">
        <v>279</v>
      </c>
      <c r="C248" s="47" t="s">
        <v>92</v>
      </c>
      <c r="E248" s="44">
        <v>982084</v>
      </c>
      <c r="F248" s="44"/>
      <c r="G248" s="44">
        <v>226802</v>
      </c>
      <c r="H248" s="44"/>
      <c r="I248" s="44">
        <v>1055048</v>
      </c>
      <c r="J248" s="44"/>
      <c r="K248" s="44">
        <v>4730548</v>
      </c>
      <c r="L248" s="44"/>
      <c r="M248" s="44">
        <v>2440693</v>
      </c>
      <c r="N248" s="44"/>
      <c r="O248" s="44">
        <v>0</v>
      </c>
      <c r="P248" s="44"/>
      <c r="Q248" s="44">
        <v>2952777</v>
      </c>
      <c r="R248" s="44"/>
      <c r="S248" s="44">
        <v>115156</v>
      </c>
      <c r="T248" s="44"/>
      <c r="U248" s="44">
        <v>68525</v>
      </c>
      <c r="V248" s="44"/>
      <c r="W248" s="44">
        <v>0</v>
      </c>
      <c r="X248" s="44"/>
      <c r="Y248" s="44">
        <v>0</v>
      </c>
      <c r="Z248" s="44"/>
      <c r="AA248" s="44">
        <f t="shared" si="11"/>
        <v>10307699</v>
      </c>
      <c r="AB248" s="44"/>
      <c r="AC248" s="44">
        <f t="shared" si="10"/>
        <v>12571633</v>
      </c>
    </row>
    <row r="249" spans="1:29" s="47" customFormat="1" ht="12.75" customHeight="1">
      <c r="A249" s="47" t="s">
        <v>280</v>
      </c>
      <c r="C249" s="47" t="s">
        <v>281</v>
      </c>
      <c r="E249" s="44">
        <v>2679987</v>
      </c>
      <c r="F249" s="44"/>
      <c r="G249" s="44">
        <v>1275775</v>
      </c>
      <c r="H249" s="44"/>
      <c r="I249" s="44">
        <v>0</v>
      </c>
      <c r="J249" s="44"/>
      <c r="K249" s="44">
        <f>548461+1426749+197790+389327</f>
        <v>2562327</v>
      </c>
      <c r="L249" s="44"/>
      <c r="M249" s="44">
        <v>6263760</v>
      </c>
      <c r="N249" s="44"/>
      <c r="O249" s="44">
        <v>0</v>
      </c>
      <c r="P249" s="44"/>
      <c r="Q249" s="44">
        <v>1240708</v>
      </c>
      <c r="R249" s="44"/>
      <c r="S249" s="44">
        <v>94370</v>
      </c>
      <c r="T249" s="44"/>
      <c r="U249" s="44">
        <v>2847171</v>
      </c>
      <c r="V249" s="44"/>
      <c r="W249" s="44">
        <v>-39984</v>
      </c>
      <c r="X249" s="44"/>
      <c r="Y249" s="44">
        <v>0</v>
      </c>
      <c r="Z249" s="44"/>
      <c r="AA249" s="44">
        <f t="shared" si="11"/>
        <v>12968352</v>
      </c>
      <c r="AB249" s="44"/>
      <c r="AC249" s="44">
        <f t="shared" si="10"/>
        <v>16924114</v>
      </c>
    </row>
    <row r="250" spans="1:29" s="47" customFormat="1" ht="12.75" customHeight="1">
      <c r="A250" s="47" t="s">
        <v>282</v>
      </c>
      <c r="C250" s="47" t="s">
        <v>199</v>
      </c>
      <c r="E250" s="44">
        <v>1755396</v>
      </c>
      <c r="F250" s="44"/>
      <c r="G250" s="44">
        <v>2236924</v>
      </c>
      <c r="H250" s="44"/>
      <c r="I250" s="44">
        <v>3375157</v>
      </c>
      <c r="J250" s="44"/>
      <c r="K250" s="44">
        <v>2545171</v>
      </c>
      <c r="L250" s="44"/>
      <c r="M250" s="44">
        <v>8429038</v>
      </c>
      <c r="N250" s="44"/>
      <c r="O250" s="44">
        <f>711818+166420</f>
        <v>878238</v>
      </c>
      <c r="P250" s="44"/>
      <c r="Q250" s="44">
        <v>1537155</v>
      </c>
      <c r="R250" s="44"/>
      <c r="S250" s="44">
        <v>396155</v>
      </c>
      <c r="T250" s="44"/>
      <c r="U250" s="44">
        <v>516454</v>
      </c>
      <c r="V250" s="44"/>
      <c r="W250" s="44">
        <v>-206738</v>
      </c>
      <c r="X250" s="44"/>
      <c r="Y250" s="44">
        <v>0</v>
      </c>
      <c r="Z250" s="44"/>
      <c r="AA250" s="44">
        <f t="shared" si="11"/>
        <v>14095473</v>
      </c>
      <c r="AB250" s="44"/>
      <c r="AC250" s="44">
        <f t="shared" si="10"/>
        <v>21462950</v>
      </c>
    </row>
    <row r="251" spans="1:29" s="47" customFormat="1" ht="12.75" customHeight="1">
      <c r="A251" s="47" t="s">
        <v>283</v>
      </c>
      <c r="C251" s="47" t="s">
        <v>43</v>
      </c>
      <c r="E251" s="44">
        <v>3360939</v>
      </c>
      <c r="F251" s="44"/>
      <c r="G251" s="44">
        <v>793480</v>
      </c>
      <c r="H251" s="44"/>
      <c r="I251" s="44">
        <v>0</v>
      </c>
      <c r="J251" s="44"/>
      <c r="K251" s="44">
        <v>2957421</v>
      </c>
      <c r="L251" s="44"/>
      <c r="M251" s="44">
        <v>14323407</v>
      </c>
      <c r="N251" s="44"/>
      <c r="O251" s="44">
        <v>0</v>
      </c>
      <c r="P251" s="44"/>
      <c r="Q251" s="44">
        <v>1280328</v>
      </c>
      <c r="R251" s="44"/>
      <c r="S251" s="44">
        <v>208426</v>
      </c>
      <c r="T251" s="44"/>
      <c r="U251" s="44">
        <v>1509453</v>
      </c>
      <c r="V251" s="44"/>
      <c r="W251" s="44">
        <v>0</v>
      </c>
      <c r="X251" s="44"/>
      <c r="Y251" s="44">
        <v>0</v>
      </c>
      <c r="Z251" s="44"/>
      <c r="AA251" s="44">
        <f t="shared" si="11"/>
        <v>20279035</v>
      </c>
      <c r="AB251" s="44"/>
      <c r="AC251" s="44">
        <f t="shared" si="10"/>
        <v>24433454</v>
      </c>
    </row>
    <row r="252" spans="1:29" s="47" customFormat="1" ht="12.75" customHeight="1">
      <c r="A252" s="47" t="s">
        <v>284</v>
      </c>
      <c r="C252" s="47" t="s">
        <v>45</v>
      </c>
      <c r="E252" s="44">
        <v>1218604</v>
      </c>
      <c r="F252" s="44"/>
      <c r="G252" s="44">
        <v>585358</v>
      </c>
      <c r="H252" s="44"/>
      <c r="I252" s="44">
        <v>842236</v>
      </c>
      <c r="J252" s="44"/>
      <c r="K252" s="44">
        <v>2707196</v>
      </c>
      <c r="L252" s="44"/>
      <c r="M252" s="44">
        <v>3597362</v>
      </c>
      <c r="N252" s="44"/>
      <c r="O252" s="44">
        <v>0</v>
      </c>
      <c r="P252" s="44"/>
      <c r="Q252" s="44">
        <v>1845230</v>
      </c>
      <c r="R252" s="44"/>
      <c r="S252" s="44">
        <v>72750</v>
      </c>
      <c r="T252" s="44"/>
      <c r="U252" s="44">
        <v>56784</v>
      </c>
      <c r="V252" s="44"/>
      <c r="W252" s="44">
        <v>88436</v>
      </c>
      <c r="X252" s="44"/>
      <c r="Y252" s="44">
        <v>0</v>
      </c>
      <c r="Z252" s="44"/>
      <c r="AA252" s="44">
        <f t="shared" si="11"/>
        <v>8367758</v>
      </c>
      <c r="AB252" s="44"/>
      <c r="AC252" s="44">
        <f t="shared" si="10"/>
        <v>11013956</v>
      </c>
    </row>
    <row r="253" spans="1:29" s="47" customFormat="1" ht="12.75" customHeight="1">
      <c r="A253" s="47" t="s">
        <v>285</v>
      </c>
      <c r="C253" s="47" t="s">
        <v>30</v>
      </c>
      <c r="E253" s="44">
        <v>3278787</v>
      </c>
      <c r="F253" s="44"/>
      <c r="G253" s="44">
        <v>253541</v>
      </c>
      <c r="H253" s="44"/>
      <c r="I253" s="44">
        <v>744718</v>
      </c>
      <c r="J253" s="44"/>
      <c r="K253" s="44">
        <v>0</v>
      </c>
      <c r="L253" s="44"/>
      <c r="M253" s="44">
        <v>8318554</v>
      </c>
      <c r="N253" s="44"/>
      <c r="O253" s="44">
        <f>1899658+1163541</f>
        <v>3063199</v>
      </c>
      <c r="P253" s="44"/>
      <c r="Q253" s="44">
        <v>2048476</v>
      </c>
      <c r="R253" s="44"/>
      <c r="S253" s="44">
        <v>264225</v>
      </c>
      <c r="T253" s="44"/>
      <c r="U253" s="44">
        <v>409876</v>
      </c>
      <c r="V253" s="44"/>
      <c r="W253" s="44">
        <v>170082</v>
      </c>
      <c r="X253" s="44"/>
      <c r="Y253" s="44">
        <v>0</v>
      </c>
      <c r="Z253" s="44"/>
      <c r="AA253" s="44">
        <f t="shared" si="11"/>
        <v>14274412</v>
      </c>
      <c r="AB253" s="44"/>
      <c r="AC253" s="44">
        <f t="shared" si="10"/>
        <v>18551458</v>
      </c>
    </row>
    <row r="254" spans="1:29" s="47" customFormat="1" ht="12.75" customHeight="1">
      <c r="A254" s="47" t="s">
        <v>286</v>
      </c>
      <c r="C254" s="47" t="s">
        <v>61</v>
      </c>
      <c r="E254" s="44">
        <v>11205705</v>
      </c>
      <c r="F254" s="44"/>
      <c r="G254" s="44">
        <v>13846828</v>
      </c>
      <c r="H254" s="44"/>
      <c r="I254" s="44">
        <v>2708953</v>
      </c>
      <c r="J254" s="44"/>
      <c r="K254" s="44">
        <f>2016127+295845</f>
        <v>2311972</v>
      </c>
      <c r="L254" s="44"/>
      <c r="M254" s="44">
        <f>22203776+6299364+8403625+4386696</f>
        <v>41293461</v>
      </c>
      <c r="N254" s="44"/>
      <c r="O254" s="44">
        <v>182879</v>
      </c>
      <c r="P254" s="44"/>
      <c r="Q254" s="44">
        <v>3945587</v>
      </c>
      <c r="R254" s="44"/>
      <c r="S254" s="44">
        <v>57699</v>
      </c>
      <c r="T254" s="44"/>
      <c r="U254" s="44">
        <f>977967+2761011</f>
        <v>3738978</v>
      </c>
      <c r="V254" s="44"/>
      <c r="W254" s="44">
        <v>0</v>
      </c>
      <c r="X254" s="44"/>
      <c r="Y254" s="44">
        <v>0</v>
      </c>
      <c r="Z254" s="44"/>
      <c r="AA254" s="44">
        <f t="shared" si="11"/>
        <v>51530576</v>
      </c>
      <c r="AB254" s="44"/>
      <c r="AC254" s="44">
        <f t="shared" si="10"/>
        <v>79292062</v>
      </c>
    </row>
    <row r="255" spans="1:29" s="47" customFormat="1" ht="12.75" customHeight="1">
      <c r="A255" s="47" t="s">
        <v>287</v>
      </c>
      <c r="C255" s="47" t="s">
        <v>288</v>
      </c>
      <c r="E255" s="44">
        <v>3195717</v>
      </c>
      <c r="F255" s="44"/>
      <c r="G255" s="44">
        <v>3631835</v>
      </c>
      <c r="H255" s="44"/>
      <c r="I255" s="44">
        <v>0</v>
      </c>
      <c r="J255" s="44"/>
      <c r="K255" s="44">
        <f>1058766+228244+437467</f>
        <v>1724477</v>
      </c>
      <c r="L255" s="44"/>
      <c r="M255" s="44">
        <f>7917158+3537991+1416003+1411109</f>
        <v>14282261</v>
      </c>
      <c r="N255" s="44"/>
      <c r="O255" s="44">
        <v>0</v>
      </c>
      <c r="P255" s="44"/>
      <c r="Q255" s="44">
        <v>1994323</v>
      </c>
      <c r="R255" s="44"/>
      <c r="S255" s="44">
        <v>91437</v>
      </c>
      <c r="T255" s="44"/>
      <c r="U255" s="44">
        <f>13189+182316</f>
        <v>195505</v>
      </c>
      <c r="V255" s="44"/>
      <c r="W255" s="44">
        <v>0</v>
      </c>
      <c r="X255" s="44"/>
      <c r="Y255" s="44">
        <v>0</v>
      </c>
      <c r="Z255" s="44"/>
      <c r="AA255" s="44">
        <f t="shared" si="11"/>
        <v>18288003</v>
      </c>
      <c r="AB255" s="44"/>
      <c r="AC255" s="44">
        <f t="shared" si="10"/>
        <v>25115555</v>
      </c>
    </row>
    <row r="256" spans="1:29" s="47" customFormat="1" ht="12.75" customHeight="1">
      <c r="A256" s="47" t="s">
        <v>471</v>
      </c>
      <c r="C256" s="49"/>
      <c r="D256" s="49"/>
    </row>
    <row r="257" spans="1:4" s="47" customFormat="1" ht="12.75" customHeight="1">
      <c r="A257" s="49"/>
      <c r="C257" s="49"/>
      <c r="D257" s="49"/>
    </row>
    <row r="258" spans="1:4" s="47" customFormat="1" ht="12.75" customHeight="1"/>
    <row r="259" spans="1:4" s="47" customFormat="1" ht="12.75" customHeight="1"/>
    <row r="260" spans="1:4" s="47" customFormat="1" ht="12.75" customHeight="1"/>
    <row r="261" spans="1:4" s="47" customFormat="1" ht="12.75" customHeight="1"/>
    <row r="262" spans="1:4" s="47" customFormat="1" ht="12.75" customHeight="1"/>
    <row r="263" spans="1:4" s="47" customFormat="1" ht="12.75" customHeight="1"/>
    <row r="264" spans="1:4" s="47" customFormat="1" ht="12.75" customHeight="1"/>
    <row r="265" spans="1:4" s="47" customFormat="1" ht="12.75" customHeight="1"/>
    <row r="266" spans="1:4" s="47" customFormat="1" ht="12.75" customHeight="1"/>
  </sheetData>
  <mergeCells count="1">
    <mergeCell ref="K5:U5"/>
  </mergeCells>
  <phoneticPr fontId="4" type="noConversion"/>
  <printOptions horizontalCentered="1"/>
  <pageMargins left="0.75" right="0.75" top="0.5" bottom="0.5" header="0" footer="0.25"/>
  <pageSetup scale="83" firstPageNumber="14" pageOrder="overThenDown" orientation="portrait" useFirstPageNumber="1" r:id="rId1"/>
  <headerFooter alignWithMargins="0">
    <oddFooter>&amp;C&amp;"Times New Roman,Regular"&amp;11&amp;P</oddFooter>
  </headerFooter>
  <colBreaks count="1" manualBreakCount="1">
    <brk id="13" min="9" max="25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H261"/>
  <sheetViews>
    <sheetView view="pageBreakPreview" zoomScale="70" zoomScaleNormal="100" zoomScaleSheetLayoutView="70" workbookViewId="0">
      <pane xSplit="3" ySplit="8" topLeftCell="D9" activePane="bottomRight" state="frozen"/>
      <selection pane="topRight" activeCell="D1" sqref="D1"/>
      <selection pane="bottomLeft" activeCell="A10" sqref="A10"/>
      <selection pane="bottomRight" activeCell="A5" sqref="A5"/>
    </sheetView>
  </sheetViews>
  <sheetFormatPr defaultColWidth="9.140625" defaultRowHeight="12.75" customHeight="1"/>
  <cols>
    <col min="1" max="1" width="15.28515625" style="10" customWidth="1"/>
    <col min="2" max="2" width="1.7109375" customWidth="1"/>
    <col min="3" max="3" width="11" style="10" customWidth="1"/>
    <col min="4" max="4" width="1.7109375" style="10" customWidth="1"/>
    <col min="5" max="5" width="11.7109375" style="10" customWidth="1"/>
    <col min="6" max="6" width="1.7109375" style="10" customWidth="1"/>
    <col min="7" max="7" width="11.7109375" style="10" customWidth="1"/>
    <col min="8" max="8" width="1.7109375" style="10" customWidth="1"/>
    <col min="9" max="9" width="11.7109375" style="10" customWidth="1"/>
    <col min="10" max="10" width="1.7109375" style="10" customWidth="1"/>
    <col min="11" max="11" width="11.7109375" style="10" customWidth="1"/>
    <col min="12" max="12" width="1.7109375" style="10" customWidth="1"/>
    <col min="13" max="13" width="11.7109375" style="10" customWidth="1"/>
    <col min="14" max="14" width="1.7109375" style="10" customWidth="1"/>
    <col min="15" max="15" width="11.7109375" style="10" customWidth="1"/>
    <col min="16" max="16" width="1.7109375" style="10" customWidth="1"/>
    <col min="17" max="17" width="11.7109375" style="10" customWidth="1"/>
    <col min="18" max="18" width="1.7109375" style="10" customWidth="1"/>
    <col min="19" max="19" width="13.42578125" style="10" customWidth="1"/>
    <col min="20" max="20" width="1.7109375" style="10" customWidth="1"/>
    <col min="21" max="21" width="11.7109375" style="10" customWidth="1"/>
    <col min="22" max="22" width="1.7109375" style="10" customWidth="1"/>
    <col min="23" max="23" width="11.7109375" style="10" customWidth="1"/>
    <col min="24" max="24" width="1.7109375" style="10" customWidth="1"/>
    <col min="25" max="25" width="12.28515625" style="10" bestFit="1" customWidth="1"/>
    <col min="26" max="26" width="1.7109375" style="10" customWidth="1"/>
    <col min="27" max="27" width="11.5703125" style="10" customWidth="1"/>
    <col min="28" max="28" width="1.7109375" style="10" customWidth="1"/>
    <col min="29" max="29" width="11.85546875" style="47" customWidth="1"/>
    <col min="30" max="30" width="12" style="10" bestFit="1" customWidth="1"/>
    <col min="31" max="31" width="10.5703125" style="10" bestFit="1" customWidth="1"/>
    <col min="32" max="16384" width="9.140625" style="10"/>
  </cols>
  <sheetData>
    <row r="1" spans="1:29" ht="12.75" customHeight="1">
      <c r="A1" s="9" t="s">
        <v>385</v>
      </c>
    </row>
    <row r="2" spans="1:29" ht="12.75" customHeight="1">
      <c r="A2" s="9" t="s">
        <v>501</v>
      </c>
    </row>
    <row r="3" spans="1:29" ht="12.75" customHeight="1">
      <c r="A3" s="9" t="s">
        <v>289</v>
      </c>
    </row>
    <row r="4" spans="1:29" ht="12.75" customHeight="1">
      <c r="A4" s="10" t="s">
        <v>484</v>
      </c>
    </row>
    <row r="5" spans="1:29" ht="12.75" customHeight="1">
      <c r="A5" s="9"/>
      <c r="E5" s="158" t="s">
        <v>420</v>
      </c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72"/>
      <c r="R5" s="72"/>
      <c r="S5" s="72"/>
      <c r="T5" s="72"/>
      <c r="U5" s="72"/>
      <c r="V5" s="56"/>
      <c r="W5" s="56"/>
    </row>
    <row r="6" spans="1:29" ht="12.75" customHeight="1">
      <c r="E6" s="12" t="s">
        <v>396</v>
      </c>
      <c r="V6" s="19"/>
      <c r="Y6" s="12" t="s">
        <v>2</v>
      </c>
      <c r="Z6" s="12"/>
      <c r="AA6" s="12" t="s">
        <v>427</v>
      </c>
    </row>
    <row r="7" spans="1:29" ht="12.75" customHeight="1">
      <c r="A7" s="11"/>
      <c r="C7" s="11"/>
      <c r="E7" s="12" t="s">
        <v>398</v>
      </c>
      <c r="F7" s="12"/>
      <c r="G7" s="12" t="s">
        <v>305</v>
      </c>
      <c r="H7" s="12"/>
      <c r="I7" s="12" t="s">
        <v>306</v>
      </c>
      <c r="J7" s="12"/>
      <c r="K7" s="12" t="s">
        <v>333</v>
      </c>
      <c r="L7" s="12"/>
      <c r="M7" s="12"/>
      <c r="N7" s="12"/>
      <c r="O7" s="12" t="s">
        <v>307</v>
      </c>
      <c r="P7" s="12"/>
      <c r="Q7" s="12" t="s">
        <v>296</v>
      </c>
      <c r="R7" s="12"/>
      <c r="S7" s="12"/>
      <c r="T7" s="12"/>
      <c r="U7" s="12" t="s">
        <v>308</v>
      </c>
      <c r="V7" s="12"/>
      <c r="W7" s="12" t="s">
        <v>6</v>
      </c>
      <c r="X7" s="12"/>
      <c r="Y7" s="12" t="s">
        <v>452</v>
      </c>
      <c r="Z7" s="12"/>
      <c r="AA7" s="12" t="s">
        <v>459</v>
      </c>
      <c r="AC7" s="97" t="s">
        <v>428</v>
      </c>
    </row>
    <row r="8" spans="1:29" s="47" customFormat="1" ht="12.75" customHeight="1">
      <c r="A8" s="100" t="s">
        <v>8</v>
      </c>
      <c r="B8" s="51"/>
      <c r="C8" s="100" t="s">
        <v>9</v>
      </c>
      <c r="E8" s="16" t="s">
        <v>397</v>
      </c>
      <c r="F8" s="18"/>
      <c r="G8" s="16" t="s">
        <v>309</v>
      </c>
      <c r="H8" s="18"/>
      <c r="I8" s="16" t="s">
        <v>310</v>
      </c>
      <c r="J8" s="18"/>
      <c r="K8" s="16" t="s">
        <v>311</v>
      </c>
      <c r="L8" s="18"/>
      <c r="M8" s="16" t="s">
        <v>312</v>
      </c>
      <c r="N8" s="18"/>
      <c r="O8" s="16" t="s">
        <v>313</v>
      </c>
      <c r="P8" s="18"/>
      <c r="Q8" s="16" t="s">
        <v>314</v>
      </c>
      <c r="R8" s="18"/>
      <c r="S8" s="16" t="s">
        <v>294</v>
      </c>
      <c r="T8" s="18"/>
      <c r="U8" s="16" t="s">
        <v>340</v>
      </c>
      <c r="V8" s="18"/>
      <c r="W8" s="16" t="s">
        <v>374</v>
      </c>
      <c r="X8" s="18"/>
      <c r="Y8" s="16" t="s">
        <v>453</v>
      </c>
      <c r="Z8" s="97"/>
      <c r="AA8" s="16" t="s">
        <v>460</v>
      </c>
      <c r="AC8" s="102" t="s">
        <v>429</v>
      </c>
    </row>
    <row r="9" spans="1:29" s="47" customFormat="1" ht="12.75" customHeight="1">
      <c r="A9" s="26"/>
      <c r="B9" s="51"/>
      <c r="C9" s="26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1:29" s="46" customFormat="1" ht="12.75" customHeight="1">
      <c r="A10" s="46" t="s">
        <v>12</v>
      </c>
      <c r="B10" s="66"/>
      <c r="C10" s="46" t="s">
        <v>13</v>
      </c>
      <c r="E10" s="46">
        <v>123812322</v>
      </c>
      <c r="G10" s="46">
        <v>16833245</v>
      </c>
      <c r="I10" s="46">
        <v>6270738</v>
      </c>
      <c r="K10" s="46">
        <v>35724084</v>
      </c>
      <c r="M10" s="46">
        <v>80172670</v>
      </c>
      <c r="O10" s="46">
        <v>0</v>
      </c>
      <c r="Q10" s="46">
        <v>43879396</v>
      </c>
      <c r="S10" s="46">
        <v>14158196</v>
      </c>
      <c r="U10" s="46">
        <v>24194932</v>
      </c>
      <c r="W10" s="46">
        <f t="shared" ref="W10:W71" si="0">SUM(E10:U10)</f>
        <v>345045583</v>
      </c>
      <c r="Y10" s="46">
        <v>360761013</v>
      </c>
      <c r="AA10" s="46">
        <f>+'Stmt net assets'!Y10</f>
        <v>339003840</v>
      </c>
      <c r="AC10" s="46">
        <f>+Y10+'Stmt of activities-GA rev'!AC10-'Stmt of activities-GAexp'!W10-AA10</f>
        <v>0</v>
      </c>
    </row>
    <row r="11" spans="1:29" s="44" customFormat="1" ht="12.75" customHeight="1">
      <c r="A11" s="44" t="s">
        <v>14</v>
      </c>
      <c r="B11" s="65"/>
      <c r="C11" s="44" t="s">
        <v>15</v>
      </c>
      <c r="E11" s="44">
        <v>8416988</v>
      </c>
      <c r="G11" s="44">
        <v>952822</v>
      </c>
      <c r="I11" s="44">
        <v>793909</v>
      </c>
      <c r="K11" s="44">
        <v>969055</v>
      </c>
      <c r="M11" s="44">
        <v>1636141</v>
      </c>
      <c r="O11" s="44">
        <v>56427</v>
      </c>
      <c r="Q11" s="44">
        <v>2917013</v>
      </c>
      <c r="S11" s="44">
        <v>0</v>
      </c>
      <c r="U11" s="44">
        <v>110107</v>
      </c>
      <c r="W11" s="44">
        <f t="shared" si="0"/>
        <v>15852462</v>
      </c>
      <c r="Y11" s="44">
        <v>29699523</v>
      </c>
      <c r="AA11" s="44">
        <f>+'Stmt net assets'!Y11</f>
        <v>29466968</v>
      </c>
      <c r="AC11" s="44">
        <f>+Y11+'Stmt of activities-GA rev'!AC11-'Stmt of activities-GAexp'!W11-AA11</f>
        <v>0</v>
      </c>
    </row>
    <row r="12" spans="1:29" s="47" customFormat="1" ht="12.75" customHeight="1">
      <c r="A12" s="47" t="s">
        <v>16</v>
      </c>
      <c r="B12" s="51"/>
      <c r="C12" s="47" t="s">
        <v>17</v>
      </c>
      <c r="E12" s="44">
        <v>3561357</v>
      </c>
      <c r="F12" s="44"/>
      <c r="G12" s="44">
        <v>187020</v>
      </c>
      <c r="H12" s="44"/>
      <c r="I12" s="44">
        <v>200489</v>
      </c>
      <c r="J12" s="44"/>
      <c r="K12" s="44">
        <v>141987</v>
      </c>
      <c r="L12" s="44"/>
      <c r="M12" s="44">
        <v>3087723</v>
      </c>
      <c r="N12" s="44"/>
      <c r="O12" s="44">
        <v>0</v>
      </c>
      <c r="P12" s="44"/>
      <c r="Q12" s="44">
        <v>1090030</v>
      </c>
      <c r="R12" s="44"/>
      <c r="S12" s="44">
        <v>0</v>
      </c>
      <c r="T12" s="44"/>
      <c r="U12" s="44">
        <v>132198</v>
      </c>
      <c r="V12" s="44"/>
      <c r="W12" s="44">
        <f t="shared" si="0"/>
        <v>8400804</v>
      </c>
      <c r="X12" s="44"/>
      <c r="Y12" s="44">
        <v>31160258</v>
      </c>
      <c r="Z12" s="44"/>
      <c r="AA12" s="44">
        <f>+'Stmt net assets'!Y12</f>
        <v>31257252</v>
      </c>
      <c r="AB12" s="44"/>
      <c r="AC12" s="44">
        <f>+Y12+'Stmt of activities-GA rev'!AC12-'Stmt of activities-GAexp'!W12-AA12</f>
        <v>0</v>
      </c>
    </row>
    <row r="13" spans="1:29" s="44" customFormat="1" ht="12.75" customHeight="1">
      <c r="A13" s="47" t="s">
        <v>18</v>
      </c>
      <c r="B13" s="51"/>
      <c r="C13" s="47" t="s">
        <v>18</v>
      </c>
      <c r="D13" s="47"/>
      <c r="E13" s="44">
        <v>7171283</v>
      </c>
      <c r="G13" s="44">
        <v>307075</v>
      </c>
      <c r="I13" s="44">
        <v>1197605</v>
      </c>
      <c r="K13" s="44">
        <v>363379</v>
      </c>
      <c r="M13" s="44">
        <v>2294355</v>
      </c>
      <c r="O13" s="44">
        <v>0</v>
      </c>
      <c r="Q13" s="44">
        <v>5178804</v>
      </c>
      <c r="S13" s="44">
        <v>0</v>
      </c>
      <c r="U13" s="44">
        <f>217392+33243</f>
        <v>250635</v>
      </c>
      <c r="W13" s="44">
        <f t="shared" si="0"/>
        <v>16763136</v>
      </c>
      <c r="Y13" s="44">
        <v>24124234</v>
      </c>
      <c r="AA13" s="44">
        <f>+'Stmt net assets'!Y13</f>
        <v>25063525</v>
      </c>
      <c r="AC13" s="44">
        <f>+Y13+'Stmt of activities-GA rev'!AC13-'Stmt of activities-GAexp'!W13-AA13</f>
        <v>0</v>
      </c>
    </row>
    <row r="14" spans="1:29" s="47" customFormat="1" ht="12.75" customHeight="1">
      <c r="A14" s="44" t="s">
        <v>19</v>
      </c>
      <c r="B14" s="44"/>
      <c r="C14" s="44" t="s">
        <v>19</v>
      </c>
      <c r="D14" s="44"/>
      <c r="E14" s="44">
        <f>3686839+3021851</f>
        <v>6708690</v>
      </c>
      <c r="F14" s="44"/>
      <c r="G14" s="44">
        <v>365246</v>
      </c>
      <c r="H14" s="44"/>
      <c r="I14" s="44">
        <v>79793</v>
      </c>
      <c r="J14" s="44"/>
      <c r="K14" s="44">
        <v>601846</v>
      </c>
      <c r="L14" s="44"/>
      <c r="M14" s="44">
        <v>1922571</v>
      </c>
      <c r="N14" s="44"/>
      <c r="O14" s="44">
        <v>1928179</v>
      </c>
      <c r="P14" s="44"/>
      <c r="Q14" s="44">
        <f>3227472+1183400</f>
        <v>4410872</v>
      </c>
      <c r="R14" s="44"/>
      <c r="S14" s="44">
        <v>0</v>
      </c>
      <c r="T14" s="44"/>
      <c r="U14" s="44">
        <v>31026</v>
      </c>
      <c r="V14" s="44"/>
      <c r="W14" s="44">
        <f t="shared" si="0"/>
        <v>16048223</v>
      </c>
      <c r="X14" s="44"/>
      <c r="Y14" s="44">
        <v>24082070</v>
      </c>
      <c r="Z14" s="44"/>
      <c r="AA14" s="44">
        <f>+'Stmt net assets'!Y14</f>
        <v>25056972</v>
      </c>
      <c r="AB14" s="44"/>
      <c r="AC14" s="44">
        <f>+Y14+'Stmt of activities-GA rev'!AC14-'Stmt of activities-GAexp'!W14-AA14</f>
        <v>0</v>
      </c>
    </row>
    <row r="15" spans="1:29" s="47" customFormat="1" ht="12.75" customHeight="1">
      <c r="A15" s="47" t="s">
        <v>20</v>
      </c>
      <c r="B15" s="51"/>
      <c r="C15" s="47" t="s">
        <v>20</v>
      </c>
      <c r="E15" s="44">
        <f>3430831+2365172</f>
        <v>5796003</v>
      </c>
      <c r="F15" s="44"/>
      <c r="G15" s="44">
        <v>0</v>
      </c>
      <c r="H15" s="44"/>
      <c r="I15" s="44">
        <v>1588416</v>
      </c>
      <c r="J15" s="44"/>
      <c r="K15" s="44">
        <v>732058</v>
      </c>
      <c r="L15" s="44"/>
      <c r="M15" s="44">
        <v>3319554</v>
      </c>
      <c r="N15" s="44"/>
      <c r="O15" s="44">
        <v>0</v>
      </c>
      <c r="P15" s="44"/>
      <c r="Q15" s="44">
        <v>5041898</v>
      </c>
      <c r="R15" s="44"/>
      <c r="S15" s="44">
        <v>0</v>
      </c>
      <c r="T15" s="44"/>
      <c r="U15" s="44">
        <v>235527</v>
      </c>
      <c r="V15" s="44"/>
      <c r="W15" s="44">
        <f t="shared" si="0"/>
        <v>16713456</v>
      </c>
      <c r="X15" s="44"/>
      <c r="Y15" s="44">
        <v>56706822</v>
      </c>
      <c r="Z15" s="44"/>
      <c r="AA15" s="44">
        <f>+'Stmt net assets'!Y15</f>
        <v>58794249</v>
      </c>
      <c r="AB15" s="44"/>
      <c r="AC15" s="44">
        <f>+Y15+'Stmt of activities-GA rev'!AC15-'Stmt of activities-GAexp'!W15-AA15</f>
        <v>0</v>
      </c>
    </row>
    <row r="16" spans="1:29" s="47" customFormat="1" ht="12.75" customHeight="1">
      <c r="A16" s="47" t="s">
        <v>21</v>
      </c>
      <c r="B16" s="51"/>
      <c r="C16" s="47" t="s">
        <v>22</v>
      </c>
      <c r="E16" s="44">
        <v>8030876</v>
      </c>
      <c r="F16" s="44"/>
      <c r="G16" s="44">
        <v>0</v>
      </c>
      <c r="H16" s="44"/>
      <c r="I16" s="44">
        <v>1720570</v>
      </c>
      <c r="J16" s="44"/>
      <c r="K16" s="44">
        <v>1377542</v>
      </c>
      <c r="L16" s="44"/>
      <c r="M16" s="44">
        <v>3421072</v>
      </c>
      <c r="N16" s="44"/>
      <c r="O16" s="44">
        <v>0</v>
      </c>
      <c r="P16" s="44"/>
      <c r="Q16" s="44">
        <v>2852609</v>
      </c>
      <c r="R16" s="44"/>
      <c r="S16" s="44">
        <v>18336</v>
      </c>
      <c r="T16" s="44"/>
      <c r="U16" s="44">
        <v>520472</v>
      </c>
      <c r="V16" s="44"/>
      <c r="W16" s="44">
        <f t="shared" si="0"/>
        <v>17941477</v>
      </c>
      <c r="X16" s="44"/>
      <c r="Y16" s="44">
        <v>69163121</v>
      </c>
      <c r="Z16" s="44"/>
      <c r="AA16" s="44">
        <f>+'Stmt net assets'!Y16</f>
        <v>68926445</v>
      </c>
      <c r="AB16" s="44"/>
      <c r="AC16" s="44">
        <f>+Y16+'Stmt of activities-GA rev'!AC16-'Stmt of activities-GAexp'!W16-AA16</f>
        <v>0</v>
      </c>
    </row>
    <row r="17" spans="1:29" s="47" customFormat="1" ht="12.75" customHeight="1">
      <c r="A17" s="47" t="s">
        <v>23</v>
      </c>
      <c r="B17" s="51"/>
      <c r="C17" s="47" t="s">
        <v>17</v>
      </c>
      <c r="E17" s="44">
        <v>7948875</v>
      </c>
      <c r="F17" s="44"/>
      <c r="G17" s="44">
        <v>0</v>
      </c>
      <c r="H17" s="44"/>
      <c r="I17" s="44">
        <v>1130300</v>
      </c>
      <c r="J17" s="44"/>
      <c r="K17" s="44">
        <v>1406060</v>
      </c>
      <c r="L17" s="44"/>
      <c r="M17" s="44">
        <v>5140893</v>
      </c>
      <c r="N17" s="44"/>
      <c r="O17" s="44">
        <v>495523</v>
      </c>
      <c r="P17" s="44"/>
      <c r="Q17" s="44">
        <v>3042622</v>
      </c>
      <c r="R17" s="44"/>
      <c r="S17" s="44">
        <v>0</v>
      </c>
      <c r="T17" s="44"/>
      <c r="U17" s="44">
        <v>1669318</v>
      </c>
      <c r="V17" s="44"/>
      <c r="W17" s="44">
        <f t="shared" si="0"/>
        <v>20833591</v>
      </c>
      <c r="X17" s="44"/>
      <c r="Y17" s="44">
        <v>59093688</v>
      </c>
      <c r="Z17" s="44"/>
      <c r="AA17" s="44">
        <f>+'Stmt net assets'!Y17</f>
        <v>59482156</v>
      </c>
      <c r="AB17" s="44"/>
      <c r="AC17" s="44">
        <f>+Y17+'Stmt of activities-GA rev'!AC17-'Stmt of activities-GAexp'!W17-AA17</f>
        <v>0</v>
      </c>
    </row>
    <row r="18" spans="1:29" s="47" customFormat="1" ht="12.75" customHeight="1">
      <c r="A18" s="47" t="s">
        <v>24</v>
      </c>
      <c r="B18" s="51"/>
      <c r="C18" s="47" t="s">
        <v>17</v>
      </c>
      <c r="E18" s="44">
        <v>8116714</v>
      </c>
      <c r="F18" s="44"/>
      <c r="G18" s="44">
        <v>111728</v>
      </c>
      <c r="H18" s="44"/>
      <c r="I18" s="44">
        <v>1653617</v>
      </c>
      <c r="J18" s="44"/>
      <c r="K18" s="44">
        <v>302258</v>
      </c>
      <c r="L18" s="44"/>
      <c r="M18" s="44">
        <v>6538060</v>
      </c>
      <c r="N18" s="44"/>
      <c r="O18" s="44">
        <v>44730</v>
      </c>
      <c r="P18" s="44"/>
      <c r="Q18" s="44">
        <v>3324095</v>
      </c>
      <c r="R18" s="44"/>
      <c r="S18" s="44">
        <v>0</v>
      </c>
      <c r="T18" s="44"/>
      <c r="U18" s="44">
        <v>523512</v>
      </c>
      <c r="V18" s="44"/>
      <c r="W18" s="44">
        <f t="shared" si="0"/>
        <v>20614714</v>
      </c>
      <c r="X18" s="44"/>
      <c r="Y18" s="44">
        <v>66844141</v>
      </c>
      <c r="Z18" s="44"/>
      <c r="AA18" s="44">
        <f>+'Stmt net assets'!Y18</f>
        <v>65139325</v>
      </c>
      <c r="AB18" s="44"/>
      <c r="AC18" s="44">
        <f>+Y18+'Stmt of activities-GA rev'!AC18-'Stmt of activities-GAexp'!W18-AA18</f>
        <v>0</v>
      </c>
    </row>
    <row r="19" spans="1:29" s="47" customFormat="1" ht="12.75" customHeight="1">
      <c r="A19" s="47" t="s">
        <v>25</v>
      </c>
      <c r="B19" s="51"/>
      <c r="C19" s="47" t="s">
        <v>13</v>
      </c>
      <c r="E19" s="44">
        <v>11207888</v>
      </c>
      <c r="F19" s="44"/>
      <c r="G19" s="44">
        <v>1511973</v>
      </c>
      <c r="H19" s="44"/>
      <c r="I19" s="44">
        <v>1294285</v>
      </c>
      <c r="J19" s="44"/>
      <c r="K19" s="44">
        <v>2340189</v>
      </c>
      <c r="L19" s="44"/>
      <c r="M19" s="44">
        <v>2340290</v>
      </c>
      <c r="N19" s="44"/>
      <c r="O19" s="44">
        <v>0</v>
      </c>
      <c r="P19" s="44"/>
      <c r="Q19" s="44">
        <v>4554994</v>
      </c>
      <c r="R19" s="44"/>
      <c r="S19" s="44">
        <v>0</v>
      </c>
      <c r="T19" s="44"/>
      <c r="U19" s="44">
        <v>289245</v>
      </c>
      <c r="V19" s="44"/>
      <c r="W19" s="44">
        <f t="shared" si="0"/>
        <v>23538864</v>
      </c>
      <c r="X19" s="44"/>
      <c r="Y19" s="44">
        <v>24748783</v>
      </c>
      <c r="Z19" s="44"/>
      <c r="AA19" s="44">
        <f>+'Stmt net assets'!Y19</f>
        <v>23142700</v>
      </c>
      <c r="AB19" s="44"/>
      <c r="AC19" s="44">
        <f>+Y19+'Stmt of activities-GA rev'!AC19-'Stmt of activities-GAexp'!W19-AA19</f>
        <v>0</v>
      </c>
    </row>
    <row r="20" spans="1:29" s="47" customFormat="1" ht="12.75" customHeight="1">
      <c r="A20" s="47" t="s">
        <v>26</v>
      </c>
      <c r="B20" s="51"/>
      <c r="C20" s="47" t="s">
        <v>27</v>
      </c>
      <c r="E20" s="44">
        <v>6770062</v>
      </c>
      <c r="F20" s="44"/>
      <c r="G20" s="44">
        <v>451683</v>
      </c>
      <c r="H20" s="44"/>
      <c r="I20" s="44">
        <v>1069475</v>
      </c>
      <c r="J20" s="44"/>
      <c r="K20" s="44">
        <v>717888</v>
      </c>
      <c r="L20" s="44"/>
      <c r="M20" s="44">
        <v>1993372</v>
      </c>
      <c r="N20" s="44"/>
      <c r="O20" s="44">
        <v>1831557</v>
      </c>
      <c r="P20" s="44"/>
      <c r="Q20" s="44">
        <v>3080765</v>
      </c>
      <c r="R20" s="44"/>
      <c r="S20" s="44">
        <v>0</v>
      </c>
      <c r="T20" s="44"/>
      <c r="U20" s="44">
        <v>541659</v>
      </c>
      <c r="V20" s="44"/>
      <c r="W20" s="44">
        <f t="shared" si="0"/>
        <v>16456461</v>
      </c>
      <c r="X20" s="44"/>
      <c r="Y20" s="44">
        <v>27666014</v>
      </c>
      <c r="Z20" s="44"/>
      <c r="AA20" s="44">
        <f>+'Stmt net assets'!Y20</f>
        <v>27052034</v>
      </c>
      <c r="AB20" s="44"/>
      <c r="AC20" s="44">
        <f>+Y20+'Stmt of activities-GA rev'!AC20-'Stmt of activities-GAexp'!W20-AA20</f>
        <v>0</v>
      </c>
    </row>
    <row r="21" spans="1:29" s="47" customFormat="1" ht="12.75" customHeight="1">
      <c r="A21" s="47" t="s">
        <v>28</v>
      </c>
      <c r="B21" s="51"/>
      <c r="C21" s="47" t="s">
        <v>27</v>
      </c>
      <c r="E21" s="44">
        <f>7920359+5982995</f>
        <v>13903354</v>
      </c>
      <c r="F21" s="44"/>
      <c r="G21" s="44">
        <v>539326</v>
      </c>
      <c r="H21" s="44"/>
      <c r="I21" s="44">
        <v>2813885</v>
      </c>
      <c r="J21" s="44"/>
      <c r="K21" s="44">
        <v>979295</v>
      </c>
      <c r="L21" s="44"/>
      <c r="M21" s="44">
        <v>10531157</v>
      </c>
      <c r="N21" s="44"/>
      <c r="O21" s="44">
        <v>0</v>
      </c>
      <c r="P21" s="44"/>
      <c r="Q21" s="44">
        <v>4875105</v>
      </c>
      <c r="R21" s="44"/>
      <c r="S21" s="44">
        <v>0</v>
      </c>
      <c r="T21" s="44"/>
      <c r="U21" s="44">
        <v>785037</v>
      </c>
      <c r="V21" s="44"/>
      <c r="W21" s="44">
        <f t="shared" si="0"/>
        <v>34427159</v>
      </c>
      <c r="X21" s="44"/>
      <c r="Y21" s="44">
        <v>112514345</v>
      </c>
      <c r="Z21" s="44"/>
      <c r="AA21" s="44">
        <f>+'Stmt net assets'!Y21</f>
        <v>107924170</v>
      </c>
      <c r="AB21" s="44"/>
      <c r="AC21" s="44">
        <f>+Y21+'Stmt of activities-GA rev'!AC21-'Stmt of activities-GAexp'!W21-AA21</f>
        <v>0</v>
      </c>
    </row>
    <row r="22" spans="1:29" s="47" customFormat="1" ht="12.75" customHeight="1">
      <c r="A22" s="47" t="s">
        <v>29</v>
      </c>
      <c r="B22" s="51"/>
      <c r="C22" s="47" t="s">
        <v>30</v>
      </c>
      <c r="E22" s="44">
        <v>7666715</v>
      </c>
      <c r="F22" s="44"/>
      <c r="G22" s="44">
        <v>110501</v>
      </c>
      <c r="H22" s="44"/>
      <c r="I22" s="44">
        <v>1493875</v>
      </c>
      <c r="J22" s="44"/>
      <c r="K22" s="44">
        <v>612365</v>
      </c>
      <c r="L22" s="44"/>
      <c r="M22" s="44">
        <v>10461760</v>
      </c>
      <c r="N22" s="44"/>
      <c r="O22" s="44">
        <v>74326</v>
      </c>
      <c r="P22" s="44"/>
      <c r="Q22" s="44">
        <v>2501981</v>
      </c>
      <c r="R22" s="44"/>
      <c r="S22" s="44">
        <v>0</v>
      </c>
      <c r="T22" s="44"/>
      <c r="U22" s="44">
        <v>444808</v>
      </c>
      <c r="V22" s="44"/>
      <c r="W22" s="44">
        <f t="shared" si="0"/>
        <v>23366331</v>
      </c>
      <c r="X22" s="44"/>
      <c r="Y22" s="44">
        <v>205876143</v>
      </c>
      <c r="Z22" s="44"/>
      <c r="AA22" s="44">
        <f>+'Stmt net assets'!Y22</f>
        <v>204650009</v>
      </c>
      <c r="AB22" s="44"/>
      <c r="AC22" s="44">
        <f>+Y22+'Stmt of activities-GA rev'!AC22-'Stmt of activities-GAexp'!W22-AA22</f>
        <v>0</v>
      </c>
    </row>
    <row r="23" spans="1:29" s="47" customFormat="1" ht="12.75" customHeight="1">
      <c r="A23" s="47" t="s">
        <v>31</v>
      </c>
      <c r="B23" s="51"/>
      <c r="C23" s="47" t="s">
        <v>27</v>
      </c>
      <c r="E23" s="44">
        <f>5359101+3598515</f>
        <v>8957616</v>
      </c>
      <c r="F23" s="44"/>
      <c r="G23" s="44">
        <v>166753</v>
      </c>
      <c r="H23" s="44"/>
      <c r="I23" s="44">
        <v>1386520</v>
      </c>
      <c r="J23" s="44"/>
      <c r="K23" s="44">
        <v>912620</v>
      </c>
      <c r="L23" s="44"/>
      <c r="M23" s="44">
        <v>4447747</v>
      </c>
      <c r="N23" s="44"/>
      <c r="O23" s="44">
        <v>1046474</v>
      </c>
      <c r="P23" s="44"/>
      <c r="Q23" s="44">
        <v>4928374</v>
      </c>
      <c r="R23" s="44"/>
      <c r="S23" s="44">
        <v>0</v>
      </c>
      <c r="T23" s="44"/>
      <c r="U23" s="44">
        <v>566322</v>
      </c>
      <c r="V23" s="44"/>
      <c r="W23" s="44">
        <f t="shared" si="0"/>
        <v>22412426</v>
      </c>
      <c r="X23" s="44"/>
      <c r="Y23" s="44">
        <v>42470982</v>
      </c>
      <c r="Z23" s="44"/>
      <c r="AA23" s="44">
        <f>+'Stmt net assets'!Y23</f>
        <v>38319449</v>
      </c>
      <c r="AB23" s="44"/>
      <c r="AC23" s="44">
        <f>+Y23+'Stmt of activities-GA rev'!AC23-'Stmt of activities-GAexp'!W23-AA23</f>
        <v>0</v>
      </c>
    </row>
    <row r="24" spans="1:29" s="47" customFormat="1" ht="12.75" customHeight="1">
      <c r="A24" s="47" t="s">
        <v>32</v>
      </c>
      <c r="B24" s="51"/>
      <c r="C24" s="47" t="s">
        <v>27</v>
      </c>
      <c r="E24" s="44">
        <v>10784582</v>
      </c>
      <c r="F24" s="44"/>
      <c r="G24" s="44">
        <v>392705</v>
      </c>
      <c r="H24" s="44"/>
      <c r="I24" s="44">
        <v>1651924</v>
      </c>
      <c r="J24" s="44"/>
      <c r="K24" s="44">
        <v>379029</v>
      </c>
      <c r="L24" s="44"/>
      <c r="M24" s="44">
        <v>2075528</v>
      </c>
      <c r="N24" s="44"/>
      <c r="O24" s="44">
        <v>758278</v>
      </c>
      <c r="P24" s="44"/>
      <c r="Q24" s="44">
        <v>3617618</v>
      </c>
      <c r="R24" s="44"/>
      <c r="S24" s="44">
        <v>0</v>
      </c>
      <c r="T24" s="44"/>
      <c r="U24" s="44">
        <v>213186</v>
      </c>
      <c r="V24" s="44"/>
      <c r="W24" s="44">
        <f t="shared" si="0"/>
        <v>19872850</v>
      </c>
      <c r="X24" s="44"/>
      <c r="Y24" s="44">
        <v>20312806</v>
      </c>
      <c r="Z24" s="44"/>
      <c r="AA24" s="44">
        <f>+'Stmt net assets'!Y24</f>
        <v>19760588</v>
      </c>
      <c r="AB24" s="44"/>
      <c r="AC24" s="44">
        <f>+Y24+'Stmt of activities-GA rev'!AC24-'Stmt of activities-GAexp'!W24-AA24</f>
        <v>0</v>
      </c>
    </row>
    <row r="25" spans="1:29" s="47" customFormat="1" ht="12.75" customHeight="1">
      <c r="A25" s="47" t="s">
        <v>34</v>
      </c>
      <c r="B25" s="51"/>
      <c r="C25" s="47" t="s">
        <v>30</v>
      </c>
      <c r="E25" s="44">
        <v>2541750</v>
      </c>
      <c r="F25" s="44"/>
      <c r="G25" s="44">
        <v>0</v>
      </c>
      <c r="H25" s="44"/>
      <c r="I25" s="44">
        <v>11369</v>
      </c>
      <c r="J25" s="44"/>
      <c r="K25" s="44">
        <v>40878</v>
      </c>
      <c r="L25" s="44"/>
      <c r="M25" s="44">
        <v>415685</v>
      </c>
      <c r="N25" s="44"/>
      <c r="O25" s="44">
        <v>0</v>
      </c>
      <c r="P25" s="44"/>
      <c r="Q25" s="44">
        <v>481689</v>
      </c>
      <c r="R25" s="44"/>
      <c r="S25" s="44">
        <v>0</v>
      </c>
      <c r="T25" s="44"/>
      <c r="U25" s="44">
        <v>0</v>
      </c>
      <c r="V25" s="44"/>
      <c r="W25" s="44">
        <f t="shared" si="0"/>
        <v>3491371</v>
      </c>
      <c r="X25" s="44"/>
      <c r="Y25" s="44">
        <v>7822853</v>
      </c>
      <c r="Z25" s="44"/>
      <c r="AA25" s="44">
        <f>+'Stmt net assets'!Y25</f>
        <v>8427258</v>
      </c>
      <c r="AB25" s="44"/>
      <c r="AC25" s="44">
        <f>+Y25+'Stmt of activities-GA rev'!AC25-'Stmt of activities-GAexp'!W25-AA25</f>
        <v>0</v>
      </c>
    </row>
    <row r="26" spans="1:29" s="47" customFormat="1" ht="12.75" customHeight="1">
      <c r="A26" s="47" t="s">
        <v>35</v>
      </c>
      <c r="B26" s="51"/>
      <c r="C26" s="47" t="s">
        <v>36</v>
      </c>
      <c r="E26" s="44">
        <v>4082944</v>
      </c>
      <c r="F26" s="44"/>
      <c r="G26" s="44">
        <v>234200</v>
      </c>
      <c r="H26" s="44"/>
      <c r="I26" s="44">
        <v>626001</v>
      </c>
      <c r="J26" s="44"/>
      <c r="K26" s="44">
        <v>815350</v>
      </c>
      <c r="L26" s="44"/>
      <c r="M26" s="44">
        <v>1483996</v>
      </c>
      <c r="N26" s="44"/>
      <c r="O26" s="44">
        <v>0</v>
      </c>
      <c r="P26" s="44"/>
      <c r="Q26" s="44">
        <v>2408819</v>
      </c>
      <c r="R26" s="44"/>
      <c r="S26" s="44">
        <v>524357</v>
      </c>
      <c r="T26" s="44"/>
      <c r="U26" s="44">
        <v>28968</v>
      </c>
      <c r="V26" s="44"/>
      <c r="W26" s="44">
        <f t="shared" si="0"/>
        <v>10204635</v>
      </c>
      <c r="X26" s="44"/>
      <c r="Y26" s="44">
        <v>30149086</v>
      </c>
      <c r="Z26" s="44"/>
      <c r="AA26" s="44">
        <f>+'Stmt net assets'!Y26</f>
        <v>30680934</v>
      </c>
      <c r="AB26" s="44"/>
      <c r="AC26" s="44">
        <f>+Y26+'Stmt of activities-GA rev'!AC26-'Stmt of activities-GAexp'!W26-AA26</f>
        <v>0</v>
      </c>
    </row>
    <row r="27" spans="1:29" s="47" customFormat="1" ht="12.75" customHeight="1">
      <c r="A27" s="47" t="s">
        <v>37</v>
      </c>
      <c r="B27" s="51"/>
      <c r="C27" s="47" t="s">
        <v>38</v>
      </c>
      <c r="E27" s="44">
        <v>2518134</v>
      </c>
      <c r="F27" s="44"/>
      <c r="G27" s="44">
        <v>106813</v>
      </c>
      <c r="H27" s="44"/>
      <c r="I27" s="44">
        <v>472992</v>
      </c>
      <c r="J27" s="44"/>
      <c r="K27" s="44">
        <v>292681</v>
      </c>
      <c r="L27" s="44"/>
      <c r="M27" s="44">
        <v>991102</v>
      </c>
      <c r="N27" s="44"/>
      <c r="O27" s="44">
        <v>96181</v>
      </c>
      <c r="P27" s="44"/>
      <c r="Q27" s="44">
        <f>1600675+221043</f>
        <v>1821718</v>
      </c>
      <c r="R27" s="44"/>
      <c r="S27" s="44">
        <v>0</v>
      </c>
      <c r="T27" s="44"/>
      <c r="U27" s="44">
        <v>75935</v>
      </c>
      <c r="V27" s="44"/>
      <c r="W27" s="44">
        <f t="shared" si="0"/>
        <v>6375556</v>
      </c>
      <c r="X27" s="44"/>
      <c r="Y27" s="44">
        <v>18489063</v>
      </c>
      <c r="Z27" s="44"/>
      <c r="AA27" s="44">
        <f>+'Stmt net assets'!Y27</f>
        <v>17066028</v>
      </c>
      <c r="AB27" s="44"/>
      <c r="AC27" s="44">
        <f>+Y27+'Stmt of activities-GA rev'!AC27-'Stmt of activities-GAexp'!W27-AA27</f>
        <v>0</v>
      </c>
    </row>
    <row r="28" spans="1:29" s="47" customFormat="1" ht="12.75" customHeight="1">
      <c r="A28" s="47" t="s">
        <v>39</v>
      </c>
      <c r="B28" s="51"/>
      <c r="C28" s="47" t="s">
        <v>40</v>
      </c>
      <c r="E28" s="44">
        <f>966450+157848</f>
        <v>1124298</v>
      </c>
      <c r="F28" s="44"/>
      <c r="G28" s="44">
        <v>40640</v>
      </c>
      <c r="H28" s="44"/>
      <c r="I28" s="44">
        <f>53965+150995+99106</f>
        <v>304066</v>
      </c>
      <c r="J28" s="44"/>
      <c r="K28" s="44">
        <v>145466</v>
      </c>
      <c r="L28" s="44"/>
      <c r="M28" s="44">
        <v>1440509</v>
      </c>
      <c r="N28" s="44"/>
      <c r="O28" s="44">
        <v>0</v>
      </c>
      <c r="P28" s="44"/>
      <c r="Q28" s="44">
        <v>672408</v>
      </c>
      <c r="R28" s="44"/>
      <c r="S28" s="44">
        <v>0</v>
      </c>
      <c r="T28" s="44"/>
      <c r="U28" s="44">
        <v>46491</v>
      </c>
      <c r="V28" s="44"/>
      <c r="W28" s="44">
        <f t="shared" si="0"/>
        <v>3773878</v>
      </c>
      <c r="X28" s="44"/>
      <c r="Y28" s="44">
        <v>15139332</v>
      </c>
      <c r="Z28" s="44"/>
      <c r="AA28" s="44">
        <f>+'Stmt net assets'!Y28</f>
        <v>15291642</v>
      </c>
      <c r="AB28" s="44"/>
      <c r="AC28" s="44">
        <f>+Y28+'Stmt of activities-GA rev'!AC28-'Stmt of activities-GAexp'!W28-AA28</f>
        <v>0</v>
      </c>
    </row>
    <row r="29" spans="1:29" s="47" customFormat="1" ht="12.75" customHeight="1">
      <c r="A29" s="47" t="s">
        <v>41</v>
      </c>
      <c r="B29" s="51"/>
      <c r="C29" s="47" t="s">
        <v>27</v>
      </c>
      <c r="E29" s="44">
        <v>6883839</v>
      </c>
      <c r="F29" s="44"/>
      <c r="G29" s="44">
        <v>119132</v>
      </c>
      <c r="H29" s="44"/>
      <c r="I29" s="44">
        <v>3005421</v>
      </c>
      <c r="J29" s="44"/>
      <c r="K29" s="44">
        <v>496548</v>
      </c>
      <c r="L29" s="44"/>
      <c r="M29" s="44">
        <v>2936864</v>
      </c>
      <c r="N29" s="44"/>
      <c r="O29" s="44">
        <v>1121553</v>
      </c>
      <c r="P29" s="44"/>
      <c r="Q29" s="44">
        <v>6543797</v>
      </c>
      <c r="R29" s="44"/>
      <c r="S29" s="44">
        <v>0</v>
      </c>
      <c r="T29" s="44"/>
      <c r="U29" s="44">
        <v>668099</v>
      </c>
      <c r="V29" s="44"/>
      <c r="W29" s="44">
        <f t="shared" si="0"/>
        <v>21775253</v>
      </c>
      <c r="X29" s="44"/>
      <c r="Y29" s="44">
        <v>62027367</v>
      </c>
      <c r="Z29" s="44"/>
      <c r="AA29" s="44">
        <f>+'Stmt net assets'!Y29</f>
        <v>66750478</v>
      </c>
      <c r="AB29" s="44"/>
      <c r="AC29" s="44">
        <f>+Y29+'Stmt of activities-GA rev'!AC29-'Stmt of activities-GAexp'!W29-AA29</f>
        <v>0</v>
      </c>
    </row>
    <row r="30" spans="1:29" s="47" customFormat="1" ht="12.75" customHeight="1">
      <c r="A30" s="47" t="s">
        <v>42</v>
      </c>
      <c r="B30" s="51"/>
      <c r="C30" s="47" t="s">
        <v>43</v>
      </c>
      <c r="E30" s="44">
        <v>5328927</v>
      </c>
      <c r="F30" s="44"/>
      <c r="G30" s="44">
        <v>81713</v>
      </c>
      <c r="H30" s="44"/>
      <c r="I30" s="44">
        <v>1296985</v>
      </c>
      <c r="J30" s="44"/>
      <c r="K30" s="44">
        <v>600663</v>
      </c>
      <c r="L30" s="44"/>
      <c r="M30" s="44">
        <v>1712345</v>
      </c>
      <c r="N30" s="44"/>
      <c r="O30" s="44">
        <v>0</v>
      </c>
      <c r="P30" s="44"/>
      <c r="Q30" s="44">
        <v>2791241</v>
      </c>
      <c r="R30" s="44"/>
      <c r="S30" s="44">
        <v>0</v>
      </c>
      <c r="T30" s="44"/>
      <c r="U30" s="44">
        <v>522721</v>
      </c>
      <c r="V30" s="44"/>
      <c r="W30" s="44">
        <f t="shared" si="0"/>
        <v>12334595</v>
      </c>
      <c r="X30" s="44"/>
      <c r="Y30" s="44">
        <v>17114043</v>
      </c>
      <c r="Z30" s="44"/>
      <c r="AA30" s="44">
        <f>+'Stmt net assets'!Y30</f>
        <v>22602314</v>
      </c>
      <c r="AB30" s="44"/>
      <c r="AC30" s="44">
        <f>+Y30+'Stmt of activities-GA rev'!AC30-'Stmt of activities-GAexp'!W30-AA30</f>
        <v>0</v>
      </c>
    </row>
    <row r="31" spans="1:29" s="47" customFormat="1" ht="12.75" customHeight="1">
      <c r="A31" s="47" t="s">
        <v>44</v>
      </c>
      <c r="B31" s="51"/>
      <c r="C31" s="47" t="s">
        <v>45</v>
      </c>
      <c r="E31" s="44">
        <v>10971088</v>
      </c>
      <c r="F31" s="44"/>
      <c r="G31" s="44">
        <v>0</v>
      </c>
      <c r="H31" s="44"/>
      <c r="I31" s="44">
        <v>5262217</v>
      </c>
      <c r="J31" s="44"/>
      <c r="K31" s="44">
        <v>784808</v>
      </c>
      <c r="L31" s="44"/>
      <c r="M31" s="44">
        <v>2415412</v>
      </c>
      <c r="N31" s="44"/>
      <c r="O31" s="44">
        <v>2401524</v>
      </c>
      <c r="P31" s="44"/>
      <c r="Q31" s="44">
        <v>8351370</v>
      </c>
      <c r="R31" s="44"/>
      <c r="S31" s="44">
        <v>0</v>
      </c>
      <c r="T31" s="44"/>
      <c r="U31" s="44">
        <v>2099365</v>
      </c>
      <c r="V31" s="44"/>
      <c r="W31" s="44">
        <f t="shared" si="0"/>
        <v>32285784</v>
      </c>
      <c r="X31" s="44"/>
      <c r="Y31" s="44">
        <v>69581899</v>
      </c>
      <c r="Z31" s="44"/>
      <c r="AA31" s="44">
        <f>+'Stmt net assets'!Y31</f>
        <v>74184471</v>
      </c>
      <c r="AB31" s="44"/>
      <c r="AC31" s="44">
        <f>+Y31+'Stmt of activities-GA rev'!AC31-'Stmt of activities-GAexp'!W31-AA31</f>
        <v>0</v>
      </c>
    </row>
    <row r="32" spans="1:29" s="47" customFormat="1" ht="12.75" customHeight="1">
      <c r="A32" s="47" t="s">
        <v>46</v>
      </c>
      <c r="B32" s="51"/>
      <c r="C32" s="47" t="s">
        <v>47</v>
      </c>
      <c r="E32" s="44">
        <f>5778804+5686755</f>
        <v>11465559</v>
      </c>
      <c r="F32" s="44"/>
      <c r="G32" s="44">
        <v>90609</v>
      </c>
      <c r="H32" s="44"/>
      <c r="I32" s="44">
        <v>1925383</v>
      </c>
      <c r="J32" s="44"/>
      <c r="K32" s="44">
        <v>1059557</v>
      </c>
      <c r="L32" s="44"/>
      <c r="M32" s="44">
        <v>5895352</v>
      </c>
      <c r="N32" s="44"/>
      <c r="O32" s="44">
        <v>4041167</v>
      </c>
      <c r="P32" s="44"/>
      <c r="Q32" s="44">
        <f>1745655+3255674</f>
        <v>5001329</v>
      </c>
      <c r="R32" s="44"/>
      <c r="S32" s="44">
        <v>45537</v>
      </c>
      <c r="T32" s="44"/>
      <c r="U32" s="44">
        <v>892250</v>
      </c>
      <c r="V32" s="44"/>
      <c r="W32" s="44">
        <f t="shared" si="0"/>
        <v>30416743</v>
      </c>
      <c r="X32" s="44"/>
      <c r="Y32" s="44">
        <v>44497395</v>
      </c>
      <c r="Z32" s="44"/>
      <c r="AA32" s="44">
        <f>+'Stmt net assets'!Y32</f>
        <v>33961532</v>
      </c>
      <c r="AB32" s="44"/>
      <c r="AC32" s="44">
        <f>+Y32+'Stmt of activities-GA rev'!AC32-'Stmt of activities-GAexp'!W32-AA32</f>
        <v>0</v>
      </c>
    </row>
    <row r="33" spans="1:29" s="47" customFormat="1" ht="12.75" customHeight="1">
      <c r="A33" s="47" t="s">
        <v>48</v>
      </c>
      <c r="C33" s="47" t="s">
        <v>27</v>
      </c>
      <c r="E33" s="44">
        <f>4560315+2096299</f>
        <v>6656614</v>
      </c>
      <c r="F33" s="44"/>
      <c r="G33" s="44">
        <v>1195863</v>
      </c>
      <c r="H33" s="44"/>
      <c r="I33" s="44">
        <v>1976407</v>
      </c>
      <c r="J33" s="44"/>
      <c r="K33" s="44">
        <v>855329</v>
      </c>
      <c r="L33" s="44"/>
      <c r="M33" s="44">
        <v>3994538</v>
      </c>
      <c r="N33" s="44"/>
      <c r="O33" s="44">
        <v>1704663</v>
      </c>
      <c r="P33" s="44"/>
      <c r="Q33" s="44">
        <f>6097065+161505</f>
        <v>6258570</v>
      </c>
      <c r="R33" s="44"/>
      <c r="S33" s="44">
        <v>0</v>
      </c>
      <c r="T33" s="44"/>
      <c r="U33" s="44">
        <v>693039</v>
      </c>
      <c r="V33" s="44"/>
      <c r="W33" s="44">
        <f t="shared" si="0"/>
        <v>23335023</v>
      </c>
      <c r="X33" s="44"/>
      <c r="Y33" s="44">
        <v>81391413</v>
      </c>
      <c r="Z33" s="44"/>
      <c r="AA33" s="44">
        <f>+'Stmt net assets'!Y33</f>
        <v>82166833</v>
      </c>
      <c r="AB33" s="44"/>
      <c r="AC33" s="44">
        <f>+Y33+'Stmt of activities-GA rev'!AC33-'Stmt of activities-GAexp'!W33-AA33</f>
        <v>0</v>
      </c>
    </row>
    <row r="34" spans="1:29" s="47" customFormat="1" ht="12.75" customHeight="1">
      <c r="A34" s="47" t="s">
        <v>49</v>
      </c>
      <c r="B34" s="51"/>
      <c r="C34" s="47" t="s">
        <v>27</v>
      </c>
      <c r="E34" s="44">
        <v>7393789</v>
      </c>
      <c r="F34" s="44"/>
      <c r="G34" s="44">
        <v>306623</v>
      </c>
      <c r="H34" s="44"/>
      <c r="I34" s="44">
        <v>951585</v>
      </c>
      <c r="J34" s="44"/>
      <c r="K34" s="44">
        <v>418668</v>
      </c>
      <c r="L34" s="44"/>
      <c r="M34" s="44">
        <v>3394636</v>
      </c>
      <c r="N34" s="44"/>
      <c r="O34" s="44">
        <v>904650</v>
      </c>
      <c r="P34" s="44"/>
      <c r="Q34" s="44">
        <v>5284704</v>
      </c>
      <c r="R34" s="44"/>
      <c r="S34" s="44">
        <v>0</v>
      </c>
      <c r="T34" s="44"/>
      <c r="U34" s="44">
        <v>538160</v>
      </c>
      <c r="V34" s="44"/>
      <c r="W34" s="44">
        <f t="shared" si="0"/>
        <v>19192815</v>
      </c>
      <c r="X34" s="44"/>
      <c r="Y34" s="44">
        <v>33258058</v>
      </c>
      <c r="Z34" s="44"/>
      <c r="AA34" s="44">
        <f>+'Stmt net assets'!Y34</f>
        <v>32369065</v>
      </c>
      <c r="AB34" s="44"/>
      <c r="AC34" s="44">
        <f>+Y34+'Stmt of activities-GA rev'!AC34-'Stmt of activities-GAexp'!W34-AA34</f>
        <v>0</v>
      </c>
    </row>
    <row r="35" spans="1:29" s="47" customFormat="1" ht="12.75" customHeight="1">
      <c r="A35" s="47" t="s">
        <v>50</v>
      </c>
      <c r="B35" s="51"/>
      <c r="C35" s="47" t="s">
        <v>27</v>
      </c>
      <c r="E35" s="44">
        <f>7203552+5321068</f>
        <v>12524620</v>
      </c>
      <c r="F35" s="44"/>
      <c r="G35" s="44">
        <v>393134</v>
      </c>
      <c r="H35" s="44"/>
      <c r="I35" s="44">
        <v>2818681</v>
      </c>
      <c r="J35" s="44"/>
      <c r="K35" s="44">
        <v>1507000</v>
      </c>
      <c r="L35" s="44"/>
      <c r="M35" s="44">
        <v>2504805</v>
      </c>
      <c r="N35" s="44"/>
      <c r="O35" s="44">
        <v>4308772</v>
      </c>
      <c r="P35" s="44"/>
      <c r="Q35" s="44">
        <v>5200887</v>
      </c>
      <c r="R35" s="44"/>
      <c r="S35" s="44">
        <v>0</v>
      </c>
      <c r="T35" s="44"/>
      <c r="U35" s="44">
        <v>47563</v>
      </c>
      <c r="V35" s="44"/>
      <c r="W35" s="44">
        <f t="shared" si="0"/>
        <v>29305462</v>
      </c>
      <c r="X35" s="44"/>
      <c r="Y35" s="44">
        <v>83274457</v>
      </c>
      <c r="Z35" s="44"/>
      <c r="AA35" s="44">
        <f>+'Stmt net assets'!Y35</f>
        <v>81870313</v>
      </c>
      <c r="AB35" s="44"/>
      <c r="AC35" s="44">
        <f>+Y35+'Stmt of activities-GA rev'!AC35-'Stmt of activities-GAexp'!W35-AA35</f>
        <v>0</v>
      </c>
    </row>
    <row r="36" spans="1:29" s="47" customFormat="1" ht="12.75" customHeight="1">
      <c r="A36" s="47" t="s">
        <v>51</v>
      </c>
      <c r="B36" s="51"/>
      <c r="C36" s="47" t="s">
        <v>27</v>
      </c>
      <c r="E36" s="44">
        <v>8821940</v>
      </c>
      <c r="F36" s="44"/>
      <c r="G36" s="44">
        <v>0</v>
      </c>
      <c r="H36" s="44"/>
      <c r="I36" s="44">
        <v>2513099</v>
      </c>
      <c r="J36" s="44"/>
      <c r="K36" s="44">
        <v>4430941</v>
      </c>
      <c r="L36" s="44"/>
      <c r="M36" s="44">
        <v>972791</v>
      </c>
      <c r="N36" s="44"/>
      <c r="O36" s="44">
        <v>2583382</v>
      </c>
      <c r="P36" s="44"/>
      <c r="Q36" s="44">
        <v>2416591</v>
      </c>
      <c r="R36" s="44"/>
      <c r="S36" s="44">
        <v>0</v>
      </c>
      <c r="T36" s="44"/>
      <c r="U36" s="44">
        <v>439959</v>
      </c>
      <c r="V36" s="44"/>
      <c r="W36" s="44">
        <f t="shared" si="0"/>
        <v>22178703</v>
      </c>
      <c r="X36" s="44"/>
      <c r="Y36" s="44">
        <v>25050109</v>
      </c>
      <c r="Z36" s="44"/>
      <c r="AA36" s="44">
        <f>+'Stmt net assets'!Y36</f>
        <v>22547622</v>
      </c>
      <c r="AB36" s="44"/>
      <c r="AC36" s="44">
        <f>+Y36+'Stmt of activities-GA rev'!AC36-'Stmt of activities-GAexp'!W36-AA36</f>
        <v>0</v>
      </c>
    </row>
    <row r="37" spans="1:29" s="47" customFormat="1" ht="12.75" customHeight="1">
      <c r="A37" s="47" t="s">
        <v>462</v>
      </c>
      <c r="B37" s="51"/>
      <c r="C37" s="47" t="s">
        <v>66</v>
      </c>
      <c r="E37" s="44">
        <v>1936897</v>
      </c>
      <c r="F37" s="44"/>
      <c r="G37" s="44">
        <v>29552</v>
      </c>
      <c r="H37" s="44"/>
      <c r="I37" s="44">
        <v>198011</v>
      </c>
      <c r="J37" s="44"/>
      <c r="K37" s="44">
        <v>100000</v>
      </c>
      <c r="L37" s="44"/>
      <c r="M37" s="44">
        <v>961245</v>
      </c>
      <c r="N37" s="44"/>
      <c r="O37" s="44">
        <v>0</v>
      </c>
      <c r="P37" s="44"/>
      <c r="Q37" s="44">
        <v>1068811</v>
      </c>
      <c r="R37" s="44"/>
      <c r="S37" s="44">
        <v>0</v>
      </c>
      <c r="T37" s="44"/>
      <c r="U37" s="44">
        <v>80474</v>
      </c>
      <c r="V37" s="44"/>
      <c r="W37" s="44">
        <f t="shared" si="0"/>
        <v>4374990</v>
      </c>
      <c r="X37" s="44"/>
      <c r="Y37" s="44">
        <v>9878540</v>
      </c>
      <c r="Z37" s="44"/>
      <c r="AA37" s="44">
        <f>+'Stmt net assets'!Y37</f>
        <v>9969889</v>
      </c>
      <c r="AB37" s="44"/>
      <c r="AC37" s="44">
        <f>+Y37+'Stmt of activities-GA rev'!AC37-'Stmt of activities-GAexp'!W37-AA37</f>
        <v>0</v>
      </c>
    </row>
    <row r="38" spans="1:29" s="47" customFormat="1" ht="12.75" customHeight="1">
      <c r="A38" s="47" t="s">
        <v>52</v>
      </c>
      <c r="B38" s="51"/>
      <c r="C38" s="47" t="s">
        <v>53</v>
      </c>
      <c r="E38" s="44">
        <v>9318372</v>
      </c>
      <c r="F38" s="44"/>
      <c r="G38" s="44">
        <v>31491</v>
      </c>
      <c r="H38" s="44"/>
      <c r="I38" s="44">
        <v>1766699</v>
      </c>
      <c r="J38" s="44"/>
      <c r="K38" s="44">
        <v>2497012</v>
      </c>
      <c r="L38" s="44"/>
      <c r="M38" s="44">
        <v>3343339</v>
      </c>
      <c r="N38" s="44"/>
      <c r="O38" s="44">
        <v>0</v>
      </c>
      <c r="P38" s="44"/>
      <c r="Q38" s="44">
        <v>3132307</v>
      </c>
      <c r="R38" s="44"/>
      <c r="S38" s="44">
        <v>0</v>
      </c>
      <c r="T38" s="44"/>
      <c r="U38" s="44">
        <v>390789</v>
      </c>
      <c r="V38" s="44"/>
      <c r="W38" s="44">
        <f t="shared" si="0"/>
        <v>20480009</v>
      </c>
      <c r="X38" s="44"/>
      <c r="Y38" s="44">
        <v>49659576</v>
      </c>
      <c r="Z38" s="44"/>
      <c r="AA38" s="44">
        <f>+'Stmt net assets'!Y38</f>
        <v>49341758</v>
      </c>
      <c r="AB38" s="44"/>
      <c r="AC38" s="44">
        <f>+Y38+'Stmt of activities-GA rev'!AC38-'Stmt of activities-GAexp'!W38-AA38</f>
        <v>0</v>
      </c>
    </row>
    <row r="39" spans="1:29" s="47" customFormat="1" ht="12.75" customHeight="1">
      <c r="A39" s="47" t="s">
        <v>54</v>
      </c>
      <c r="B39" s="51"/>
      <c r="C39" s="47" t="s">
        <v>55</v>
      </c>
      <c r="E39" s="44">
        <v>2698600</v>
      </c>
      <c r="F39" s="44"/>
      <c r="G39" s="44">
        <v>97385</v>
      </c>
      <c r="H39" s="44"/>
      <c r="I39" s="44">
        <v>994457</v>
      </c>
      <c r="J39" s="44"/>
      <c r="K39" s="44">
        <v>775065</v>
      </c>
      <c r="L39" s="44"/>
      <c r="M39" s="44">
        <v>1247183</v>
      </c>
      <c r="N39" s="44"/>
      <c r="O39" s="44">
        <v>0</v>
      </c>
      <c r="P39" s="44"/>
      <c r="Q39" s="44">
        <v>3704598</v>
      </c>
      <c r="R39" s="44"/>
      <c r="S39" s="44">
        <v>0</v>
      </c>
      <c r="T39" s="44"/>
      <c r="U39" s="44">
        <v>69824</v>
      </c>
      <c r="V39" s="44"/>
      <c r="W39" s="44">
        <f t="shared" si="0"/>
        <v>9587112</v>
      </c>
      <c r="X39" s="44"/>
      <c r="Y39" s="44">
        <v>35242838</v>
      </c>
      <c r="Z39" s="44"/>
      <c r="AA39" s="44">
        <f>+'Stmt net assets'!Y39</f>
        <v>35360532</v>
      </c>
      <c r="AB39" s="44"/>
      <c r="AC39" s="44">
        <f>+Y39+'Stmt of activities-GA rev'!AC39-'Stmt of activities-GAexp'!W39-AA39</f>
        <v>0</v>
      </c>
    </row>
    <row r="40" spans="1:29" s="47" customFormat="1" ht="12.75" customHeight="1">
      <c r="A40" s="47" t="s">
        <v>56</v>
      </c>
      <c r="B40" s="51"/>
      <c r="C40" s="47" t="s">
        <v>57</v>
      </c>
      <c r="E40" s="44">
        <f>2072141+1421408+411491</f>
        <v>3905040</v>
      </c>
      <c r="F40" s="44"/>
      <c r="G40" s="44">
        <v>281248</v>
      </c>
      <c r="H40" s="44"/>
      <c r="I40" s="44">
        <v>153316</v>
      </c>
      <c r="J40" s="44"/>
      <c r="K40" s="44">
        <v>99501</v>
      </c>
      <c r="L40" s="44"/>
      <c r="M40" s="44">
        <v>2558480</v>
      </c>
      <c r="N40" s="44"/>
      <c r="O40" s="44">
        <v>0</v>
      </c>
      <c r="P40" s="44"/>
      <c r="Q40" s="44">
        <v>1418784</v>
      </c>
      <c r="R40" s="44"/>
      <c r="S40" s="44">
        <v>0</v>
      </c>
      <c r="T40" s="44"/>
      <c r="U40" s="44">
        <v>25862</v>
      </c>
      <c r="V40" s="44"/>
      <c r="W40" s="44">
        <f t="shared" si="0"/>
        <v>8442231</v>
      </c>
      <c r="X40" s="44"/>
      <c r="Y40" s="44">
        <v>20233899</v>
      </c>
      <c r="Z40" s="44"/>
      <c r="AA40" s="44">
        <f>+'Stmt net assets'!Y40</f>
        <v>20062802</v>
      </c>
      <c r="AB40" s="44"/>
      <c r="AC40" s="44">
        <f>+Y40+'Stmt of activities-GA rev'!AC40-'Stmt of activities-GAexp'!W40-AA40</f>
        <v>0</v>
      </c>
    </row>
    <row r="41" spans="1:29" s="47" customFormat="1" ht="12.75" customHeight="1">
      <c r="A41" s="47" t="s">
        <v>58</v>
      </c>
      <c r="B41" s="51"/>
      <c r="C41" s="47" t="s">
        <v>59</v>
      </c>
      <c r="E41" s="44">
        <v>4256949</v>
      </c>
      <c r="F41" s="44"/>
      <c r="G41" s="44">
        <v>274971</v>
      </c>
      <c r="H41" s="44"/>
      <c r="I41" s="44">
        <v>850959</v>
      </c>
      <c r="J41" s="44"/>
      <c r="K41" s="44">
        <v>821381</v>
      </c>
      <c r="L41" s="44"/>
      <c r="M41" s="44">
        <v>2211424</v>
      </c>
      <c r="N41" s="44"/>
      <c r="O41" s="44">
        <v>0</v>
      </c>
      <c r="P41" s="44"/>
      <c r="Q41" s="44">
        <v>2704359</v>
      </c>
      <c r="R41" s="44"/>
      <c r="S41" s="44">
        <v>0</v>
      </c>
      <c r="T41" s="44"/>
      <c r="U41" s="44">
        <v>101207</v>
      </c>
      <c r="V41" s="44"/>
      <c r="W41" s="44">
        <f t="shared" si="0"/>
        <v>11221250</v>
      </c>
      <c r="X41" s="44"/>
      <c r="Y41" s="44">
        <v>21898175</v>
      </c>
      <c r="Z41" s="44"/>
      <c r="AA41" s="44">
        <f>+'Stmt net assets'!Y41</f>
        <v>22986648</v>
      </c>
      <c r="AB41" s="44"/>
      <c r="AC41" s="44">
        <f>+Y41+'Stmt of activities-GA rev'!AC41-'Stmt of activities-GAexp'!W41-AA41</f>
        <v>0</v>
      </c>
    </row>
    <row r="42" spans="1:29" s="47" customFormat="1" ht="12.75" customHeight="1">
      <c r="A42" s="47" t="s">
        <v>476</v>
      </c>
      <c r="B42" s="51"/>
      <c r="C42" s="47" t="s">
        <v>15</v>
      </c>
      <c r="E42" s="44">
        <v>1449525</v>
      </c>
      <c r="F42" s="44"/>
      <c r="G42" s="44">
        <v>0</v>
      </c>
      <c r="H42" s="44"/>
      <c r="I42" s="44">
        <v>77588</v>
      </c>
      <c r="J42" s="44"/>
      <c r="K42" s="44">
        <v>0</v>
      </c>
      <c r="L42" s="44"/>
      <c r="M42" s="44">
        <v>452405</v>
      </c>
      <c r="N42" s="44"/>
      <c r="O42" s="44">
        <v>0</v>
      </c>
      <c r="P42" s="44"/>
      <c r="Q42" s="44">
        <v>673710</v>
      </c>
      <c r="R42" s="44"/>
      <c r="S42" s="44">
        <v>0</v>
      </c>
      <c r="T42" s="44"/>
      <c r="U42" s="44">
        <v>65877</v>
      </c>
      <c r="V42" s="44"/>
      <c r="W42" s="44">
        <f>SUM(E42:U42)</f>
        <v>2719105</v>
      </c>
      <c r="X42" s="44"/>
      <c r="Y42" s="44">
        <v>10447291</v>
      </c>
      <c r="Z42" s="44"/>
      <c r="AA42" s="44">
        <f>+'Stmt net assets'!Y42</f>
        <v>10924367</v>
      </c>
      <c r="AB42" s="44"/>
      <c r="AC42" s="44">
        <f>+Y42+'Stmt of activities-GA rev'!AC42-'Stmt of activities-GAexp'!W42-AA42</f>
        <v>0</v>
      </c>
    </row>
    <row r="43" spans="1:29" s="47" customFormat="1" ht="12.75" customHeight="1">
      <c r="A43" s="47" t="s">
        <v>60</v>
      </c>
      <c r="B43" s="51"/>
      <c r="C43" s="47" t="s">
        <v>61</v>
      </c>
      <c r="E43" s="44">
        <v>2262730</v>
      </c>
      <c r="F43" s="44"/>
      <c r="G43" s="44">
        <v>59768</v>
      </c>
      <c r="H43" s="44"/>
      <c r="I43" s="44">
        <v>97046</v>
      </c>
      <c r="J43" s="44"/>
      <c r="K43" s="44">
        <v>88742</v>
      </c>
      <c r="L43" s="44"/>
      <c r="M43" s="44">
        <v>832667</v>
      </c>
      <c r="N43" s="44"/>
      <c r="O43" s="44">
        <v>0</v>
      </c>
      <c r="P43" s="44"/>
      <c r="Q43" s="44">
        <v>916107</v>
      </c>
      <c r="R43" s="44"/>
      <c r="S43" s="44">
        <v>8285</v>
      </c>
      <c r="T43" s="44"/>
      <c r="U43" s="44">
        <v>80692</v>
      </c>
      <c r="V43" s="44"/>
      <c r="W43" s="44">
        <f t="shared" si="0"/>
        <v>4346037</v>
      </c>
      <c r="X43" s="44"/>
      <c r="Y43" s="44">
        <v>15753237</v>
      </c>
      <c r="Z43" s="44"/>
      <c r="AA43" s="44">
        <f>+'Stmt net assets'!Y43</f>
        <v>15997087</v>
      </c>
      <c r="AB43" s="44"/>
      <c r="AC43" s="44">
        <f>+Y43+'Stmt of activities-GA rev'!AC43-'Stmt of activities-GAexp'!W43-AA43</f>
        <v>0</v>
      </c>
    </row>
    <row r="44" spans="1:29" s="47" customFormat="1" ht="12.75" customHeight="1">
      <c r="A44" s="47" t="s">
        <v>62</v>
      </c>
      <c r="B44" s="51"/>
      <c r="C44" s="47" t="s">
        <v>15</v>
      </c>
      <c r="E44" s="44">
        <v>39741822</v>
      </c>
      <c r="F44" s="44"/>
      <c r="G44" s="44">
        <v>6503089</v>
      </c>
      <c r="H44" s="44"/>
      <c r="I44" s="44">
        <v>2943691</v>
      </c>
      <c r="J44" s="44"/>
      <c r="K44" s="44">
        <v>5393621</v>
      </c>
      <c r="L44" s="44"/>
      <c r="M44" s="44">
        <v>13864195</v>
      </c>
      <c r="N44" s="44"/>
      <c r="O44" s="44">
        <v>0</v>
      </c>
      <c r="P44" s="44"/>
      <c r="Q44" s="44">
        <v>21447525</v>
      </c>
      <c r="R44" s="44"/>
      <c r="S44" s="44">
        <v>0</v>
      </c>
      <c r="T44" s="44"/>
      <c r="U44" s="44">
        <v>925828</v>
      </c>
      <c r="V44" s="44"/>
      <c r="W44" s="44">
        <f t="shared" si="0"/>
        <v>90819771</v>
      </c>
      <c r="X44" s="44"/>
      <c r="Y44" s="44">
        <v>129706746</v>
      </c>
      <c r="Z44" s="44"/>
      <c r="AA44" s="44">
        <f>+'Stmt net assets'!Y44</f>
        <v>129379575</v>
      </c>
      <c r="AB44" s="44"/>
      <c r="AC44" s="44">
        <f>+Y44+'Stmt of activities-GA rev'!AC44-'Stmt of activities-GAexp'!W44-AA44</f>
        <v>0</v>
      </c>
    </row>
    <row r="45" spans="1:29" s="47" customFormat="1" ht="12.75" customHeight="1">
      <c r="A45" s="47" t="s">
        <v>485</v>
      </c>
      <c r="B45" s="51"/>
      <c r="C45" s="47" t="s">
        <v>111</v>
      </c>
      <c r="E45" s="44">
        <v>748546</v>
      </c>
      <c r="F45" s="44"/>
      <c r="G45" s="44">
        <v>0</v>
      </c>
      <c r="H45" s="44"/>
      <c r="I45" s="44">
        <v>19482</v>
      </c>
      <c r="J45" s="44"/>
      <c r="K45" s="44">
        <v>124671</v>
      </c>
      <c r="L45" s="44"/>
      <c r="M45" s="44">
        <v>276478</v>
      </c>
      <c r="N45" s="44"/>
      <c r="O45" s="44">
        <v>0</v>
      </c>
      <c r="P45" s="44"/>
      <c r="Q45" s="44">
        <v>757947</v>
      </c>
      <c r="R45" s="44"/>
      <c r="S45" s="44">
        <v>0</v>
      </c>
      <c r="T45" s="44"/>
      <c r="U45" s="44">
        <v>99072</v>
      </c>
      <c r="V45" s="44"/>
      <c r="W45" s="44">
        <f>SUM(E45:U45)</f>
        <v>2026196</v>
      </c>
      <c r="X45" s="44"/>
      <c r="Y45" s="44">
        <v>3565730</v>
      </c>
      <c r="Z45" s="44"/>
      <c r="AA45" s="44">
        <f>+'Stmt net assets'!Y45</f>
        <v>3651105</v>
      </c>
      <c r="AB45" s="44"/>
      <c r="AC45" s="44">
        <f>+Y45+'Stmt of activities-GA rev'!AC45-'Stmt of activities-GAexp'!W45-AA45</f>
        <v>0</v>
      </c>
    </row>
    <row r="46" spans="1:29" s="47" customFormat="1" ht="12.75" customHeight="1">
      <c r="A46" s="47" t="s">
        <v>63</v>
      </c>
      <c r="B46" s="51"/>
      <c r="C46" s="47" t="s">
        <v>64</v>
      </c>
      <c r="E46" s="44">
        <v>3317834</v>
      </c>
      <c r="F46" s="44"/>
      <c r="G46" s="44">
        <v>79768</v>
      </c>
      <c r="H46" s="44"/>
      <c r="I46" s="44">
        <v>664218</v>
      </c>
      <c r="J46" s="44"/>
      <c r="K46" s="44">
        <v>149668</v>
      </c>
      <c r="L46" s="44"/>
      <c r="M46" s="44">
        <v>1694554</v>
      </c>
      <c r="N46" s="44"/>
      <c r="O46" s="44">
        <v>210787</v>
      </c>
      <c r="P46" s="44"/>
      <c r="Q46" s="44">
        <v>1456036</v>
      </c>
      <c r="R46" s="44"/>
      <c r="S46" s="44">
        <v>134597</v>
      </c>
      <c r="T46" s="44"/>
      <c r="U46" s="44">
        <v>190556</v>
      </c>
      <c r="V46" s="44"/>
      <c r="W46" s="44">
        <f t="shared" si="0"/>
        <v>7898018</v>
      </c>
      <c r="X46" s="44"/>
      <c r="Y46" s="44">
        <v>18409188</v>
      </c>
      <c r="Z46" s="44"/>
      <c r="AA46" s="44">
        <f>+'Stmt net assets'!Y46</f>
        <v>15593823</v>
      </c>
      <c r="AB46" s="44"/>
      <c r="AC46" s="44">
        <f>+Y46+'Stmt of activities-GA rev'!AC46-'Stmt of activities-GAexp'!W46-AA46</f>
        <v>0</v>
      </c>
    </row>
    <row r="47" spans="1:29" s="47" customFormat="1" ht="12.75" customHeight="1">
      <c r="A47" s="47" t="s">
        <v>65</v>
      </c>
      <c r="B47" s="51"/>
      <c r="C47" s="47" t="s">
        <v>66</v>
      </c>
      <c r="E47" s="44">
        <v>6380789</v>
      </c>
      <c r="F47" s="44"/>
      <c r="G47" s="44">
        <v>0</v>
      </c>
      <c r="H47" s="44"/>
      <c r="I47" s="44">
        <v>449597</v>
      </c>
      <c r="J47" s="44"/>
      <c r="K47" s="44">
        <v>318856</v>
      </c>
      <c r="L47" s="44"/>
      <c r="M47" s="44">
        <v>3810418</v>
      </c>
      <c r="N47" s="44"/>
      <c r="O47" s="44">
        <v>0</v>
      </c>
      <c r="P47" s="44"/>
      <c r="Q47" s="44">
        <v>5325348</v>
      </c>
      <c r="R47" s="44"/>
      <c r="S47" s="44">
        <v>0</v>
      </c>
      <c r="T47" s="44"/>
      <c r="U47" s="44">
        <v>1122739</v>
      </c>
      <c r="V47" s="44"/>
      <c r="W47" s="44">
        <f t="shared" si="0"/>
        <v>17407747</v>
      </c>
      <c r="X47" s="44"/>
      <c r="Y47" s="44">
        <v>55646415</v>
      </c>
      <c r="Z47" s="44"/>
      <c r="AA47" s="44">
        <f>+'Stmt net assets'!Y47</f>
        <v>55770626</v>
      </c>
      <c r="AB47" s="44"/>
      <c r="AC47" s="44">
        <f>+Y47+'Stmt of activities-GA rev'!AC47-'Stmt of activities-GAexp'!W47-AA47</f>
        <v>0</v>
      </c>
    </row>
    <row r="48" spans="1:29" s="47" customFormat="1" ht="12.75" customHeight="1">
      <c r="A48" s="47" t="s">
        <v>67</v>
      </c>
      <c r="B48" s="51"/>
      <c r="C48" s="47" t="s">
        <v>375</v>
      </c>
      <c r="E48" s="44">
        <v>2800142</v>
      </c>
      <c r="F48" s="44"/>
      <c r="G48" s="44">
        <v>77756</v>
      </c>
      <c r="H48" s="44"/>
      <c r="I48" s="44">
        <v>273711</v>
      </c>
      <c r="J48" s="44"/>
      <c r="K48" s="44">
        <v>319556</v>
      </c>
      <c r="L48" s="44"/>
      <c r="M48" s="44">
        <v>2078488</v>
      </c>
      <c r="N48" s="44"/>
      <c r="O48" s="44">
        <v>1433</v>
      </c>
      <c r="P48" s="44"/>
      <c r="Q48" s="44">
        <v>3462244</v>
      </c>
      <c r="R48" s="44"/>
      <c r="S48" s="44">
        <v>0</v>
      </c>
      <c r="T48" s="44"/>
      <c r="U48" s="44">
        <v>46904</v>
      </c>
      <c r="V48" s="44"/>
      <c r="W48" s="44">
        <f t="shared" si="0"/>
        <v>9060234</v>
      </c>
      <c r="X48" s="44"/>
      <c r="Y48" s="44">
        <v>40941677</v>
      </c>
      <c r="Z48" s="44"/>
      <c r="AA48" s="44">
        <f>+'Stmt net assets'!Y48</f>
        <v>40303418</v>
      </c>
      <c r="AB48" s="44"/>
      <c r="AC48" s="44">
        <f>+Y48+'Stmt of activities-GA rev'!AC48-'Stmt of activities-GAexp'!W48-AA48</f>
        <v>0</v>
      </c>
    </row>
    <row r="49" spans="1:29" s="47" customFormat="1" ht="12.75" customHeight="1">
      <c r="A49" s="47" t="s">
        <v>68</v>
      </c>
      <c r="B49" s="51"/>
      <c r="C49" s="47" t="s">
        <v>45</v>
      </c>
      <c r="E49" s="44">
        <v>2118137</v>
      </c>
      <c r="F49" s="44"/>
      <c r="G49" s="44">
        <v>22271</v>
      </c>
      <c r="H49" s="44"/>
      <c r="I49" s="44">
        <v>121347</v>
      </c>
      <c r="J49" s="44"/>
      <c r="K49" s="44">
        <v>75848</v>
      </c>
      <c r="L49" s="44"/>
      <c r="M49" s="44">
        <v>585241</v>
      </c>
      <c r="N49" s="44"/>
      <c r="O49" s="44">
        <v>383520</v>
      </c>
      <c r="P49" s="44"/>
      <c r="Q49" s="44">
        <v>1697384</v>
      </c>
      <c r="R49" s="44"/>
      <c r="S49" s="44">
        <v>0</v>
      </c>
      <c r="T49" s="44"/>
      <c r="U49" s="44">
        <v>3889</v>
      </c>
      <c r="V49" s="44"/>
      <c r="W49" s="44">
        <f t="shared" si="0"/>
        <v>5007637</v>
      </c>
      <c r="X49" s="44"/>
      <c r="Y49" s="44">
        <v>4257122</v>
      </c>
      <c r="Z49" s="44"/>
      <c r="AA49" s="44">
        <f>+'Stmt net assets'!Y49</f>
        <v>5302156</v>
      </c>
      <c r="AB49" s="44"/>
      <c r="AC49" s="44">
        <f>+Y49+'Stmt of activities-GA rev'!AC49-'Stmt of activities-GAexp'!W49-AA49</f>
        <v>0</v>
      </c>
    </row>
    <row r="50" spans="1:29" s="47" customFormat="1" ht="12.75" customHeight="1">
      <c r="A50" s="47" t="s">
        <v>69</v>
      </c>
      <c r="B50" s="51"/>
      <c r="C50" s="47" t="s">
        <v>70</v>
      </c>
      <c r="E50" s="44">
        <f>5616398+5370049</f>
        <v>10986447</v>
      </c>
      <c r="F50" s="44"/>
      <c r="G50" s="44">
        <v>0</v>
      </c>
      <c r="H50" s="44"/>
      <c r="I50" s="44">
        <v>520058</v>
      </c>
      <c r="J50" s="44"/>
      <c r="K50" s="44">
        <v>1685430</v>
      </c>
      <c r="L50" s="44"/>
      <c r="M50" s="44">
        <v>7341642</v>
      </c>
      <c r="N50" s="44"/>
      <c r="O50" s="44">
        <v>874302</v>
      </c>
      <c r="P50" s="44"/>
      <c r="Q50" s="44">
        <v>5856422</v>
      </c>
      <c r="R50" s="44"/>
      <c r="S50" s="44">
        <v>0</v>
      </c>
      <c r="T50" s="44"/>
      <c r="U50" s="44">
        <v>136428</v>
      </c>
      <c r="V50" s="44"/>
      <c r="W50" s="44">
        <f t="shared" si="0"/>
        <v>27400729</v>
      </c>
      <c r="X50" s="44"/>
      <c r="Y50" s="44">
        <v>44424412</v>
      </c>
      <c r="Z50" s="44"/>
      <c r="AA50" s="44">
        <f>+'Stmt net assets'!Y50</f>
        <v>45373164</v>
      </c>
      <c r="AB50" s="44"/>
      <c r="AC50" s="44">
        <f>+Y50+'Stmt of activities-GA rev'!AC50-'Stmt of activities-GAexp'!W50-AA50</f>
        <v>0</v>
      </c>
    </row>
    <row r="51" spans="1:29" s="47" customFormat="1" ht="12.75" customHeight="1">
      <c r="A51" s="47" t="s">
        <v>71</v>
      </c>
      <c r="B51" s="51"/>
      <c r="C51" s="47" t="s">
        <v>45</v>
      </c>
      <c r="E51" s="44">
        <v>253511000</v>
      </c>
      <c r="F51" s="44"/>
      <c r="G51" s="44">
        <v>48130000</v>
      </c>
      <c r="H51" s="44"/>
      <c r="I51" s="44">
        <v>42413000</v>
      </c>
      <c r="J51" s="44"/>
      <c r="K51" s="44">
        <v>47081000</v>
      </c>
      <c r="L51" s="44"/>
      <c r="M51" s="44">
        <f>42382000+46537000</f>
        <v>88919000</v>
      </c>
      <c r="N51" s="44"/>
      <c r="O51" s="44">
        <v>49048000</v>
      </c>
      <c r="P51" s="44"/>
      <c r="Q51" s="44">
        <v>148044000</v>
      </c>
      <c r="R51" s="44"/>
      <c r="S51" s="44">
        <v>0</v>
      </c>
      <c r="T51" s="44"/>
      <c r="U51" s="44">
        <v>22180000</v>
      </c>
      <c r="V51" s="44"/>
      <c r="W51" s="44">
        <f t="shared" si="0"/>
        <v>699326000</v>
      </c>
      <c r="X51" s="44"/>
      <c r="Y51" s="44">
        <v>873069000</v>
      </c>
      <c r="Z51" s="44"/>
      <c r="AA51" s="44">
        <f>+'Stmt net assets'!Y51</f>
        <v>858332000</v>
      </c>
      <c r="AB51" s="44"/>
      <c r="AC51" s="44">
        <f>+Y51+'Stmt of activities-GA rev'!AC51-'Stmt of activities-GAexp'!W51-AA51</f>
        <v>0</v>
      </c>
    </row>
    <row r="52" spans="1:29" s="47" customFormat="1" ht="12.75" customHeight="1">
      <c r="A52" s="47" t="s">
        <v>463</v>
      </c>
      <c r="B52" s="51"/>
      <c r="C52" s="47" t="s">
        <v>464</v>
      </c>
      <c r="E52" s="44">
        <f>3021043+1762904+273140</f>
        <v>5057087</v>
      </c>
      <c r="F52" s="44"/>
      <c r="G52" s="44">
        <v>177630</v>
      </c>
      <c r="H52" s="44"/>
      <c r="I52" s="44">
        <f>207384+37554+26657</f>
        <v>271595</v>
      </c>
      <c r="J52" s="44"/>
      <c r="K52" s="44">
        <f>11868+553431</f>
        <v>565299</v>
      </c>
      <c r="L52" s="44"/>
      <c r="M52" s="44">
        <v>2011041</v>
      </c>
      <c r="N52" s="44"/>
      <c r="O52" s="44">
        <v>2700</v>
      </c>
      <c r="P52" s="44"/>
      <c r="Q52" s="44">
        <v>3025941</v>
      </c>
      <c r="R52" s="44"/>
      <c r="S52" s="44">
        <v>0</v>
      </c>
      <c r="T52" s="44"/>
      <c r="U52" s="44">
        <v>243605</v>
      </c>
      <c r="V52" s="44"/>
      <c r="W52" s="44">
        <f t="shared" si="0"/>
        <v>11354898</v>
      </c>
      <c r="X52" s="44"/>
      <c r="Y52" s="44">
        <v>26483403</v>
      </c>
      <c r="Z52" s="44"/>
      <c r="AA52" s="44">
        <f>+'Stmt net assets'!Y52</f>
        <v>25564011</v>
      </c>
      <c r="AB52" s="44"/>
      <c r="AC52" s="44">
        <f>+Y52+'Stmt of activities-GA rev'!AC52-'Stmt of activities-GAexp'!W52-AA52</f>
        <v>0</v>
      </c>
    </row>
    <row r="53" spans="1:29" s="47" customFormat="1" ht="12.75" customHeight="1">
      <c r="A53" s="47" t="s">
        <v>72</v>
      </c>
      <c r="B53" s="51"/>
      <c r="C53" s="47" t="s">
        <v>66</v>
      </c>
      <c r="E53" s="44">
        <v>3103331</v>
      </c>
      <c r="F53" s="44"/>
      <c r="G53" s="44">
        <v>3557</v>
      </c>
      <c r="H53" s="44"/>
      <c r="I53" s="44">
        <v>0</v>
      </c>
      <c r="J53" s="44"/>
      <c r="K53" s="44">
        <v>16883</v>
      </c>
      <c r="L53" s="44"/>
      <c r="M53" s="44">
        <v>1201965</v>
      </c>
      <c r="N53" s="44"/>
      <c r="O53" s="44">
        <v>0</v>
      </c>
      <c r="P53" s="44"/>
      <c r="Q53" s="44">
        <v>2102857</v>
      </c>
      <c r="R53" s="44"/>
      <c r="S53" s="44">
        <v>0</v>
      </c>
      <c r="T53" s="44"/>
      <c r="U53" s="44">
        <v>226296</v>
      </c>
      <c r="V53" s="44"/>
      <c r="W53" s="44">
        <f t="shared" si="0"/>
        <v>6654889</v>
      </c>
      <c r="X53" s="44"/>
      <c r="Y53" s="44">
        <v>8565894</v>
      </c>
      <c r="Z53" s="44"/>
      <c r="AA53" s="44">
        <f>+'Stmt net assets'!Y53</f>
        <v>10166739</v>
      </c>
      <c r="AB53" s="44"/>
      <c r="AC53" s="44">
        <f>+Y53+'Stmt of activities-GA rev'!AC53-'Stmt of activities-GAexp'!W53-AA53</f>
        <v>0</v>
      </c>
    </row>
    <row r="54" spans="1:29" s="47" customFormat="1" ht="12.75" customHeight="1">
      <c r="A54" s="47" t="s">
        <v>73</v>
      </c>
      <c r="C54" s="47" t="s">
        <v>27</v>
      </c>
      <c r="E54" s="44">
        <v>329725000</v>
      </c>
      <c r="F54" s="44"/>
      <c r="G54" s="44">
        <v>22999000</v>
      </c>
      <c r="H54" s="44"/>
      <c r="I54" s="44">
        <v>58799000</v>
      </c>
      <c r="J54" s="44"/>
      <c r="K54" s="44">
        <f>59204000+38083000</f>
        <v>97287000</v>
      </c>
      <c r="L54" s="44"/>
      <c r="M54" s="44">
        <v>85947000</v>
      </c>
      <c r="N54" s="44"/>
      <c r="O54" s="44">
        <v>0</v>
      </c>
      <c r="P54" s="44"/>
      <c r="Q54" s="44">
        <v>90807000</v>
      </c>
      <c r="R54" s="44"/>
      <c r="S54" s="44">
        <v>20925000</v>
      </c>
      <c r="T54" s="44"/>
      <c r="U54" s="44">
        <v>30448000</v>
      </c>
      <c r="V54" s="44"/>
      <c r="W54" s="44">
        <f t="shared" si="0"/>
        <v>736937000</v>
      </c>
      <c r="X54" s="44"/>
      <c r="Y54" s="44">
        <v>638426000</v>
      </c>
      <c r="Z54" s="44"/>
      <c r="AA54" s="44">
        <f>+'Stmt net assets'!Y54</f>
        <v>593377000</v>
      </c>
      <c r="AB54" s="44"/>
      <c r="AC54" s="44">
        <f>+Y54+'Stmt of activities-GA rev'!AC54-'Stmt of activities-GAexp'!W54-AA54</f>
        <v>0</v>
      </c>
    </row>
    <row r="55" spans="1:29" s="47" customFormat="1" ht="12.75" customHeight="1">
      <c r="A55" s="47" t="s">
        <v>74</v>
      </c>
      <c r="B55" s="51"/>
      <c r="C55" s="47" t="s">
        <v>27</v>
      </c>
      <c r="E55" s="44">
        <v>17823966</v>
      </c>
      <c r="F55" s="44"/>
      <c r="G55" s="44">
        <v>374224</v>
      </c>
      <c r="H55" s="44"/>
      <c r="I55" s="44">
        <v>3721292</v>
      </c>
      <c r="J55" s="44"/>
      <c r="K55" s="44">
        <v>6207548</v>
      </c>
      <c r="L55" s="44"/>
      <c r="M55" s="44">
        <v>6532259</v>
      </c>
      <c r="N55" s="44"/>
      <c r="O55" s="44">
        <v>2365733</v>
      </c>
      <c r="P55" s="44"/>
      <c r="Q55" s="44">
        <v>11671949</v>
      </c>
      <c r="R55" s="44"/>
      <c r="S55" s="44">
        <v>0</v>
      </c>
      <c r="T55" s="44"/>
      <c r="U55" s="44">
        <v>313546</v>
      </c>
      <c r="V55" s="44"/>
      <c r="W55" s="44">
        <f t="shared" si="0"/>
        <v>49010517</v>
      </c>
      <c r="X55" s="44"/>
      <c r="Y55" s="44">
        <v>67565159</v>
      </c>
      <c r="Z55" s="44"/>
      <c r="AA55" s="44">
        <f>+'Stmt net assets'!Y55</f>
        <v>71191456</v>
      </c>
      <c r="AB55" s="44"/>
      <c r="AC55" s="44">
        <f>+Y55+'Stmt of activities-GA rev'!AC55-'Stmt of activities-GAexp'!W55-AA55</f>
        <v>0</v>
      </c>
    </row>
    <row r="56" spans="1:29" s="47" customFormat="1" ht="12.75" customHeight="1">
      <c r="A56" s="47" t="s">
        <v>75</v>
      </c>
      <c r="B56" s="51"/>
      <c r="C56" s="47" t="s">
        <v>76</v>
      </c>
      <c r="E56" s="44">
        <v>2229731</v>
      </c>
      <c r="F56" s="44"/>
      <c r="G56" s="44">
        <v>613403</v>
      </c>
      <c r="H56" s="44"/>
      <c r="I56" s="44">
        <v>238590</v>
      </c>
      <c r="J56" s="44"/>
      <c r="K56" s="44">
        <v>427756</v>
      </c>
      <c r="L56" s="44"/>
      <c r="M56" s="44">
        <v>783888</v>
      </c>
      <c r="N56" s="44"/>
      <c r="O56" s="44">
        <v>0</v>
      </c>
      <c r="P56" s="44"/>
      <c r="Q56" s="44">
        <v>1093963</v>
      </c>
      <c r="R56" s="44"/>
      <c r="S56" s="44">
        <v>0</v>
      </c>
      <c r="T56" s="44"/>
      <c r="U56" s="44">
        <v>220826</v>
      </c>
      <c r="V56" s="44"/>
      <c r="W56" s="44">
        <f t="shared" si="0"/>
        <v>5608157</v>
      </c>
      <c r="X56" s="44"/>
      <c r="Y56" s="44">
        <v>14708035</v>
      </c>
      <c r="Z56" s="44"/>
      <c r="AA56" s="44">
        <f>+'Stmt net assets'!Y56</f>
        <v>14310384</v>
      </c>
      <c r="AB56" s="44"/>
      <c r="AC56" s="44">
        <f>+Y56+'Stmt of activities-GA rev'!AC56-'Stmt of activities-GAexp'!W56-AA56</f>
        <v>0</v>
      </c>
    </row>
    <row r="57" spans="1:29" s="47" customFormat="1" ht="12.75" customHeight="1">
      <c r="A57" s="47" t="s">
        <v>77</v>
      </c>
      <c r="B57" s="51"/>
      <c r="C57" s="47" t="s">
        <v>43</v>
      </c>
      <c r="E57" s="44">
        <v>462805000</v>
      </c>
      <c r="F57" s="44"/>
      <c r="G57" s="44">
        <v>40295000</v>
      </c>
      <c r="H57" s="44"/>
      <c r="I57" s="44">
        <v>110689000</v>
      </c>
      <c r="J57" s="44"/>
      <c r="K57" s="44">
        <v>67540000</v>
      </c>
      <c r="L57" s="44"/>
      <c r="M57" s="44">
        <v>138954000</v>
      </c>
      <c r="N57" s="44"/>
      <c r="O57" s="44">
        <v>0</v>
      </c>
      <c r="P57" s="44"/>
      <c r="Q57" s="44">
        <v>111804000</v>
      </c>
      <c r="R57" s="44"/>
      <c r="S57" s="44">
        <v>0</v>
      </c>
      <c r="T57" s="44"/>
      <c r="U57" s="44">
        <v>39029000</v>
      </c>
      <c r="V57" s="44"/>
      <c r="W57" s="44">
        <f t="shared" si="0"/>
        <v>971116000</v>
      </c>
      <c r="X57" s="44"/>
      <c r="Y57" s="44">
        <v>1201368000</v>
      </c>
      <c r="Z57" s="44"/>
      <c r="AA57" s="44">
        <f>+'Stmt net assets'!Y57</f>
        <v>1224338000</v>
      </c>
      <c r="AB57" s="44"/>
      <c r="AC57" s="44">
        <f>+Y57+'Stmt of activities-GA rev'!AC57-'Stmt of activities-GAexp'!W57-AA57</f>
        <v>0</v>
      </c>
    </row>
    <row r="58" spans="1:29" s="47" customFormat="1" ht="12.75" customHeight="1">
      <c r="A58" s="47" t="s">
        <v>94</v>
      </c>
      <c r="B58" s="51"/>
      <c r="C58" s="47" t="s">
        <v>94</v>
      </c>
      <c r="E58" s="44">
        <v>1660362</v>
      </c>
      <c r="F58" s="44"/>
      <c r="G58" s="44">
        <v>174526</v>
      </c>
      <c r="H58" s="44"/>
      <c r="I58" s="44">
        <v>385718</v>
      </c>
      <c r="J58" s="44"/>
      <c r="K58" s="44">
        <v>0</v>
      </c>
      <c r="L58" s="44"/>
      <c r="M58" s="44">
        <v>569629</v>
      </c>
      <c r="N58" s="44"/>
      <c r="O58" s="44">
        <v>0</v>
      </c>
      <c r="P58" s="44"/>
      <c r="Q58" s="44">
        <v>818801</v>
      </c>
      <c r="R58" s="44"/>
      <c r="S58" s="44">
        <v>0</v>
      </c>
      <c r="T58" s="44"/>
      <c r="U58" s="44">
        <v>5447</v>
      </c>
      <c r="V58" s="44"/>
      <c r="W58" s="44">
        <f>SUM(E58:U58)</f>
        <v>3614483</v>
      </c>
      <c r="X58" s="44"/>
      <c r="Y58" s="44">
        <v>7838021</v>
      </c>
      <c r="Z58" s="44"/>
      <c r="AA58" s="44">
        <f>+'Stmt net assets'!Y58</f>
        <v>8181051</v>
      </c>
      <c r="AB58" s="44"/>
      <c r="AC58" s="44">
        <f>+Y58+'Stmt of activities-GA rev'!AC58-'Stmt of activities-GAexp'!W58-AA58</f>
        <v>0</v>
      </c>
    </row>
    <row r="59" spans="1:29" s="47" customFormat="1" ht="12.75" customHeight="1">
      <c r="A59" s="47" t="s">
        <v>78</v>
      </c>
      <c r="B59" s="51"/>
      <c r="C59" s="47" t="s">
        <v>19</v>
      </c>
      <c r="E59" s="44">
        <v>3590030</v>
      </c>
      <c r="F59" s="44"/>
      <c r="G59" s="44">
        <v>148494</v>
      </c>
      <c r="H59" s="44"/>
      <c r="I59" s="44">
        <v>131575</v>
      </c>
      <c r="J59" s="44"/>
      <c r="K59" s="44">
        <v>150557</v>
      </c>
      <c r="L59" s="44"/>
      <c r="M59" s="44">
        <v>1917512</v>
      </c>
      <c r="N59" s="44"/>
      <c r="O59" s="44">
        <v>149308</v>
      </c>
      <c r="P59" s="44"/>
      <c r="Q59" s="44">
        <v>1167792</v>
      </c>
      <c r="R59" s="44"/>
      <c r="S59" s="44">
        <v>0</v>
      </c>
      <c r="T59" s="44"/>
      <c r="U59" s="44">
        <v>135715</v>
      </c>
      <c r="V59" s="44"/>
      <c r="W59" s="44">
        <f>SUM(E59:U59)</f>
        <v>7390983</v>
      </c>
      <c r="X59" s="44"/>
      <c r="Y59" s="44">
        <v>19915144</v>
      </c>
      <c r="Z59" s="44"/>
      <c r="AA59" s="44">
        <f>+'Stmt net assets'!Y59</f>
        <v>32773301</v>
      </c>
      <c r="AB59" s="44"/>
      <c r="AC59" s="44">
        <f>+Y59+'Stmt of activities-GA rev'!AC59-'Stmt of activities-GAexp'!W59-AA59</f>
        <v>0</v>
      </c>
    </row>
    <row r="60" spans="1:29" s="47" customFormat="1" ht="12.75" customHeight="1">
      <c r="A60" s="47" t="s">
        <v>79</v>
      </c>
      <c r="B60" s="51"/>
      <c r="C60" s="47" t="s">
        <v>80</v>
      </c>
      <c r="E60" s="44">
        <v>2238675</v>
      </c>
      <c r="F60" s="44"/>
      <c r="G60" s="44">
        <v>11667</v>
      </c>
      <c r="H60" s="44"/>
      <c r="I60" s="44">
        <v>28667</v>
      </c>
      <c r="J60" s="44"/>
      <c r="K60" s="44">
        <v>40966</v>
      </c>
      <c r="L60" s="44"/>
      <c r="M60" s="44">
        <v>375668</v>
      </c>
      <c r="N60" s="44"/>
      <c r="O60" s="44">
        <v>9709</v>
      </c>
      <c r="P60" s="44"/>
      <c r="Q60" s="44">
        <v>1249428</v>
      </c>
      <c r="R60" s="44"/>
      <c r="S60" s="44">
        <v>0</v>
      </c>
      <c r="T60" s="44"/>
      <c r="U60" s="44">
        <v>0</v>
      </c>
      <c r="V60" s="44"/>
      <c r="W60" s="44">
        <f>SUM(E60:U60)</f>
        <v>3954780</v>
      </c>
      <c r="X60" s="44"/>
      <c r="Y60" s="44">
        <v>5652364</v>
      </c>
      <c r="Z60" s="44"/>
      <c r="AA60" s="44">
        <f>+'Stmt net assets'!Y60</f>
        <v>5904039</v>
      </c>
      <c r="AB60" s="44"/>
      <c r="AC60" s="44">
        <f>+Y60+'Stmt of activities-GA rev'!AC60-'Stmt of activities-GAexp'!W60-AA60</f>
        <v>0</v>
      </c>
    </row>
    <row r="61" spans="1:29" s="47" customFormat="1" ht="12.75" customHeight="1">
      <c r="A61" s="47" t="s">
        <v>81</v>
      </c>
      <c r="B61" s="51"/>
      <c r="C61" s="47" t="s">
        <v>81</v>
      </c>
      <c r="E61" s="44">
        <v>2871370</v>
      </c>
      <c r="F61" s="44"/>
      <c r="G61" s="44">
        <v>1170151</v>
      </c>
      <c r="H61" s="44"/>
      <c r="I61" s="44">
        <v>136793</v>
      </c>
      <c r="J61" s="44"/>
      <c r="K61" s="44">
        <v>17208</v>
      </c>
      <c r="L61" s="44"/>
      <c r="M61" s="44">
        <v>1165027</v>
      </c>
      <c r="N61" s="44"/>
      <c r="O61" s="44">
        <v>0</v>
      </c>
      <c r="P61" s="44"/>
      <c r="Q61" s="44">
        <v>2477330</v>
      </c>
      <c r="R61" s="44"/>
      <c r="S61" s="44">
        <v>584409</v>
      </c>
      <c r="T61" s="44"/>
      <c r="U61" s="44">
        <v>29177</v>
      </c>
      <c r="V61" s="44"/>
      <c r="W61" s="44">
        <f>SUM(E61:U61)</f>
        <v>8451465</v>
      </c>
      <c r="X61" s="44"/>
      <c r="Y61" s="44">
        <v>7300380</v>
      </c>
      <c r="Z61" s="44"/>
      <c r="AA61" s="44">
        <f>+'Stmt net assets'!Y62</f>
        <v>8276108</v>
      </c>
      <c r="AB61" s="44"/>
      <c r="AC61" s="44">
        <f>+Y61+'Stmt of activities-GA rev'!AC61-'Stmt of activities-GAexp'!W61-AA61</f>
        <v>0</v>
      </c>
    </row>
    <row r="62" spans="1:29" s="47" customFormat="1" ht="12.75" customHeight="1">
      <c r="A62" s="47" t="s">
        <v>465</v>
      </c>
      <c r="C62" s="47" t="s">
        <v>57</v>
      </c>
      <c r="E62" s="44">
        <v>1330345</v>
      </c>
      <c r="F62" s="44"/>
      <c r="G62" s="44">
        <v>0</v>
      </c>
      <c r="H62" s="44"/>
      <c r="I62" s="44">
        <v>506320</v>
      </c>
      <c r="J62" s="44"/>
      <c r="K62" s="44">
        <v>30993</v>
      </c>
      <c r="L62" s="44"/>
      <c r="M62" s="44">
        <v>625845</v>
      </c>
      <c r="N62" s="44"/>
      <c r="O62" s="44">
        <v>0</v>
      </c>
      <c r="P62" s="44"/>
      <c r="Q62" s="44">
        <v>365238</v>
      </c>
      <c r="R62" s="44"/>
      <c r="S62" s="44">
        <v>0</v>
      </c>
      <c r="T62" s="44"/>
      <c r="U62" s="44">
        <v>14004</v>
      </c>
      <c r="V62" s="44"/>
      <c r="W62" s="44">
        <f>SUM(E62:U62)</f>
        <v>2872745</v>
      </c>
      <c r="X62" s="44"/>
      <c r="Y62" s="44">
        <v>6946880</v>
      </c>
      <c r="Z62" s="44"/>
      <c r="AA62" s="44">
        <f>+'Stmt net assets'!Y63</f>
        <v>7057143</v>
      </c>
      <c r="AB62" s="44"/>
      <c r="AC62" s="44">
        <f>+Y62+'Stmt of activities-GA rev'!AC62-'Stmt of activities-GAexp'!W62-AA62</f>
        <v>0</v>
      </c>
    </row>
    <row r="63" spans="1:29" s="47" customFormat="1" ht="12.75" customHeight="1">
      <c r="A63" s="47" t="s">
        <v>82</v>
      </c>
      <c r="B63" s="51"/>
      <c r="C63" s="47" t="s">
        <v>13</v>
      </c>
      <c r="E63" s="44">
        <v>20885650</v>
      </c>
      <c r="F63" s="44"/>
      <c r="G63" s="44">
        <v>0</v>
      </c>
      <c r="H63" s="44"/>
      <c r="I63" s="44">
        <v>2811353</v>
      </c>
      <c r="J63" s="44"/>
      <c r="K63" s="44">
        <v>1927929</v>
      </c>
      <c r="L63" s="44"/>
      <c r="M63" s="44">
        <v>8417596</v>
      </c>
      <c r="N63" s="44"/>
      <c r="O63" s="44">
        <v>0</v>
      </c>
      <c r="P63" s="44"/>
      <c r="Q63" s="44">
        <v>11286008</v>
      </c>
      <c r="R63" s="44"/>
      <c r="S63" s="44">
        <v>0</v>
      </c>
      <c r="T63" s="44"/>
      <c r="U63" s="44">
        <v>673816</v>
      </c>
      <c r="V63" s="44"/>
      <c r="W63" s="44">
        <f t="shared" si="0"/>
        <v>46002352</v>
      </c>
      <c r="X63" s="44"/>
      <c r="Y63" s="44">
        <v>95513871</v>
      </c>
      <c r="Z63" s="44"/>
      <c r="AA63" s="44">
        <f>+'Stmt net assets'!Y64</f>
        <v>99473412</v>
      </c>
      <c r="AB63" s="44"/>
      <c r="AC63" s="44">
        <f>+Y63+'Stmt of activities-GA rev'!AC63-'Stmt of activities-GAexp'!W63-AA63</f>
        <v>0</v>
      </c>
    </row>
    <row r="64" spans="1:29" s="47" customFormat="1" ht="12.75" customHeight="1">
      <c r="A64" s="47" t="s">
        <v>83</v>
      </c>
      <c r="B64" s="51"/>
      <c r="C64" s="47" t="s">
        <v>66</v>
      </c>
      <c r="E64" s="44">
        <v>95706450</v>
      </c>
      <c r="F64" s="44"/>
      <c r="G64" s="44">
        <v>2264862</v>
      </c>
      <c r="H64" s="44"/>
      <c r="I64" s="44">
        <v>47091889</v>
      </c>
      <c r="J64" s="44"/>
      <c r="K64" s="44">
        <f>21342171+14263940</f>
        <v>35606111</v>
      </c>
      <c r="L64" s="44"/>
      <c r="M64" s="44">
        <v>0</v>
      </c>
      <c r="N64" s="44"/>
      <c r="O64" s="44">
        <v>0</v>
      </c>
      <c r="P64" s="44"/>
      <c r="Q64" s="44">
        <v>17707683</v>
      </c>
      <c r="R64" s="44"/>
      <c r="S64" s="44">
        <v>5182850</v>
      </c>
      <c r="T64" s="44"/>
      <c r="U64" s="44">
        <v>3620502</v>
      </c>
      <c r="V64" s="44"/>
      <c r="W64" s="44">
        <f t="shared" si="0"/>
        <v>207180347</v>
      </c>
      <c r="X64" s="44"/>
      <c r="Y64" s="44">
        <v>395751308</v>
      </c>
      <c r="Z64" s="44"/>
      <c r="AA64" s="44">
        <f>+'Stmt net assets'!Y65</f>
        <v>406514871</v>
      </c>
      <c r="AB64" s="44"/>
      <c r="AC64" s="44">
        <f>+Y64+'Stmt of activities-GA rev'!AC64-'Stmt of activities-GAexp'!W64-AA64</f>
        <v>0</v>
      </c>
    </row>
    <row r="65" spans="1:31" s="47" customFormat="1" ht="12.75" customHeight="1">
      <c r="A65" s="47" t="s">
        <v>84</v>
      </c>
      <c r="B65" s="51"/>
      <c r="C65" s="47" t="s">
        <v>45</v>
      </c>
      <c r="E65" s="44">
        <v>1230400</v>
      </c>
      <c r="F65" s="44"/>
      <c r="G65" s="44">
        <v>0</v>
      </c>
      <c r="H65" s="44"/>
      <c r="I65" s="44">
        <v>56651</v>
      </c>
      <c r="J65" s="44"/>
      <c r="K65" s="44">
        <v>17115</v>
      </c>
      <c r="L65" s="44"/>
      <c r="M65" s="44">
        <v>366601</v>
      </c>
      <c r="N65" s="44"/>
      <c r="O65" s="44">
        <v>0</v>
      </c>
      <c r="P65" s="44"/>
      <c r="Q65" s="44">
        <v>1111790</v>
      </c>
      <c r="R65" s="44"/>
      <c r="S65" s="44">
        <v>0</v>
      </c>
      <c r="T65" s="44"/>
      <c r="U65" s="44">
        <v>133471</v>
      </c>
      <c r="V65" s="44"/>
      <c r="W65" s="44">
        <f t="shared" si="0"/>
        <v>2916028</v>
      </c>
      <c r="X65" s="44"/>
      <c r="Y65" s="44">
        <v>3208220</v>
      </c>
      <c r="Z65" s="44"/>
      <c r="AA65" s="44">
        <f>+'Stmt net assets'!Y66</f>
        <v>3274185</v>
      </c>
      <c r="AB65" s="44"/>
      <c r="AC65" s="44">
        <f>+Y65+'Stmt of activities-GA rev'!AC65-'Stmt of activities-GAexp'!W65-AA65</f>
        <v>0</v>
      </c>
    </row>
    <row r="66" spans="1:31" s="47" customFormat="1" ht="12.75" customHeight="1">
      <c r="A66" s="47" t="s">
        <v>85</v>
      </c>
      <c r="B66" s="51"/>
      <c r="C66" s="47" t="s">
        <v>85</v>
      </c>
      <c r="E66" s="44">
        <v>5727001</v>
      </c>
      <c r="F66" s="44"/>
      <c r="G66" s="44">
        <v>207391</v>
      </c>
      <c r="H66" s="44"/>
      <c r="I66" s="44">
        <v>697284</v>
      </c>
      <c r="J66" s="44"/>
      <c r="K66" s="44">
        <f>522191+834468</f>
        <v>1356659</v>
      </c>
      <c r="L66" s="44"/>
      <c r="M66" s="44">
        <v>1798226</v>
      </c>
      <c r="N66" s="44"/>
      <c r="O66" s="44">
        <v>0</v>
      </c>
      <c r="P66" s="44"/>
      <c r="Q66" s="44">
        <v>3405877</v>
      </c>
      <c r="R66" s="44"/>
      <c r="S66" s="44">
        <v>15700</v>
      </c>
      <c r="T66" s="44"/>
      <c r="U66" s="44">
        <v>41344</v>
      </c>
      <c r="V66" s="44"/>
      <c r="W66" s="44">
        <f t="shared" si="0"/>
        <v>13249482</v>
      </c>
      <c r="X66" s="44"/>
      <c r="Y66" s="44">
        <v>24712978</v>
      </c>
      <c r="Z66" s="44"/>
      <c r="AA66" s="44">
        <f>+'Stmt net assets'!Y67</f>
        <v>23610923</v>
      </c>
      <c r="AB66" s="44"/>
      <c r="AC66" s="44">
        <f>+Y66+'Stmt of activities-GA rev'!AC66-'Stmt of activities-GAexp'!W66-AA66</f>
        <v>0</v>
      </c>
    </row>
    <row r="67" spans="1:31" s="47" customFormat="1" ht="12.75" customHeight="1">
      <c r="A67" s="47" t="s">
        <v>86</v>
      </c>
      <c r="B67" s="51"/>
      <c r="C67" s="47" t="s">
        <v>86</v>
      </c>
      <c r="E67" s="44">
        <v>11806044</v>
      </c>
      <c r="F67" s="44"/>
      <c r="G67" s="44">
        <v>0</v>
      </c>
      <c r="H67" s="44"/>
      <c r="I67" s="44">
        <v>2593462</v>
      </c>
      <c r="J67" s="44"/>
      <c r="K67" s="44">
        <v>67115</v>
      </c>
      <c r="L67" s="44"/>
      <c r="M67" s="44">
        <v>0</v>
      </c>
      <c r="N67" s="44"/>
      <c r="O67" s="44">
        <v>3423185</v>
      </c>
      <c r="P67" s="44"/>
      <c r="Q67" s="44">
        <v>4309320</v>
      </c>
      <c r="R67" s="44"/>
      <c r="S67" s="44">
        <f>3167486+1124642</f>
        <v>4292128</v>
      </c>
      <c r="T67" s="44"/>
      <c r="U67" s="44">
        <v>551336</v>
      </c>
      <c r="V67" s="44"/>
      <c r="W67" s="44">
        <f t="shared" si="0"/>
        <v>27042590</v>
      </c>
      <c r="X67" s="44"/>
      <c r="Y67" s="44">
        <v>63083669</v>
      </c>
      <c r="Z67" s="44"/>
      <c r="AA67" s="44">
        <f>+'Stmt net assets'!Y68</f>
        <v>65131749</v>
      </c>
      <c r="AB67" s="44"/>
      <c r="AC67" s="44">
        <f>+Y67+'Stmt of activities-GA rev'!AC67-'Stmt of activities-GAexp'!W67-AA67</f>
        <v>0</v>
      </c>
    </row>
    <row r="68" spans="1:31" s="47" customFormat="1" ht="12.75" customHeight="1">
      <c r="A68" s="46" t="s">
        <v>87</v>
      </c>
      <c r="B68" s="46"/>
      <c r="C68" s="46" t="s">
        <v>88</v>
      </c>
      <c r="D68" s="46"/>
      <c r="E68" s="44">
        <v>2651671</v>
      </c>
      <c r="F68" s="44"/>
      <c r="G68" s="44">
        <v>73351</v>
      </c>
      <c r="H68" s="44"/>
      <c r="I68" s="44">
        <v>554575</v>
      </c>
      <c r="J68" s="44"/>
      <c r="K68" s="44">
        <v>62063</v>
      </c>
      <c r="L68" s="44"/>
      <c r="M68" s="44">
        <v>450789</v>
      </c>
      <c r="N68" s="44"/>
      <c r="O68" s="44">
        <v>0</v>
      </c>
      <c r="P68" s="44"/>
      <c r="Q68" s="44">
        <v>287548</v>
      </c>
      <c r="R68" s="44"/>
      <c r="S68" s="44">
        <v>0</v>
      </c>
      <c r="T68" s="44"/>
      <c r="U68" s="44">
        <v>3060</v>
      </c>
      <c r="V68" s="44"/>
      <c r="W68" s="44">
        <f t="shared" si="0"/>
        <v>4083057</v>
      </c>
      <c r="X68" s="44"/>
      <c r="Y68" s="44">
        <v>4624701</v>
      </c>
      <c r="Z68" s="44"/>
      <c r="AA68" s="44">
        <f>+'Stmt net assets'!Y69</f>
        <v>4691551</v>
      </c>
      <c r="AB68" s="44"/>
      <c r="AC68" s="44">
        <f>+Y68+'Stmt of activities-GA rev'!AC68-'Stmt of activities-GAexp'!W68-AA68</f>
        <v>0</v>
      </c>
    </row>
    <row r="69" spans="1:31" s="47" customFormat="1" ht="12.75" customHeight="1">
      <c r="A69" s="47" t="s">
        <v>395</v>
      </c>
      <c r="B69" s="51"/>
      <c r="C69" s="47" t="s">
        <v>89</v>
      </c>
      <c r="E69" s="44">
        <v>4637683</v>
      </c>
      <c r="F69" s="44"/>
      <c r="G69" s="44">
        <v>757168</v>
      </c>
      <c r="H69" s="44"/>
      <c r="I69" s="44">
        <v>1010371</v>
      </c>
      <c r="J69" s="44"/>
      <c r="K69" s="44">
        <v>138234</v>
      </c>
      <c r="L69" s="44"/>
      <c r="M69" s="44">
        <v>3666602</v>
      </c>
      <c r="N69" s="44"/>
      <c r="O69" s="44">
        <v>532610</v>
      </c>
      <c r="P69" s="44"/>
      <c r="Q69" s="44">
        <v>1394202</v>
      </c>
      <c r="R69" s="44"/>
      <c r="S69" s="44">
        <v>0</v>
      </c>
      <c r="T69" s="44"/>
      <c r="U69" s="44">
        <v>73248</v>
      </c>
      <c r="V69" s="44"/>
      <c r="W69" s="44">
        <f t="shared" si="0"/>
        <v>12210118</v>
      </c>
      <c r="X69" s="44"/>
      <c r="Y69" s="44">
        <v>18796211</v>
      </c>
      <c r="Z69" s="44"/>
      <c r="AA69" s="44">
        <f>+'Stmt net assets'!Y70</f>
        <v>17052586</v>
      </c>
      <c r="AB69" s="46"/>
      <c r="AC69" s="46">
        <f>+Y69+'Stmt of activities-GA rev'!AC69-'Stmt of activities-GAexp'!W69-AA69</f>
        <v>0</v>
      </c>
      <c r="AD69" s="46"/>
      <c r="AE69" s="46"/>
    </row>
    <row r="70" spans="1:31" s="47" customFormat="1" ht="12.75" customHeight="1">
      <c r="A70" s="46"/>
      <c r="B70" s="46"/>
      <c r="C70" s="46"/>
      <c r="D70" s="46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8" t="s">
        <v>484</v>
      </c>
      <c r="AB70" s="44"/>
      <c r="AC70" s="44"/>
    </row>
    <row r="71" spans="1:31" s="47" customFormat="1" ht="12.75" customHeight="1">
      <c r="A71" s="47" t="s">
        <v>90</v>
      </c>
      <c r="B71" s="96"/>
      <c r="C71" s="47" t="s">
        <v>43</v>
      </c>
      <c r="E71" s="46">
        <v>10482203</v>
      </c>
      <c r="F71" s="46"/>
      <c r="G71" s="46">
        <v>384241</v>
      </c>
      <c r="H71" s="46"/>
      <c r="I71" s="46">
        <v>19586459</v>
      </c>
      <c r="J71" s="46"/>
      <c r="K71" s="46">
        <v>6593464</v>
      </c>
      <c r="L71" s="46"/>
      <c r="M71" s="46">
        <v>9939447</v>
      </c>
      <c r="N71" s="46"/>
      <c r="O71" s="46">
        <v>3288321</v>
      </c>
      <c r="P71" s="46"/>
      <c r="Q71" s="46">
        <v>22001388</v>
      </c>
      <c r="R71" s="46"/>
      <c r="S71" s="46">
        <v>0</v>
      </c>
      <c r="T71" s="46"/>
      <c r="U71" s="46">
        <v>2208175</v>
      </c>
      <c r="V71" s="46"/>
      <c r="W71" s="46">
        <f t="shared" si="0"/>
        <v>74483698</v>
      </c>
      <c r="X71" s="46"/>
      <c r="Y71" s="46">
        <v>387683137</v>
      </c>
      <c r="Z71" s="46"/>
      <c r="AA71" s="46">
        <f>+'Stmt net assets'!Y71</f>
        <v>406454098</v>
      </c>
      <c r="AB71" s="44"/>
      <c r="AC71" s="44">
        <f>+Y71+'Stmt of activities-GA rev'!AC71-'Stmt of activities-GAexp'!W71-AA71</f>
        <v>0</v>
      </c>
    </row>
    <row r="72" spans="1:31" s="47" customFormat="1" ht="12.75" customHeight="1">
      <c r="A72" s="47" t="s">
        <v>488</v>
      </c>
      <c r="C72" s="47" t="s">
        <v>27</v>
      </c>
      <c r="E72" s="44">
        <v>9513633</v>
      </c>
      <c r="F72" s="44"/>
      <c r="G72" s="44">
        <v>0</v>
      </c>
      <c r="H72" s="44"/>
      <c r="I72" s="44">
        <v>238456</v>
      </c>
      <c r="J72" s="44"/>
      <c r="K72" s="44">
        <v>1457412</v>
      </c>
      <c r="L72" s="44"/>
      <c r="M72" s="44">
        <v>1999481</v>
      </c>
      <c r="N72" s="44"/>
      <c r="O72" s="44">
        <v>1017997</v>
      </c>
      <c r="P72" s="44"/>
      <c r="Q72" s="44">
        <v>5157135</v>
      </c>
      <c r="R72" s="44"/>
      <c r="S72" s="44">
        <v>0</v>
      </c>
      <c r="T72" s="44"/>
      <c r="U72" s="44">
        <v>134160</v>
      </c>
      <c r="V72" s="44"/>
      <c r="W72" s="44">
        <f t="shared" ref="W72:W129" si="1">SUM(E72:U72)</f>
        <v>19518274</v>
      </c>
      <c r="X72" s="44"/>
      <c r="Y72" s="44">
        <v>15010643</v>
      </c>
      <c r="Z72" s="44"/>
      <c r="AA72" s="44">
        <f>+'Stmt net assets'!Y72</f>
        <v>16780582</v>
      </c>
      <c r="AB72" s="44"/>
      <c r="AC72" s="44">
        <f>+Y72+'Stmt of activities-GA rev'!AC72-'Stmt of activities-GAexp'!W72-AA72</f>
        <v>0</v>
      </c>
    </row>
    <row r="73" spans="1:31" s="47" customFormat="1" ht="12.75" customHeight="1">
      <c r="A73" s="44" t="s">
        <v>93</v>
      </c>
      <c r="C73" s="44" t="s">
        <v>94</v>
      </c>
      <c r="E73" s="44">
        <v>3316629</v>
      </c>
      <c r="F73" s="44"/>
      <c r="G73" s="44">
        <v>183690</v>
      </c>
      <c r="H73" s="44"/>
      <c r="I73" s="44">
        <v>147500</v>
      </c>
      <c r="J73" s="44"/>
      <c r="K73" s="44">
        <v>396058</v>
      </c>
      <c r="L73" s="44"/>
      <c r="M73" s="44">
        <v>1074860</v>
      </c>
      <c r="N73" s="44"/>
      <c r="O73" s="44">
        <v>0</v>
      </c>
      <c r="P73" s="44"/>
      <c r="Q73" s="44">
        <v>1534068</v>
      </c>
      <c r="R73" s="44"/>
      <c r="S73" s="44">
        <v>0</v>
      </c>
      <c r="T73" s="44"/>
      <c r="U73" s="44">
        <v>73500</v>
      </c>
      <c r="V73" s="44"/>
      <c r="W73" s="44">
        <f t="shared" si="1"/>
        <v>6726305</v>
      </c>
      <c r="X73" s="44"/>
      <c r="Y73" s="44">
        <v>6409541</v>
      </c>
      <c r="Z73" s="44"/>
      <c r="AA73" s="44">
        <f>+'Stmt net assets'!Y73</f>
        <v>6405459</v>
      </c>
      <c r="AB73" s="44"/>
      <c r="AC73" s="44">
        <f>+Y73+'Stmt of activities-GA rev'!AC73-'Stmt of activities-GAexp'!W73-AA73</f>
        <v>0</v>
      </c>
    </row>
    <row r="74" spans="1:31" s="46" customFormat="1" ht="12.75" customHeight="1">
      <c r="A74" s="46" t="s">
        <v>95</v>
      </c>
      <c r="B74" s="66"/>
      <c r="C74" s="46" t="s">
        <v>94</v>
      </c>
      <c r="E74" s="44">
        <v>1037370</v>
      </c>
      <c r="F74" s="44"/>
      <c r="G74" s="44">
        <v>71081</v>
      </c>
      <c r="H74" s="44"/>
      <c r="I74" s="44">
        <v>237620</v>
      </c>
      <c r="J74" s="44"/>
      <c r="K74" s="44">
        <v>279790</v>
      </c>
      <c r="L74" s="44"/>
      <c r="M74" s="44">
        <v>387943</v>
      </c>
      <c r="N74" s="44"/>
      <c r="O74" s="44">
        <v>0</v>
      </c>
      <c r="P74" s="44"/>
      <c r="Q74" s="44">
        <v>1033554</v>
      </c>
      <c r="R74" s="44"/>
      <c r="S74" s="44">
        <v>0</v>
      </c>
      <c r="T74" s="44"/>
      <c r="U74" s="44">
        <v>31556</v>
      </c>
      <c r="V74" s="44"/>
      <c r="W74" s="44">
        <f t="shared" si="1"/>
        <v>3078914</v>
      </c>
      <c r="X74" s="44"/>
      <c r="Y74" s="44">
        <v>5522689</v>
      </c>
      <c r="Z74" s="44"/>
      <c r="AA74" s="44">
        <f>+'Stmt net assets'!Y74</f>
        <v>5319978</v>
      </c>
      <c r="AB74" s="44"/>
      <c r="AC74" s="44">
        <f>+Y74+'Stmt of activities-GA rev'!AC74-'Stmt of activities-GAexp'!W74-AA74</f>
        <v>0</v>
      </c>
    </row>
    <row r="75" spans="1:31" s="47" customFormat="1" ht="12.75" customHeight="1">
      <c r="A75" s="47" t="s">
        <v>91</v>
      </c>
      <c r="B75" s="51"/>
      <c r="C75" s="47" t="s">
        <v>92</v>
      </c>
      <c r="E75" s="44">
        <v>7877033</v>
      </c>
      <c r="F75" s="44"/>
      <c r="G75" s="44">
        <v>189449</v>
      </c>
      <c r="H75" s="44"/>
      <c r="I75" s="44">
        <v>1897607</v>
      </c>
      <c r="J75" s="44"/>
      <c r="K75" s="44">
        <v>323953</v>
      </c>
      <c r="L75" s="44"/>
      <c r="M75" s="44">
        <v>1651848</v>
      </c>
      <c r="N75" s="44"/>
      <c r="O75" s="44">
        <v>1305265</v>
      </c>
      <c r="P75" s="44"/>
      <c r="Q75" s="44">
        <v>4406774</v>
      </c>
      <c r="R75" s="44"/>
      <c r="S75" s="44">
        <v>0</v>
      </c>
      <c r="T75" s="44"/>
      <c r="U75" s="44">
        <v>1270556</v>
      </c>
      <c r="V75" s="44"/>
      <c r="W75" s="44">
        <f t="shared" si="1"/>
        <v>18922485</v>
      </c>
      <c r="X75" s="44"/>
      <c r="Y75" s="44">
        <v>28968851</v>
      </c>
      <c r="Z75" s="44"/>
      <c r="AA75" s="44">
        <f>+'Stmt net assets'!Y75</f>
        <v>29903674</v>
      </c>
      <c r="AB75" s="44"/>
      <c r="AC75" s="44">
        <f>+Y75+'Stmt of activities-GA rev'!AC75-'Stmt of activities-GAexp'!W75-AA75</f>
        <v>0</v>
      </c>
    </row>
    <row r="76" spans="1:31" s="47" customFormat="1" ht="12.75" customHeight="1">
      <c r="A76" s="47" t="s">
        <v>96</v>
      </c>
      <c r="B76" s="51"/>
      <c r="C76" s="47" t="s">
        <v>97</v>
      </c>
      <c r="E76" s="44">
        <v>2870220</v>
      </c>
      <c r="F76" s="44"/>
      <c r="G76" s="44">
        <v>163844</v>
      </c>
      <c r="H76" s="44"/>
      <c r="I76" s="44">
        <v>235175</v>
      </c>
      <c r="J76" s="44"/>
      <c r="K76" s="44">
        <v>456028</v>
      </c>
      <c r="L76" s="44"/>
      <c r="M76" s="44">
        <v>976734</v>
      </c>
      <c r="N76" s="44"/>
      <c r="O76" s="44">
        <v>0</v>
      </c>
      <c r="P76" s="44"/>
      <c r="Q76" s="44">
        <v>2157151</v>
      </c>
      <c r="R76" s="44"/>
      <c r="S76" s="44">
        <v>0</v>
      </c>
      <c r="T76" s="44"/>
      <c r="U76" s="44">
        <v>56518</v>
      </c>
      <c r="V76" s="44"/>
      <c r="W76" s="44">
        <f t="shared" si="1"/>
        <v>6915670</v>
      </c>
      <c r="X76" s="44"/>
      <c r="Y76" s="44">
        <v>12563914</v>
      </c>
      <c r="Z76" s="44"/>
      <c r="AA76" s="44">
        <f>+'Stmt net assets'!Y76</f>
        <v>12316358</v>
      </c>
      <c r="AB76" s="44"/>
      <c r="AC76" s="44">
        <f>+Y76+'Stmt of activities-GA rev'!AC76-'Stmt of activities-GAexp'!W76-AA76</f>
        <v>0</v>
      </c>
    </row>
    <row r="77" spans="1:31" s="47" customFormat="1" ht="12.75" customHeight="1">
      <c r="A77" s="47" t="s">
        <v>98</v>
      </c>
      <c r="B77" s="51"/>
      <c r="C77" s="47" t="s">
        <v>17</v>
      </c>
      <c r="E77" s="44">
        <v>20248006</v>
      </c>
      <c r="F77" s="44"/>
      <c r="G77" s="44">
        <v>2309335</v>
      </c>
      <c r="H77" s="44"/>
      <c r="I77" s="44">
        <v>1424063</v>
      </c>
      <c r="J77" s="44"/>
      <c r="K77" s="44">
        <v>2051503</v>
      </c>
      <c r="L77" s="44"/>
      <c r="M77" s="44">
        <v>3733173</v>
      </c>
      <c r="N77" s="44"/>
      <c r="O77" s="44">
        <v>0</v>
      </c>
      <c r="P77" s="44"/>
      <c r="Q77" s="44">
        <v>8372028</v>
      </c>
      <c r="R77" s="44"/>
      <c r="S77" s="44">
        <v>0</v>
      </c>
      <c r="T77" s="44"/>
      <c r="U77" s="44">
        <v>1497970</v>
      </c>
      <c r="V77" s="44"/>
      <c r="W77" s="44">
        <f t="shared" si="1"/>
        <v>39636078</v>
      </c>
      <c r="X77" s="44"/>
      <c r="Y77" s="44">
        <v>62886246</v>
      </c>
      <c r="Z77" s="44"/>
      <c r="AA77" s="44">
        <f>+'Stmt net assets'!Y77</f>
        <v>63273433</v>
      </c>
      <c r="AB77" s="44"/>
      <c r="AC77" s="44">
        <f>+Y77+'Stmt of activities-GA rev'!AC77-'Stmt of activities-GAexp'!W77-AA77</f>
        <v>0</v>
      </c>
    </row>
    <row r="78" spans="1:31" s="47" customFormat="1" ht="12.75" customHeight="1">
      <c r="A78" s="47" t="s">
        <v>99</v>
      </c>
      <c r="B78" s="51"/>
      <c r="C78" s="47" t="s">
        <v>66</v>
      </c>
      <c r="E78" s="44">
        <v>5335584</v>
      </c>
      <c r="F78" s="44"/>
      <c r="G78" s="44">
        <v>17658</v>
      </c>
      <c r="H78" s="44"/>
      <c r="I78" s="44">
        <v>349709</v>
      </c>
      <c r="J78" s="44"/>
      <c r="K78" s="44">
        <v>693563</v>
      </c>
      <c r="L78" s="44"/>
      <c r="M78" s="44">
        <v>3847596</v>
      </c>
      <c r="N78" s="44"/>
      <c r="O78" s="44">
        <v>0</v>
      </c>
      <c r="P78" s="44"/>
      <c r="Q78" s="44">
        <v>1718515</v>
      </c>
      <c r="R78" s="44"/>
      <c r="S78" s="44">
        <v>0</v>
      </c>
      <c r="T78" s="44"/>
      <c r="U78" s="44">
        <v>0</v>
      </c>
      <c r="V78" s="44"/>
      <c r="W78" s="44">
        <f t="shared" si="1"/>
        <v>11962625</v>
      </c>
      <c r="X78" s="44"/>
      <c r="Y78" s="44">
        <v>51972678</v>
      </c>
      <c r="Z78" s="44"/>
      <c r="AA78" s="44">
        <f>+'Stmt net assets'!Y78</f>
        <v>51606785</v>
      </c>
      <c r="AB78" s="44"/>
      <c r="AC78" s="44">
        <f>+Y78+'Stmt of activities-GA rev'!AC78-'Stmt of activities-GAexp'!W78-AA78</f>
        <v>0</v>
      </c>
    </row>
    <row r="79" spans="1:31" s="47" customFormat="1" ht="12.75" customHeight="1">
      <c r="A79" s="47" t="s">
        <v>100</v>
      </c>
      <c r="B79" s="51"/>
      <c r="C79" s="47" t="s">
        <v>27</v>
      </c>
      <c r="E79" s="44">
        <v>21052721</v>
      </c>
      <c r="F79" s="44"/>
      <c r="G79" s="44">
        <v>280112</v>
      </c>
      <c r="H79" s="44"/>
      <c r="I79" s="44">
        <v>2095133</v>
      </c>
      <c r="J79" s="44"/>
      <c r="K79" s="44">
        <v>2846921</v>
      </c>
      <c r="L79" s="44"/>
      <c r="M79" s="44">
        <v>7382963</v>
      </c>
      <c r="N79" s="44"/>
      <c r="O79" s="44">
        <v>2251317</v>
      </c>
      <c r="P79" s="44"/>
      <c r="Q79" s="44">
        <v>13389365</v>
      </c>
      <c r="R79" s="44"/>
      <c r="S79" s="44">
        <v>0</v>
      </c>
      <c r="T79" s="44"/>
      <c r="U79" s="44">
        <v>1406102</v>
      </c>
      <c r="V79" s="44"/>
      <c r="W79" s="44">
        <f t="shared" si="1"/>
        <v>50704634</v>
      </c>
      <c r="X79" s="44"/>
      <c r="Y79" s="44">
        <v>53771867</v>
      </c>
      <c r="Z79" s="44"/>
      <c r="AA79" s="44">
        <f>+'Stmt net assets'!Y79</f>
        <v>49312159</v>
      </c>
      <c r="AB79" s="44"/>
      <c r="AC79" s="44">
        <f>+Y79+'Stmt of activities-GA rev'!AC79-'Stmt of activities-GAexp'!W79-AA79</f>
        <v>0</v>
      </c>
    </row>
    <row r="80" spans="1:31" s="47" customFormat="1" ht="12.75" customHeight="1">
      <c r="A80" s="47" t="s">
        <v>101</v>
      </c>
      <c r="B80" s="51"/>
      <c r="C80" s="47" t="s">
        <v>30</v>
      </c>
      <c r="E80" s="44">
        <v>13664046</v>
      </c>
      <c r="F80" s="44"/>
      <c r="G80" s="44">
        <v>91313</v>
      </c>
      <c r="H80" s="44"/>
      <c r="I80" s="44">
        <v>389573</v>
      </c>
      <c r="J80" s="44"/>
      <c r="K80" s="44">
        <v>1030438</v>
      </c>
      <c r="L80" s="44"/>
      <c r="M80" s="44">
        <v>2044120</v>
      </c>
      <c r="N80" s="44"/>
      <c r="O80" s="44">
        <v>0</v>
      </c>
      <c r="P80" s="44"/>
      <c r="Q80" s="44">
        <v>9093180</v>
      </c>
      <c r="R80" s="44"/>
      <c r="S80" s="44">
        <v>207546</v>
      </c>
      <c r="T80" s="44"/>
      <c r="U80" s="44">
        <v>523675</v>
      </c>
      <c r="V80" s="44"/>
      <c r="W80" s="44">
        <f t="shared" si="1"/>
        <v>27043891</v>
      </c>
      <c r="X80" s="44"/>
      <c r="Y80" s="44">
        <v>73032094</v>
      </c>
      <c r="Z80" s="44"/>
      <c r="AA80" s="44">
        <f>+'Stmt net assets'!Y80</f>
        <v>74882746</v>
      </c>
      <c r="AB80" s="44"/>
      <c r="AC80" s="44">
        <f>+Y80+'Stmt of activities-GA rev'!AC80-'Stmt of activities-GAexp'!W80-AA80</f>
        <v>0</v>
      </c>
    </row>
    <row r="81" spans="1:29" s="47" customFormat="1" ht="12.75" customHeight="1">
      <c r="A81" s="47" t="s">
        <v>102</v>
      </c>
      <c r="B81" s="51"/>
      <c r="C81" s="47" t="s">
        <v>103</v>
      </c>
      <c r="E81" s="44">
        <v>16505748</v>
      </c>
      <c r="F81" s="44"/>
      <c r="G81" s="44">
        <v>23074</v>
      </c>
      <c r="H81" s="44"/>
      <c r="I81" s="44">
        <v>3275415</v>
      </c>
      <c r="J81" s="44"/>
      <c r="K81" s="44">
        <v>1489030</v>
      </c>
      <c r="L81" s="44"/>
      <c r="M81" s="44">
        <v>9604526</v>
      </c>
      <c r="N81" s="44"/>
      <c r="O81" s="44">
        <v>524491</v>
      </c>
      <c r="P81" s="44"/>
      <c r="Q81" s="44">
        <v>8302202</v>
      </c>
      <c r="R81" s="44"/>
      <c r="S81" s="44">
        <v>0</v>
      </c>
      <c r="T81" s="44"/>
      <c r="U81" s="44">
        <v>687450</v>
      </c>
      <c r="V81" s="44"/>
      <c r="W81" s="44">
        <f t="shared" si="1"/>
        <v>40411936</v>
      </c>
      <c r="X81" s="44"/>
      <c r="Y81" s="44">
        <v>93456123</v>
      </c>
      <c r="Z81" s="44"/>
      <c r="AA81" s="44">
        <f>+'Stmt net assets'!Y81</f>
        <v>90667198</v>
      </c>
      <c r="AB81" s="44"/>
      <c r="AC81" s="44">
        <f>+Y81+'Stmt of activities-GA rev'!AC81-'Stmt of activities-GAexp'!W81-AA81</f>
        <v>0</v>
      </c>
    </row>
    <row r="82" spans="1:29" s="47" customFormat="1" ht="12.75" customHeight="1">
      <c r="A82" s="47" t="s">
        <v>104</v>
      </c>
      <c r="B82" s="51"/>
      <c r="C82" s="47" t="s">
        <v>13</v>
      </c>
      <c r="E82" s="44">
        <v>6818565</v>
      </c>
      <c r="F82" s="44"/>
      <c r="G82" s="44">
        <v>116288</v>
      </c>
      <c r="H82" s="44"/>
      <c r="I82" s="44">
        <v>425772</v>
      </c>
      <c r="J82" s="44"/>
      <c r="K82" s="44">
        <v>76961</v>
      </c>
      <c r="L82" s="44"/>
      <c r="M82" s="44">
        <v>3776493</v>
      </c>
      <c r="N82" s="44"/>
      <c r="O82" s="44">
        <v>1024612</v>
      </c>
      <c r="P82" s="44"/>
      <c r="Q82" s="44">
        <v>2757297</v>
      </c>
      <c r="R82" s="44"/>
      <c r="S82" s="44">
        <v>0</v>
      </c>
      <c r="T82" s="44"/>
      <c r="U82" s="44">
        <v>385740</v>
      </c>
      <c r="V82" s="44"/>
      <c r="W82" s="44">
        <f t="shared" si="1"/>
        <v>15381728</v>
      </c>
      <c r="X82" s="44"/>
      <c r="Y82" s="44">
        <v>71988815</v>
      </c>
      <c r="Z82" s="44"/>
      <c r="AA82" s="44">
        <f>+'Stmt net assets'!Y82</f>
        <v>70920166</v>
      </c>
      <c r="AB82" s="44"/>
      <c r="AC82" s="44">
        <f>+Y82+'Stmt of activities-GA rev'!AC82-'Stmt of activities-GAexp'!W82-AA82</f>
        <v>0</v>
      </c>
    </row>
    <row r="83" spans="1:29" s="47" customFormat="1" ht="12.75" customHeight="1">
      <c r="A83" s="47" t="s">
        <v>105</v>
      </c>
      <c r="B83" s="51"/>
      <c r="C83" s="47" t="s">
        <v>27</v>
      </c>
      <c r="E83" s="44">
        <v>7118625</v>
      </c>
      <c r="F83" s="44"/>
      <c r="G83" s="44">
        <v>1625</v>
      </c>
      <c r="H83" s="44"/>
      <c r="I83" s="44">
        <v>4200804</v>
      </c>
      <c r="J83" s="44"/>
      <c r="K83" s="44">
        <v>344583</v>
      </c>
      <c r="L83" s="44"/>
      <c r="M83" s="44">
        <v>2326135</v>
      </c>
      <c r="N83" s="44"/>
      <c r="O83" s="44">
        <v>1005866</v>
      </c>
      <c r="P83" s="44"/>
      <c r="Q83" s="44">
        <v>2564768</v>
      </c>
      <c r="R83" s="44"/>
      <c r="S83" s="44">
        <v>0</v>
      </c>
      <c r="T83" s="44"/>
      <c r="U83" s="44">
        <v>1236834</v>
      </c>
      <c r="V83" s="44"/>
      <c r="W83" s="44">
        <f t="shared" si="1"/>
        <v>18799240</v>
      </c>
      <c r="X83" s="44"/>
      <c r="Y83" s="44">
        <v>35412058</v>
      </c>
      <c r="Z83" s="44"/>
      <c r="AA83" s="44">
        <f>+'Stmt net assets'!Y83</f>
        <v>33357157</v>
      </c>
      <c r="AB83" s="44"/>
      <c r="AC83" s="44">
        <f>+Y83+'Stmt of activities-GA rev'!AC83-'Stmt of activities-GAexp'!W83-AA83</f>
        <v>0</v>
      </c>
    </row>
    <row r="84" spans="1:29" s="47" customFormat="1" ht="12.75" customHeight="1">
      <c r="A84" s="47" t="s">
        <v>106</v>
      </c>
      <c r="B84" s="51"/>
      <c r="C84" s="47" t="s">
        <v>107</v>
      </c>
      <c r="E84" s="44">
        <v>14753558</v>
      </c>
      <c r="F84" s="44"/>
      <c r="G84" s="44">
        <v>1761611</v>
      </c>
      <c r="H84" s="44"/>
      <c r="I84" s="44">
        <v>1728505</v>
      </c>
      <c r="J84" s="44"/>
      <c r="K84" s="44">
        <v>0</v>
      </c>
      <c r="L84" s="44"/>
      <c r="M84" s="44">
        <v>4072078</v>
      </c>
      <c r="N84" s="44"/>
      <c r="O84" s="44">
        <v>0</v>
      </c>
      <c r="P84" s="44"/>
      <c r="Q84" s="44">
        <v>7077400</v>
      </c>
      <c r="R84" s="44"/>
      <c r="S84" s="44">
        <v>0</v>
      </c>
      <c r="T84" s="44"/>
      <c r="U84" s="44">
        <v>466040</v>
      </c>
      <c r="V84" s="44"/>
      <c r="W84" s="44">
        <f t="shared" si="1"/>
        <v>29859192</v>
      </c>
      <c r="X84" s="44"/>
      <c r="Y84" s="44">
        <v>80660878</v>
      </c>
      <c r="Z84" s="44"/>
      <c r="AA84" s="44">
        <f>+'Stmt net assets'!Y84</f>
        <v>82751414</v>
      </c>
      <c r="AB84" s="44"/>
      <c r="AC84" s="44">
        <f>+Y84+'Stmt of activities-GA rev'!AC84-'Stmt of activities-GAexp'!W84-AA84</f>
        <v>0</v>
      </c>
    </row>
    <row r="85" spans="1:29" s="47" customFormat="1" ht="12.75" customHeight="1">
      <c r="A85" s="47" t="s">
        <v>108</v>
      </c>
      <c r="B85" s="51"/>
      <c r="C85" s="47" t="s">
        <v>45</v>
      </c>
      <c r="E85" s="44">
        <v>9845919</v>
      </c>
      <c r="F85" s="44"/>
      <c r="G85" s="44">
        <v>22189</v>
      </c>
      <c r="H85" s="44"/>
      <c r="I85" s="44">
        <v>364935</v>
      </c>
      <c r="J85" s="44"/>
      <c r="K85" s="44">
        <v>1558730</v>
      </c>
      <c r="L85" s="44"/>
      <c r="M85" s="44">
        <v>3403610</v>
      </c>
      <c r="N85" s="44"/>
      <c r="O85" s="44">
        <v>0</v>
      </c>
      <c r="P85" s="44"/>
      <c r="Q85" s="44">
        <v>2492086</v>
      </c>
      <c r="R85" s="44"/>
      <c r="S85" s="44">
        <v>0</v>
      </c>
      <c r="T85" s="44"/>
      <c r="U85" s="44">
        <v>246659</v>
      </c>
      <c r="V85" s="44"/>
      <c r="W85" s="44">
        <f t="shared" si="1"/>
        <v>17934128</v>
      </c>
      <c r="X85" s="44"/>
      <c r="Y85" s="44">
        <v>44541254</v>
      </c>
      <c r="Z85" s="44"/>
      <c r="AA85" s="44">
        <f>+'Stmt net assets'!Y85</f>
        <v>46986191</v>
      </c>
      <c r="AB85" s="44"/>
      <c r="AC85" s="44">
        <f>+Y85+'Stmt of activities-GA rev'!AC85-'Stmt of activities-GAexp'!W85-AA85</f>
        <v>0</v>
      </c>
    </row>
    <row r="86" spans="1:29" s="44" customFormat="1" ht="12.75" customHeight="1">
      <c r="A86" s="44" t="s">
        <v>109</v>
      </c>
      <c r="B86" s="65"/>
      <c r="C86" s="44" t="s">
        <v>110</v>
      </c>
      <c r="E86" s="44">
        <v>5165762</v>
      </c>
      <c r="G86" s="44">
        <v>279320</v>
      </c>
      <c r="I86" s="44">
        <v>120316</v>
      </c>
      <c r="K86" s="44">
        <v>705125</v>
      </c>
      <c r="M86" s="44">
        <v>1136804</v>
      </c>
      <c r="O86" s="44">
        <v>0</v>
      </c>
      <c r="Q86" s="44">
        <v>1747661</v>
      </c>
      <c r="S86" s="44">
        <v>12191</v>
      </c>
      <c r="U86" s="44">
        <v>26408</v>
      </c>
      <c r="W86" s="44">
        <f t="shared" si="1"/>
        <v>9193587</v>
      </c>
      <c r="Y86" s="44">
        <v>14957194</v>
      </c>
      <c r="AA86" s="44">
        <f>+'Stmt net assets'!Y86</f>
        <v>14683397</v>
      </c>
      <c r="AC86" s="44">
        <f>+Y86+'Stmt of activities-GA rev'!AC86-'Stmt of activities-GAexp'!W86-AA86</f>
        <v>0</v>
      </c>
    </row>
    <row r="87" spans="1:29" s="47" customFormat="1" ht="12.75" customHeight="1">
      <c r="A87" s="47" t="s">
        <v>43</v>
      </c>
      <c r="B87" s="51"/>
      <c r="C87" s="47" t="s">
        <v>111</v>
      </c>
      <c r="E87" s="44">
        <f>3346077+1487715+155716+118995</f>
        <v>5108503</v>
      </c>
      <c r="F87" s="44"/>
      <c r="G87" s="44">
        <v>11810</v>
      </c>
      <c r="H87" s="44"/>
      <c r="I87" s="44">
        <v>308359</v>
      </c>
      <c r="J87" s="44"/>
      <c r="K87" s="44">
        <v>44630</v>
      </c>
      <c r="L87" s="44"/>
      <c r="M87" s="44">
        <v>2825088</v>
      </c>
      <c r="N87" s="44"/>
      <c r="O87" s="44">
        <v>84331</v>
      </c>
      <c r="P87" s="44"/>
      <c r="Q87" s="44">
        <v>2298636</v>
      </c>
      <c r="R87" s="44"/>
      <c r="S87" s="44">
        <v>0</v>
      </c>
      <c r="T87" s="44"/>
      <c r="U87" s="44">
        <v>494341</v>
      </c>
      <c r="V87" s="44"/>
      <c r="W87" s="44">
        <f t="shared" si="1"/>
        <v>11175698</v>
      </c>
      <c r="X87" s="44"/>
      <c r="Y87" s="44">
        <v>49380459</v>
      </c>
      <c r="Z87" s="44"/>
      <c r="AA87" s="44">
        <f>+'Stmt net assets'!Y87</f>
        <v>49025645</v>
      </c>
      <c r="AB87" s="44"/>
      <c r="AC87" s="44">
        <f>+Y87+'Stmt of activities-GA rev'!AC87-'Stmt of activities-GAexp'!W87-AA87</f>
        <v>0</v>
      </c>
    </row>
    <row r="88" spans="1:29" s="47" customFormat="1" ht="12.75" customHeight="1">
      <c r="A88" s="47" t="s">
        <v>112</v>
      </c>
      <c r="B88" s="51"/>
      <c r="C88" s="47" t="s">
        <v>76</v>
      </c>
      <c r="E88" s="44">
        <v>6022092</v>
      </c>
      <c r="F88" s="44"/>
      <c r="G88" s="44">
        <v>10759</v>
      </c>
      <c r="H88" s="44"/>
      <c r="I88" s="44">
        <v>2005079</v>
      </c>
      <c r="J88" s="44"/>
      <c r="K88" s="44">
        <f>539979+132527</f>
        <v>672506</v>
      </c>
      <c r="L88" s="44"/>
      <c r="M88" s="44">
        <v>1697722</v>
      </c>
      <c r="N88" s="44"/>
      <c r="O88" s="44">
        <v>0</v>
      </c>
      <c r="P88" s="44"/>
      <c r="Q88" s="44">
        <v>2399122</v>
      </c>
      <c r="R88" s="44"/>
      <c r="S88" s="44">
        <v>0</v>
      </c>
      <c r="T88" s="44"/>
      <c r="U88" s="44">
        <v>99182</v>
      </c>
      <c r="V88" s="44"/>
      <c r="W88" s="44">
        <f t="shared" si="1"/>
        <v>12906462</v>
      </c>
      <c r="X88" s="44"/>
      <c r="Y88" s="44">
        <v>33407539</v>
      </c>
      <c r="Z88" s="44"/>
      <c r="AA88" s="44">
        <f>+'Stmt net assets'!Y88</f>
        <v>33839623</v>
      </c>
      <c r="AB88" s="44"/>
      <c r="AC88" s="44">
        <f>+Y88+'Stmt of activities-GA rev'!AC88-'Stmt of activities-GAexp'!W88-AA88</f>
        <v>0</v>
      </c>
    </row>
    <row r="89" spans="1:29" s="47" customFormat="1" ht="12.75" customHeight="1">
      <c r="A89" s="47" t="s">
        <v>113</v>
      </c>
      <c r="B89" s="51"/>
      <c r="C89" s="47" t="s">
        <v>43</v>
      </c>
      <c r="E89" s="44">
        <v>9157714</v>
      </c>
      <c r="F89" s="44"/>
      <c r="G89" s="44">
        <v>195382</v>
      </c>
      <c r="H89" s="44"/>
      <c r="I89" s="44">
        <v>3238751</v>
      </c>
      <c r="J89" s="44"/>
      <c r="K89" s="44">
        <v>5168287</v>
      </c>
      <c r="L89" s="44"/>
      <c r="M89" s="44">
        <v>4072189</v>
      </c>
      <c r="N89" s="44"/>
      <c r="O89" s="44">
        <v>2295336</v>
      </c>
      <c r="P89" s="44"/>
      <c r="Q89" s="44">
        <v>4006381</v>
      </c>
      <c r="R89" s="44"/>
      <c r="S89" s="44">
        <v>0</v>
      </c>
      <c r="T89" s="44"/>
      <c r="U89" s="44">
        <v>925503</v>
      </c>
      <c r="V89" s="44"/>
      <c r="W89" s="44">
        <f t="shared" si="1"/>
        <v>29059543</v>
      </c>
      <c r="X89" s="44"/>
      <c r="Y89" s="44">
        <v>97198909</v>
      </c>
      <c r="Z89" s="44"/>
      <c r="AA89" s="44">
        <f>+'Stmt net assets'!Y89</f>
        <v>99204705</v>
      </c>
      <c r="AB89" s="44"/>
      <c r="AC89" s="44">
        <f>+Y89+'Stmt of activities-GA rev'!AC89-'Stmt of activities-GAexp'!W89-AA89</f>
        <v>0</v>
      </c>
    </row>
    <row r="90" spans="1:29" s="47" customFormat="1" ht="12.75" customHeight="1">
      <c r="A90" s="47" t="s">
        <v>489</v>
      </c>
      <c r="B90" s="51"/>
      <c r="C90" s="47" t="s">
        <v>57</v>
      </c>
      <c r="E90" s="44">
        <f>1766061+1882132</f>
        <v>3648193</v>
      </c>
      <c r="F90" s="44"/>
      <c r="G90" s="44">
        <v>439527</v>
      </c>
      <c r="H90" s="44"/>
      <c r="I90" s="44">
        <v>238942</v>
      </c>
      <c r="J90" s="44"/>
      <c r="K90" s="44">
        <v>189623</v>
      </c>
      <c r="L90" s="44"/>
      <c r="M90" s="44">
        <v>1802184</v>
      </c>
      <c r="N90" s="44"/>
      <c r="O90" s="44">
        <v>0</v>
      </c>
      <c r="P90" s="44"/>
      <c r="Q90" s="44">
        <v>1337850</v>
      </c>
      <c r="R90" s="44"/>
      <c r="S90" s="44">
        <v>0</v>
      </c>
      <c r="T90" s="44"/>
      <c r="U90" s="44">
        <v>191169</v>
      </c>
      <c r="V90" s="44"/>
      <c r="W90" s="44">
        <f t="shared" si="1"/>
        <v>7847488</v>
      </c>
      <c r="X90" s="44"/>
      <c r="Y90" s="44">
        <v>17541992</v>
      </c>
      <c r="Z90" s="44"/>
      <c r="AA90" s="44">
        <f>+'Stmt net assets'!Y90</f>
        <v>19726729</v>
      </c>
      <c r="AB90" s="44"/>
      <c r="AC90" s="44">
        <f>+Y90+'Stmt of activities-GA rev'!AC90-'Stmt of activities-GAexp'!W90-AA90</f>
        <v>0</v>
      </c>
    </row>
    <row r="91" spans="1:29" s="47" customFormat="1" ht="12.75" customHeight="1">
      <c r="A91" s="47" t="s">
        <v>114</v>
      </c>
      <c r="B91" s="51"/>
      <c r="C91" s="47" t="s">
        <v>27</v>
      </c>
      <c r="E91" s="44">
        <v>12904431</v>
      </c>
      <c r="F91" s="44"/>
      <c r="G91" s="44">
        <v>506283</v>
      </c>
      <c r="H91" s="44"/>
      <c r="I91" s="44">
        <v>1598866</v>
      </c>
      <c r="J91" s="44"/>
      <c r="K91" s="44">
        <v>148951</v>
      </c>
      <c r="L91" s="44"/>
      <c r="M91" s="44">
        <v>3929375</v>
      </c>
      <c r="N91" s="44"/>
      <c r="O91" s="44">
        <v>3365865</v>
      </c>
      <c r="P91" s="44"/>
      <c r="Q91" s="44">
        <v>9851834</v>
      </c>
      <c r="R91" s="44"/>
      <c r="S91" s="44">
        <v>0</v>
      </c>
      <c r="T91" s="44"/>
      <c r="U91" s="44">
        <v>1509398</v>
      </c>
      <c r="V91" s="44"/>
      <c r="W91" s="44">
        <f t="shared" si="1"/>
        <v>33815003</v>
      </c>
      <c r="X91" s="44"/>
      <c r="Y91" s="44">
        <v>836387</v>
      </c>
      <c r="Z91" s="44"/>
      <c r="AA91" s="44">
        <f>+'Stmt net assets'!Y91</f>
        <v>119239</v>
      </c>
      <c r="AB91" s="44"/>
      <c r="AC91" s="44">
        <f>+Y91+'Stmt of activities-GA rev'!AC91-'Stmt of activities-GAexp'!W91-AA91</f>
        <v>0</v>
      </c>
    </row>
    <row r="92" spans="1:29" s="47" customFormat="1" ht="12.75" customHeight="1">
      <c r="A92" s="47" t="s">
        <v>115</v>
      </c>
      <c r="B92" s="51"/>
      <c r="C92" s="47" t="s">
        <v>19</v>
      </c>
      <c r="E92" s="44">
        <v>2148267</v>
      </c>
      <c r="F92" s="44"/>
      <c r="G92" s="44">
        <v>0</v>
      </c>
      <c r="H92" s="44"/>
      <c r="I92" s="44">
        <v>407837</v>
      </c>
      <c r="J92" s="44"/>
      <c r="K92" s="44">
        <v>517544</v>
      </c>
      <c r="L92" s="44"/>
      <c r="M92" s="44">
        <v>1428772</v>
      </c>
      <c r="N92" s="44"/>
      <c r="O92" s="44">
        <v>0</v>
      </c>
      <c r="P92" s="44"/>
      <c r="Q92" s="44">
        <v>1033282</v>
      </c>
      <c r="R92" s="44"/>
      <c r="S92" s="44">
        <v>0</v>
      </c>
      <c r="T92" s="44"/>
      <c r="U92" s="44">
        <v>132461</v>
      </c>
      <c r="V92" s="44"/>
      <c r="W92" s="44">
        <f t="shared" si="1"/>
        <v>5668163</v>
      </c>
      <c r="X92" s="44"/>
      <c r="Y92" s="44">
        <v>8736213</v>
      </c>
      <c r="Z92" s="44"/>
      <c r="AA92" s="44">
        <f>+'Stmt net assets'!Y92</f>
        <v>16315733</v>
      </c>
      <c r="AB92" s="44"/>
      <c r="AC92" s="44">
        <f>+Y92+'Stmt of activities-GA rev'!AC92-'Stmt of activities-GAexp'!W92-AA92</f>
        <v>0</v>
      </c>
    </row>
    <row r="93" spans="1:29" s="47" customFormat="1" ht="12.75" customHeight="1">
      <c r="A93" s="47" t="s">
        <v>116</v>
      </c>
      <c r="B93" s="51"/>
      <c r="C93" s="47" t="s">
        <v>80</v>
      </c>
      <c r="E93" s="44">
        <v>3144853</v>
      </c>
      <c r="F93" s="44"/>
      <c r="G93" s="44">
        <v>215943</v>
      </c>
      <c r="H93" s="44"/>
      <c r="I93" s="44">
        <v>291978</v>
      </c>
      <c r="J93" s="44"/>
      <c r="K93" s="44">
        <v>857439</v>
      </c>
      <c r="L93" s="44"/>
      <c r="M93" s="44">
        <v>1962066</v>
      </c>
      <c r="N93" s="44"/>
      <c r="O93" s="44">
        <v>444158</v>
      </c>
      <c r="P93" s="44"/>
      <c r="Q93" s="44">
        <v>2897229</v>
      </c>
      <c r="R93" s="44"/>
      <c r="S93" s="44">
        <v>0</v>
      </c>
      <c r="T93" s="44"/>
      <c r="U93" s="44">
        <v>276313</v>
      </c>
      <c r="V93" s="44"/>
      <c r="W93" s="44">
        <f t="shared" si="1"/>
        <v>10089979</v>
      </c>
      <c r="X93" s="44"/>
      <c r="Y93" s="44">
        <v>31503759</v>
      </c>
      <c r="Z93" s="44"/>
      <c r="AA93" s="44">
        <f>+'Stmt net assets'!Y93</f>
        <v>29286788</v>
      </c>
      <c r="AB93" s="44"/>
      <c r="AC93" s="44">
        <f>+Y93+'Stmt of activities-GA rev'!AC93-'Stmt of activities-GAexp'!W93-AA93</f>
        <v>0</v>
      </c>
    </row>
    <row r="94" spans="1:29" s="47" customFormat="1" ht="12.75" customHeight="1">
      <c r="A94" s="47" t="s">
        <v>117</v>
      </c>
      <c r="B94" s="51"/>
      <c r="C94" s="47" t="s">
        <v>43</v>
      </c>
      <c r="E94" s="44">
        <v>4667721</v>
      </c>
      <c r="F94" s="44"/>
      <c r="G94" s="44">
        <v>39636</v>
      </c>
      <c r="H94" s="44"/>
      <c r="I94" s="44">
        <v>785511</v>
      </c>
      <c r="J94" s="44"/>
      <c r="K94" s="44">
        <v>0</v>
      </c>
      <c r="L94" s="44"/>
      <c r="M94" s="44">
        <v>1548131</v>
      </c>
      <c r="N94" s="44"/>
      <c r="O94" s="44">
        <v>109100</v>
      </c>
      <c r="P94" s="44"/>
      <c r="Q94" s="44">
        <v>2455770</v>
      </c>
      <c r="R94" s="44"/>
      <c r="S94" s="44">
        <v>0</v>
      </c>
      <c r="T94" s="44"/>
      <c r="U94" s="44">
        <v>24939</v>
      </c>
      <c r="V94" s="44"/>
      <c r="W94" s="44">
        <f t="shared" si="1"/>
        <v>9630808</v>
      </c>
      <c r="X94" s="44"/>
      <c r="Y94" s="44">
        <v>10049308</v>
      </c>
      <c r="Z94" s="44"/>
      <c r="AA94" s="44">
        <f>+'Stmt net assets'!Y94</f>
        <v>9527635</v>
      </c>
      <c r="AB94" s="44"/>
      <c r="AC94" s="44">
        <f>+Y94+'Stmt of activities-GA rev'!AC94-'Stmt of activities-GAexp'!W94-AA94</f>
        <v>0</v>
      </c>
    </row>
    <row r="95" spans="1:29" s="47" customFormat="1" ht="12.75" customHeight="1">
      <c r="A95" s="47" t="s">
        <v>118</v>
      </c>
      <c r="B95" s="51"/>
      <c r="C95" s="47" t="s">
        <v>13</v>
      </c>
      <c r="E95" s="44">
        <v>7116101</v>
      </c>
      <c r="F95" s="44"/>
      <c r="G95" s="44">
        <v>248715</v>
      </c>
      <c r="H95" s="44"/>
      <c r="I95" s="44">
        <v>720286</v>
      </c>
      <c r="J95" s="44"/>
      <c r="K95" s="44">
        <v>798537</v>
      </c>
      <c r="L95" s="44"/>
      <c r="M95" s="44">
        <v>1664085</v>
      </c>
      <c r="N95" s="44"/>
      <c r="O95" s="44">
        <v>0</v>
      </c>
      <c r="P95" s="44"/>
      <c r="Q95" s="44">
        <v>7936754</v>
      </c>
      <c r="R95" s="44"/>
      <c r="S95" s="44">
        <v>0</v>
      </c>
      <c r="T95" s="44"/>
      <c r="U95" s="44">
        <v>2088453</v>
      </c>
      <c r="V95" s="44"/>
      <c r="W95" s="44">
        <f t="shared" si="1"/>
        <v>20572931</v>
      </c>
      <c r="X95" s="44"/>
      <c r="Y95" s="44">
        <v>90220892</v>
      </c>
      <c r="Z95" s="44"/>
      <c r="AA95" s="44">
        <f>+'Stmt net assets'!Y95</f>
        <v>95781798</v>
      </c>
      <c r="AB95" s="44"/>
      <c r="AC95" s="44">
        <f>+Y95+'Stmt of activities-GA rev'!AC95-'Stmt of activities-GAexp'!W95-AA95</f>
        <v>0</v>
      </c>
    </row>
    <row r="96" spans="1:29" s="47" customFormat="1" ht="12.75" customHeight="1">
      <c r="A96" s="47" t="s">
        <v>120</v>
      </c>
      <c r="B96" s="51"/>
      <c r="C96" s="47" t="s">
        <v>121</v>
      </c>
      <c r="E96" s="44">
        <v>4691807</v>
      </c>
      <c r="F96" s="44"/>
      <c r="G96" s="44">
        <v>3943</v>
      </c>
      <c r="H96" s="44"/>
      <c r="I96" s="44">
        <v>551741</v>
      </c>
      <c r="J96" s="44"/>
      <c r="K96" s="44">
        <v>289578</v>
      </c>
      <c r="L96" s="44"/>
      <c r="M96" s="44">
        <v>2500392</v>
      </c>
      <c r="N96" s="44"/>
      <c r="O96" s="44">
        <v>216212</v>
      </c>
      <c r="P96" s="44"/>
      <c r="Q96" s="44">
        <v>2261355</v>
      </c>
      <c r="R96" s="44"/>
      <c r="S96" s="44">
        <v>0</v>
      </c>
      <c r="T96" s="44"/>
      <c r="U96" s="44">
        <v>157177</v>
      </c>
      <c r="V96" s="44"/>
      <c r="W96" s="44">
        <f t="shared" si="1"/>
        <v>10672205</v>
      </c>
      <c r="X96" s="44"/>
      <c r="Y96" s="44">
        <v>19973125</v>
      </c>
      <c r="Z96" s="44"/>
      <c r="AA96" s="44">
        <f>+'Stmt net assets'!Y96</f>
        <v>19736438</v>
      </c>
      <c r="AB96" s="44"/>
      <c r="AC96" s="44">
        <f>+Y96+'Stmt of activities-GA rev'!AC96-'Stmt of activities-GAexp'!W96-AA96</f>
        <v>0</v>
      </c>
    </row>
    <row r="97" spans="1:29" s="47" customFormat="1" ht="12.75" customHeight="1">
      <c r="A97" s="47" t="s">
        <v>122</v>
      </c>
      <c r="B97" s="51"/>
      <c r="C97" s="47" t="s">
        <v>43</v>
      </c>
      <c r="E97" s="44">
        <v>10347861</v>
      </c>
      <c r="F97" s="44"/>
      <c r="G97" s="44">
        <v>291792</v>
      </c>
      <c r="H97" s="44"/>
      <c r="I97" s="44">
        <v>2285671</v>
      </c>
      <c r="J97" s="44"/>
      <c r="K97" s="44">
        <f>1429804+610120</f>
        <v>2039924</v>
      </c>
      <c r="L97" s="44"/>
      <c r="M97" s="44">
        <v>9680587</v>
      </c>
      <c r="N97" s="44"/>
      <c r="O97" s="44">
        <v>0</v>
      </c>
      <c r="P97" s="44"/>
      <c r="Q97" s="44">
        <f>9829703+1191288</f>
        <v>11020991</v>
      </c>
      <c r="R97" s="44"/>
      <c r="S97" s="44">
        <v>0</v>
      </c>
      <c r="T97" s="44"/>
      <c r="U97" s="44">
        <v>1712001</v>
      </c>
      <c r="V97" s="44"/>
      <c r="W97" s="44">
        <f t="shared" si="1"/>
        <v>37378827</v>
      </c>
      <c r="X97" s="44"/>
      <c r="Y97" s="44">
        <v>206439393</v>
      </c>
      <c r="Z97" s="44"/>
      <c r="AA97" s="44">
        <f>+'Stmt net assets'!Y97</f>
        <v>204207494</v>
      </c>
      <c r="AB97" s="44"/>
      <c r="AC97" s="44">
        <f>+Y97+'Stmt of activities-GA rev'!AC97-'Stmt of activities-GAexp'!W97-AA97</f>
        <v>0</v>
      </c>
    </row>
    <row r="98" spans="1:29" s="47" customFormat="1" ht="12.75" customHeight="1">
      <c r="A98" s="47" t="s">
        <v>45</v>
      </c>
      <c r="B98" s="51"/>
      <c r="C98" s="47" t="s">
        <v>103</v>
      </c>
      <c r="E98" s="44">
        <v>32717128</v>
      </c>
      <c r="F98" s="44"/>
      <c r="G98" s="44">
        <v>1391995</v>
      </c>
      <c r="H98" s="44"/>
      <c r="I98" s="44">
        <v>2319113</v>
      </c>
      <c r="J98" s="44"/>
      <c r="K98" s="44">
        <v>4088119</v>
      </c>
      <c r="L98" s="44"/>
      <c r="M98" s="44">
        <v>4937607</v>
      </c>
      <c r="N98" s="44"/>
      <c r="O98" s="44">
        <v>4988742</v>
      </c>
      <c r="P98" s="44"/>
      <c r="Q98" s="44">
        <v>6927352</v>
      </c>
      <c r="R98" s="44"/>
      <c r="S98" s="44">
        <v>0</v>
      </c>
      <c r="T98" s="44"/>
      <c r="U98" s="44">
        <v>1691303</v>
      </c>
      <c r="V98" s="44"/>
      <c r="W98" s="44">
        <f t="shared" si="1"/>
        <v>59061359</v>
      </c>
      <c r="X98" s="44"/>
      <c r="Y98" s="44">
        <v>73049981</v>
      </c>
      <c r="Z98" s="44"/>
      <c r="AA98" s="44">
        <f>+'Stmt net assets'!Y98</f>
        <v>75159838</v>
      </c>
      <c r="AB98" s="44"/>
      <c r="AC98" s="44">
        <f>+Y98+'Stmt of activities-GA rev'!AC98-'Stmt of activities-GAexp'!W98-AA98</f>
        <v>0</v>
      </c>
    </row>
    <row r="99" spans="1:29" s="47" customFormat="1" ht="12.75" customHeight="1">
      <c r="A99" s="47" t="s">
        <v>123</v>
      </c>
      <c r="B99" s="51"/>
      <c r="C99" s="47" t="s">
        <v>45</v>
      </c>
      <c r="E99" s="44">
        <v>6434175</v>
      </c>
      <c r="F99" s="44"/>
      <c r="G99" s="44">
        <v>389373</v>
      </c>
      <c r="H99" s="44"/>
      <c r="I99" s="44">
        <v>369208</v>
      </c>
      <c r="J99" s="44"/>
      <c r="K99" s="44">
        <v>150035</v>
      </c>
      <c r="L99" s="44"/>
      <c r="M99" s="44">
        <v>878408</v>
      </c>
      <c r="N99" s="44"/>
      <c r="O99" s="44">
        <v>0</v>
      </c>
      <c r="P99" s="44"/>
      <c r="Q99" s="44">
        <v>1497930</v>
      </c>
      <c r="R99" s="44"/>
      <c r="S99" s="44">
        <v>0</v>
      </c>
      <c r="T99" s="44"/>
      <c r="U99" s="44">
        <v>230125</v>
      </c>
      <c r="V99" s="44"/>
      <c r="W99" s="44">
        <f t="shared" si="1"/>
        <v>9949254</v>
      </c>
      <c r="X99" s="44"/>
      <c r="Y99" s="44">
        <v>13584766</v>
      </c>
      <c r="Z99" s="44"/>
      <c r="AA99" s="44">
        <f>+'Stmt net assets'!Y99</f>
        <v>12267471</v>
      </c>
      <c r="AB99" s="44"/>
      <c r="AC99" s="44">
        <f>+Y99+'Stmt of activities-GA rev'!AC99-'Stmt of activities-GAexp'!W99-AA99</f>
        <v>0</v>
      </c>
    </row>
    <row r="100" spans="1:29" s="47" customFormat="1" ht="12.75" customHeight="1">
      <c r="A100" s="47" t="s">
        <v>124</v>
      </c>
      <c r="B100" s="51"/>
      <c r="C100" s="47" t="s">
        <v>125</v>
      </c>
      <c r="E100" s="44">
        <v>4799533</v>
      </c>
      <c r="F100" s="44"/>
      <c r="G100" s="44">
        <v>55500</v>
      </c>
      <c r="H100" s="44"/>
      <c r="I100" s="44">
        <v>1389421</v>
      </c>
      <c r="J100" s="44"/>
      <c r="K100" s="44">
        <v>296573</v>
      </c>
      <c r="L100" s="44"/>
      <c r="M100" s="44">
        <v>1698702</v>
      </c>
      <c r="N100" s="44"/>
      <c r="O100" s="44">
        <v>0</v>
      </c>
      <c r="P100" s="44"/>
      <c r="Q100" s="44">
        <v>1863206</v>
      </c>
      <c r="R100" s="44"/>
      <c r="S100" s="44">
        <v>0</v>
      </c>
      <c r="T100" s="44"/>
      <c r="U100" s="44">
        <v>213056</v>
      </c>
      <c r="V100" s="44"/>
      <c r="W100" s="44">
        <f t="shared" si="1"/>
        <v>10315991</v>
      </c>
      <c r="X100" s="44"/>
      <c r="Y100" s="44">
        <v>29449824</v>
      </c>
      <c r="Z100" s="44"/>
      <c r="AA100" s="44">
        <f>+'Stmt net assets'!Y100</f>
        <v>32542130</v>
      </c>
      <c r="AB100" s="44"/>
      <c r="AC100" s="44">
        <f>+Y100+'Stmt of activities-GA rev'!AC100-'Stmt of activities-GAexp'!W100-AA100</f>
        <v>0</v>
      </c>
    </row>
    <row r="101" spans="1:29" s="47" customFormat="1" ht="12.75" customHeight="1">
      <c r="A101" s="47" t="s">
        <v>126</v>
      </c>
      <c r="B101" s="51"/>
      <c r="C101" s="47" t="s">
        <v>27</v>
      </c>
      <c r="E101" s="44">
        <v>6147689</v>
      </c>
      <c r="F101" s="44"/>
      <c r="G101" s="44">
        <v>39947</v>
      </c>
      <c r="H101" s="44"/>
      <c r="I101" s="44">
        <v>735516</v>
      </c>
      <c r="J101" s="44"/>
      <c r="K101" s="44">
        <v>141667</v>
      </c>
      <c r="L101" s="44"/>
      <c r="M101" s="44">
        <v>1092914</v>
      </c>
      <c r="N101" s="44"/>
      <c r="O101" s="44">
        <v>2398005</v>
      </c>
      <c r="P101" s="44"/>
      <c r="Q101" s="44">
        <v>2299901</v>
      </c>
      <c r="R101" s="44"/>
      <c r="S101" s="44">
        <v>0</v>
      </c>
      <c r="T101" s="44"/>
      <c r="U101" s="44">
        <v>626076</v>
      </c>
      <c r="V101" s="44"/>
      <c r="W101" s="44">
        <f t="shared" si="1"/>
        <v>13481715</v>
      </c>
      <c r="X101" s="44"/>
      <c r="Y101" s="44">
        <v>47920166</v>
      </c>
      <c r="Z101" s="44"/>
      <c r="AA101" s="44">
        <f>+'Stmt net assets'!Y101</f>
        <v>48248488</v>
      </c>
      <c r="AB101" s="44"/>
      <c r="AC101" s="44">
        <f>+Y101+'Stmt of activities-GA rev'!AC101-'Stmt of activities-GAexp'!W101-AA101</f>
        <v>0</v>
      </c>
    </row>
    <row r="102" spans="1:29" s="47" customFormat="1" ht="12.75" customHeight="1">
      <c r="A102" s="47" t="s">
        <v>127</v>
      </c>
      <c r="B102" s="51"/>
      <c r="C102" s="47" t="s">
        <v>43</v>
      </c>
      <c r="E102" s="44">
        <v>8483744</v>
      </c>
      <c r="F102" s="44"/>
      <c r="G102" s="44">
        <v>169063</v>
      </c>
      <c r="H102" s="44"/>
      <c r="I102" s="44">
        <v>3069040</v>
      </c>
      <c r="J102" s="44"/>
      <c r="K102" s="44">
        <v>4704774</v>
      </c>
      <c r="L102" s="44"/>
      <c r="M102" s="44">
        <v>8596950</v>
      </c>
      <c r="N102" s="44"/>
      <c r="O102" s="44">
        <v>6812986</v>
      </c>
      <c r="P102" s="44"/>
      <c r="Q102" s="44">
        <v>4346672</v>
      </c>
      <c r="R102" s="44"/>
      <c r="S102" s="44">
        <v>0</v>
      </c>
      <c r="T102" s="44"/>
      <c r="U102" s="44">
        <v>2516290</v>
      </c>
      <c r="V102" s="44"/>
      <c r="W102" s="44">
        <f t="shared" si="1"/>
        <v>38699519</v>
      </c>
      <c r="X102" s="44"/>
      <c r="Y102" s="44">
        <v>205900163</v>
      </c>
      <c r="Z102" s="44"/>
      <c r="AA102" s="44">
        <f>+'Stmt net assets'!Y102</f>
        <v>215662367</v>
      </c>
      <c r="AB102" s="44"/>
      <c r="AC102" s="44">
        <f>+Y102+'Stmt of activities-GA rev'!AC102-'Stmt of activities-GAexp'!W102-AA102</f>
        <v>0</v>
      </c>
    </row>
    <row r="103" spans="1:29" s="47" customFormat="1" ht="12.75" customHeight="1">
      <c r="A103" s="47" t="s">
        <v>128</v>
      </c>
      <c r="B103" s="51"/>
      <c r="C103" s="47" t="s">
        <v>119</v>
      </c>
      <c r="E103" s="44">
        <v>3835076</v>
      </c>
      <c r="F103" s="44"/>
      <c r="G103" s="44">
        <v>54913</v>
      </c>
      <c r="H103" s="44"/>
      <c r="I103" s="44">
        <v>100378</v>
      </c>
      <c r="J103" s="44"/>
      <c r="K103" s="44">
        <v>196531</v>
      </c>
      <c r="L103" s="44"/>
      <c r="M103" s="44">
        <v>713650</v>
      </c>
      <c r="N103" s="44"/>
      <c r="O103" s="44">
        <v>0</v>
      </c>
      <c r="P103" s="44"/>
      <c r="Q103" s="44">
        <f>1381304+386148</f>
        <v>1767452</v>
      </c>
      <c r="R103" s="44"/>
      <c r="S103" s="44">
        <v>0</v>
      </c>
      <c r="T103" s="44"/>
      <c r="U103" s="44">
        <v>121150</v>
      </c>
      <c r="V103" s="44"/>
      <c r="W103" s="44">
        <f t="shared" si="1"/>
        <v>6789150</v>
      </c>
      <c r="X103" s="44"/>
      <c r="Y103" s="44">
        <v>14866438</v>
      </c>
      <c r="Z103" s="44"/>
      <c r="AA103" s="44">
        <f>+'Stmt net assets'!Y103</f>
        <v>14964840</v>
      </c>
      <c r="AB103" s="44"/>
      <c r="AC103" s="44">
        <f>+Y103+'Stmt of activities-GA rev'!AC103-'Stmt of activities-GAexp'!W103-AA103</f>
        <v>0</v>
      </c>
    </row>
    <row r="104" spans="1:29" s="47" customFormat="1" ht="12.75" customHeight="1">
      <c r="A104" s="47" t="s">
        <v>129</v>
      </c>
      <c r="B104" s="51"/>
      <c r="C104" s="47" t="s">
        <v>80</v>
      </c>
      <c r="E104" s="44">
        <v>1875313</v>
      </c>
      <c r="F104" s="44"/>
      <c r="G104" s="44">
        <v>26982</v>
      </c>
      <c r="H104" s="44"/>
      <c r="I104" s="44">
        <v>36897</v>
      </c>
      <c r="J104" s="44"/>
      <c r="K104" s="44">
        <v>400</v>
      </c>
      <c r="L104" s="44"/>
      <c r="M104" s="44">
        <v>999817</v>
      </c>
      <c r="N104" s="44"/>
      <c r="O104" s="44">
        <v>0</v>
      </c>
      <c r="P104" s="44"/>
      <c r="Q104" s="44">
        <v>411218</v>
      </c>
      <c r="R104" s="44"/>
      <c r="S104" s="44">
        <v>0</v>
      </c>
      <c r="T104" s="44"/>
      <c r="U104" s="44">
        <v>148925</v>
      </c>
      <c r="V104" s="44"/>
      <c r="W104" s="44">
        <f t="shared" si="1"/>
        <v>3499552</v>
      </c>
      <c r="X104" s="44"/>
      <c r="Y104" s="44">
        <v>2657611</v>
      </c>
      <c r="Z104" s="44"/>
      <c r="AA104" s="44">
        <f>+'Stmt net assets'!Y104</f>
        <v>2518224</v>
      </c>
      <c r="AB104" s="44"/>
      <c r="AC104" s="44">
        <f>+Y104+'Stmt of activities-GA rev'!AC104-'Stmt of activities-GAexp'!W104-AA104</f>
        <v>0</v>
      </c>
    </row>
    <row r="105" spans="1:29" s="47" customFormat="1" ht="12.75" customHeight="1">
      <c r="A105" s="47" t="s">
        <v>130</v>
      </c>
      <c r="B105" s="51"/>
      <c r="C105" s="47" t="s">
        <v>66</v>
      </c>
      <c r="E105" s="44">
        <f>6157894+6900682+1344250</f>
        <v>14402826</v>
      </c>
      <c r="F105" s="44"/>
      <c r="G105" s="44">
        <v>0</v>
      </c>
      <c r="H105" s="44"/>
      <c r="I105" s="44">
        <v>491037</v>
      </c>
      <c r="J105" s="44"/>
      <c r="K105" s="44">
        <v>915412</v>
      </c>
      <c r="L105" s="44"/>
      <c r="M105" s="44">
        <v>7267279</v>
      </c>
      <c r="N105" s="44"/>
      <c r="O105" s="44">
        <v>0</v>
      </c>
      <c r="P105" s="44"/>
      <c r="Q105" s="44">
        <v>3723292</v>
      </c>
      <c r="R105" s="44"/>
      <c r="S105" s="44">
        <v>0</v>
      </c>
      <c r="T105" s="44"/>
      <c r="U105" s="44">
        <v>1076028</v>
      </c>
      <c r="V105" s="44"/>
      <c r="W105" s="44">
        <f t="shared" si="1"/>
        <v>27875874</v>
      </c>
      <c r="X105" s="44"/>
      <c r="Y105" s="44">
        <v>118069185</v>
      </c>
      <c r="Z105" s="44"/>
      <c r="AA105" s="44">
        <f>+'Stmt net assets'!Y105</f>
        <v>115646609</v>
      </c>
      <c r="AB105" s="44"/>
      <c r="AC105" s="44">
        <f>+Y105+'Stmt of activities-GA rev'!AC105-'Stmt of activities-GAexp'!W105-AA105</f>
        <v>0</v>
      </c>
    </row>
    <row r="106" spans="1:29" s="47" customFormat="1" ht="12.75" customHeight="1">
      <c r="A106" s="47" t="s">
        <v>131</v>
      </c>
      <c r="B106" s="51"/>
      <c r="C106" s="47" t="s">
        <v>13</v>
      </c>
      <c r="E106" s="44">
        <v>6526677</v>
      </c>
      <c r="F106" s="44"/>
      <c r="G106" s="44">
        <v>1094551</v>
      </c>
      <c r="H106" s="44"/>
      <c r="I106" s="44">
        <v>1170981</v>
      </c>
      <c r="J106" s="44"/>
      <c r="K106" s="44">
        <v>1503873</v>
      </c>
      <c r="L106" s="44"/>
      <c r="M106" s="44">
        <v>5907966</v>
      </c>
      <c r="N106" s="44"/>
      <c r="O106" s="44">
        <v>0</v>
      </c>
      <c r="P106" s="44"/>
      <c r="Q106" s="44">
        <v>6581952</v>
      </c>
      <c r="R106" s="44"/>
      <c r="S106" s="44">
        <v>0</v>
      </c>
      <c r="T106" s="44"/>
      <c r="U106" s="44">
        <v>1390711</v>
      </c>
      <c r="V106" s="44"/>
      <c r="W106" s="44">
        <f t="shared" si="1"/>
        <v>24176711</v>
      </c>
      <c r="X106" s="44"/>
      <c r="Y106" s="44">
        <v>97714101</v>
      </c>
      <c r="Z106" s="44"/>
      <c r="AA106" s="44">
        <f>+'Stmt net assets'!Y106</f>
        <v>99633381</v>
      </c>
      <c r="AB106" s="44"/>
      <c r="AC106" s="44">
        <f>+Y106+'Stmt of activities-GA rev'!AC106-'Stmt of activities-GAexp'!W106-AA106</f>
        <v>0</v>
      </c>
    </row>
    <row r="107" spans="1:29" s="47" customFormat="1" ht="12.75" customHeight="1">
      <c r="A107" s="47" t="s">
        <v>38</v>
      </c>
      <c r="B107" s="51"/>
      <c r="C107" s="47" t="s">
        <v>132</v>
      </c>
      <c r="E107" s="44">
        <v>3581392</v>
      </c>
      <c r="F107" s="44"/>
      <c r="G107" s="44">
        <v>572162</v>
      </c>
      <c r="H107" s="44"/>
      <c r="I107" s="44">
        <v>612644</v>
      </c>
      <c r="J107" s="44"/>
      <c r="K107" s="44">
        <v>0</v>
      </c>
      <c r="L107" s="44"/>
      <c r="M107" s="44">
        <v>571771</v>
      </c>
      <c r="N107" s="44"/>
      <c r="O107" s="44">
        <v>0</v>
      </c>
      <c r="P107" s="44"/>
      <c r="Q107" s="44">
        <v>1262880</v>
      </c>
      <c r="R107" s="44"/>
      <c r="S107" s="44">
        <v>24959</v>
      </c>
      <c r="T107" s="44"/>
      <c r="U107" s="44">
        <v>111298</v>
      </c>
      <c r="V107" s="44"/>
      <c r="W107" s="44">
        <f t="shared" si="1"/>
        <v>6737106</v>
      </c>
      <c r="X107" s="44"/>
      <c r="Y107" s="44">
        <v>4414483</v>
      </c>
      <c r="Z107" s="44"/>
      <c r="AA107" s="44">
        <f>+'Stmt net assets'!Y107</f>
        <v>4752585</v>
      </c>
      <c r="AB107" s="44"/>
      <c r="AC107" s="44">
        <f>+Y107+'Stmt of activities-GA rev'!AC107-'Stmt of activities-GAexp'!W107-AA107</f>
        <v>0</v>
      </c>
    </row>
    <row r="108" spans="1:29" s="47" customFormat="1" ht="12.75" customHeight="1">
      <c r="A108" s="47" t="s">
        <v>133</v>
      </c>
      <c r="B108" s="51"/>
      <c r="C108" s="47" t="s">
        <v>27</v>
      </c>
      <c r="E108" s="44">
        <v>8278761</v>
      </c>
      <c r="F108" s="44"/>
      <c r="G108" s="44">
        <v>86508</v>
      </c>
      <c r="H108" s="44"/>
      <c r="I108" s="44">
        <v>3208197</v>
      </c>
      <c r="J108" s="44"/>
      <c r="K108" s="44">
        <v>2156410</v>
      </c>
      <c r="L108" s="44"/>
      <c r="M108" s="44">
        <v>3462304</v>
      </c>
      <c r="N108" s="44"/>
      <c r="O108" s="44">
        <v>574149</v>
      </c>
      <c r="P108" s="44"/>
      <c r="Q108" s="44">
        <v>6635141</v>
      </c>
      <c r="R108" s="44"/>
      <c r="S108" s="44">
        <v>0</v>
      </c>
      <c r="T108" s="44"/>
      <c r="U108" s="44">
        <v>1279989</v>
      </c>
      <c r="V108" s="44"/>
      <c r="W108" s="44">
        <f t="shared" si="1"/>
        <v>25681459</v>
      </c>
      <c r="X108" s="44"/>
      <c r="Y108" s="44">
        <v>72166301</v>
      </c>
      <c r="Z108" s="44"/>
      <c r="AA108" s="44">
        <f>+'Stmt net assets'!Y108</f>
        <v>77255651</v>
      </c>
      <c r="AB108" s="44"/>
      <c r="AC108" s="44">
        <f>+Y108+'Stmt of activities-GA rev'!AC108-'Stmt of activities-GAexp'!W108-AA108</f>
        <v>0</v>
      </c>
    </row>
    <row r="109" spans="1:29" s="47" customFormat="1" ht="12.75" hidden="1" customHeight="1">
      <c r="A109" s="47" t="s">
        <v>482</v>
      </c>
      <c r="B109" s="51"/>
      <c r="C109" s="47" t="s">
        <v>45</v>
      </c>
      <c r="E109" s="44">
        <v>0</v>
      </c>
      <c r="F109" s="44"/>
      <c r="G109" s="44">
        <v>0</v>
      </c>
      <c r="H109" s="44"/>
      <c r="I109" s="44">
        <v>0</v>
      </c>
      <c r="J109" s="44"/>
      <c r="K109" s="44">
        <v>0</v>
      </c>
      <c r="L109" s="44"/>
      <c r="M109" s="44">
        <v>0</v>
      </c>
      <c r="N109" s="44"/>
      <c r="O109" s="44">
        <v>0</v>
      </c>
      <c r="P109" s="44"/>
      <c r="Q109" s="44">
        <v>0</v>
      </c>
      <c r="R109" s="44"/>
      <c r="S109" s="44">
        <v>0</v>
      </c>
      <c r="T109" s="44"/>
      <c r="U109" s="44">
        <v>0</v>
      </c>
      <c r="V109" s="44"/>
      <c r="W109" s="44">
        <f t="shared" si="1"/>
        <v>0</v>
      </c>
      <c r="X109" s="44"/>
      <c r="Y109" s="44">
        <v>0</v>
      </c>
      <c r="Z109" s="44"/>
      <c r="AA109" s="44">
        <f>+'Stmt net assets'!Y109</f>
        <v>0</v>
      </c>
      <c r="AB109" s="44"/>
      <c r="AC109" s="44">
        <f>+Y109+'Stmt of activities-GA rev'!AC109-'Stmt of activities-GAexp'!W109-AA109</f>
        <v>0</v>
      </c>
    </row>
    <row r="110" spans="1:29" s="47" customFormat="1" ht="12.75" customHeight="1">
      <c r="A110" s="47" t="s">
        <v>136</v>
      </c>
      <c r="B110" s="51"/>
      <c r="C110" s="47" t="s">
        <v>136</v>
      </c>
      <c r="E110" s="44">
        <v>1992352</v>
      </c>
      <c r="F110" s="44"/>
      <c r="G110" s="44">
        <v>291659</v>
      </c>
      <c r="H110" s="44"/>
      <c r="I110" s="44">
        <v>167142</v>
      </c>
      <c r="J110" s="44"/>
      <c r="K110" s="44">
        <v>161625</v>
      </c>
      <c r="L110" s="44"/>
      <c r="M110" s="44">
        <v>610839</v>
      </c>
      <c r="N110" s="44"/>
      <c r="O110" s="44">
        <v>0</v>
      </c>
      <c r="P110" s="44"/>
      <c r="Q110" s="44">
        <v>1338475</v>
      </c>
      <c r="R110" s="44"/>
      <c r="S110" s="44">
        <v>0</v>
      </c>
      <c r="T110" s="44"/>
      <c r="U110" s="44">
        <v>22507</v>
      </c>
      <c r="V110" s="44"/>
      <c r="W110" s="44">
        <f t="shared" si="1"/>
        <v>4584599</v>
      </c>
      <c r="X110" s="44"/>
      <c r="Y110" s="44">
        <v>12435332</v>
      </c>
      <c r="Z110" s="44"/>
      <c r="AA110" s="44">
        <f>+'Stmt net assets'!Y110</f>
        <v>12327150</v>
      </c>
      <c r="AB110" s="44"/>
      <c r="AC110" s="44">
        <f>+Y110+'Stmt of activities-GA rev'!AC110-'Stmt of activities-GAexp'!W110-AA110</f>
        <v>0</v>
      </c>
    </row>
    <row r="111" spans="1:29" s="47" customFormat="1" ht="12.75" customHeight="1">
      <c r="A111" s="47" t="s">
        <v>137</v>
      </c>
      <c r="B111" s="51"/>
      <c r="C111" s="47" t="s">
        <v>22</v>
      </c>
      <c r="E111" s="44">
        <v>10369569</v>
      </c>
      <c r="F111" s="44"/>
      <c r="G111" s="44">
        <v>620303</v>
      </c>
      <c r="H111" s="44"/>
      <c r="I111" s="44">
        <v>1382046</v>
      </c>
      <c r="J111" s="44"/>
      <c r="K111" s="44">
        <v>1771093</v>
      </c>
      <c r="L111" s="44"/>
      <c r="M111" s="44">
        <v>3462831</v>
      </c>
      <c r="N111" s="44"/>
      <c r="O111" s="44">
        <v>0</v>
      </c>
      <c r="P111" s="44"/>
      <c r="Q111" s="44">
        <v>2848297</v>
      </c>
      <c r="R111" s="44"/>
      <c r="S111" s="44">
        <v>0</v>
      </c>
      <c r="T111" s="44"/>
      <c r="U111" s="44">
        <v>215996</v>
      </c>
      <c r="V111" s="44"/>
      <c r="W111" s="44">
        <f t="shared" si="1"/>
        <v>20670135</v>
      </c>
      <c r="X111" s="44"/>
      <c r="Y111" s="44">
        <v>58228106</v>
      </c>
      <c r="Z111" s="44"/>
      <c r="AA111" s="44">
        <f>+'Stmt net assets'!Y111</f>
        <v>59670802</v>
      </c>
      <c r="AB111" s="44"/>
      <c r="AC111" s="44">
        <f>+Y111+'Stmt of activities-GA rev'!AC111-'Stmt of activities-GAexp'!W111-AA111</f>
        <v>0</v>
      </c>
    </row>
    <row r="112" spans="1:29" s="47" customFormat="1" ht="12.75" hidden="1" customHeight="1">
      <c r="A112" s="47" t="s">
        <v>138</v>
      </c>
      <c r="B112" s="51"/>
      <c r="C112" s="47" t="s">
        <v>139</v>
      </c>
      <c r="E112" s="44">
        <v>0</v>
      </c>
      <c r="F112" s="44"/>
      <c r="G112" s="44">
        <v>0</v>
      </c>
      <c r="H112" s="44"/>
      <c r="I112" s="44">
        <v>0</v>
      </c>
      <c r="J112" s="44"/>
      <c r="K112" s="44">
        <v>0</v>
      </c>
      <c r="L112" s="44"/>
      <c r="M112" s="44">
        <v>0</v>
      </c>
      <c r="N112" s="44"/>
      <c r="O112" s="44">
        <v>0</v>
      </c>
      <c r="P112" s="44"/>
      <c r="Q112" s="44">
        <v>0</v>
      </c>
      <c r="R112" s="44"/>
      <c r="S112" s="44">
        <v>0</v>
      </c>
      <c r="T112" s="44"/>
      <c r="U112" s="44">
        <v>0</v>
      </c>
      <c r="V112" s="44"/>
      <c r="W112" s="44">
        <f t="shared" si="1"/>
        <v>0</v>
      </c>
      <c r="X112" s="44"/>
      <c r="Y112" s="44">
        <v>0</v>
      </c>
      <c r="Z112" s="44"/>
      <c r="AA112" s="44">
        <f>+'Stmt net assets'!Y112</f>
        <v>0</v>
      </c>
      <c r="AB112" s="44"/>
      <c r="AC112" s="44">
        <f>+Y112+'Stmt of activities-GA rev'!AC112-'Stmt of activities-GAexp'!W112-AA112</f>
        <v>0</v>
      </c>
    </row>
    <row r="113" spans="1:29" s="47" customFormat="1" ht="12.75" customHeight="1">
      <c r="A113" s="47" t="s">
        <v>140</v>
      </c>
      <c r="B113" s="51"/>
      <c r="C113" s="47" t="s">
        <v>66</v>
      </c>
      <c r="E113" s="44">
        <f>13658265+9968087</f>
        <v>23626352</v>
      </c>
      <c r="F113" s="44"/>
      <c r="G113" s="44">
        <v>0</v>
      </c>
      <c r="H113" s="44"/>
      <c r="I113" s="44">
        <v>12836109</v>
      </c>
      <c r="J113" s="44"/>
      <c r="K113" s="44">
        <v>0</v>
      </c>
      <c r="L113" s="44"/>
      <c r="M113" s="44">
        <v>12901084</v>
      </c>
      <c r="N113" s="44"/>
      <c r="O113" s="44">
        <v>0</v>
      </c>
      <c r="P113" s="44"/>
      <c r="Q113" s="44">
        <v>13175648</v>
      </c>
      <c r="R113" s="44"/>
      <c r="S113" s="44">
        <v>0</v>
      </c>
      <c r="T113" s="44"/>
      <c r="U113" s="44">
        <v>504262</v>
      </c>
      <c r="V113" s="44"/>
      <c r="W113" s="44">
        <f t="shared" si="1"/>
        <v>63043455</v>
      </c>
      <c r="X113" s="44"/>
      <c r="Y113" s="44">
        <v>167248379</v>
      </c>
      <c r="Z113" s="44"/>
      <c r="AA113" s="44">
        <f>+'Stmt net assets'!Y113</f>
        <v>175811300</v>
      </c>
      <c r="AB113" s="44"/>
      <c r="AC113" s="44">
        <f>+Y113+'Stmt of activities-GA rev'!AC113-'Stmt of activities-GAexp'!W113-AA113</f>
        <v>0</v>
      </c>
    </row>
    <row r="114" spans="1:29" s="47" customFormat="1" ht="12.75" customHeight="1">
      <c r="A114" s="47" t="s">
        <v>478</v>
      </c>
      <c r="B114" s="51"/>
      <c r="C114" s="47" t="s">
        <v>92</v>
      </c>
      <c r="E114" s="44">
        <v>2605218</v>
      </c>
      <c r="F114" s="44"/>
      <c r="G114" s="44">
        <v>76125</v>
      </c>
      <c r="H114" s="44"/>
      <c r="I114" s="44">
        <v>361442</v>
      </c>
      <c r="J114" s="44"/>
      <c r="K114" s="44">
        <v>72444</v>
      </c>
      <c r="L114" s="44"/>
      <c r="M114" s="44">
        <v>2035072</v>
      </c>
      <c r="N114" s="44"/>
      <c r="O114" s="44">
        <v>0</v>
      </c>
      <c r="P114" s="44"/>
      <c r="Q114" s="44">
        <v>1757753</v>
      </c>
      <c r="R114" s="44"/>
      <c r="S114" s="44">
        <v>0</v>
      </c>
      <c r="T114" s="44"/>
      <c r="U114" s="44">
        <v>183134</v>
      </c>
      <c r="V114" s="44"/>
      <c r="W114" s="44">
        <f t="shared" si="1"/>
        <v>7091188</v>
      </c>
      <c r="X114" s="44"/>
      <c r="Y114" s="44">
        <v>16571481</v>
      </c>
      <c r="Z114" s="44"/>
      <c r="AA114" s="44">
        <f>+'Stmt net assets'!Y114</f>
        <v>16101244</v>
      </c>
      <c r="AB114" s="44"/>
      <c r="AC114" s="44">
        <f>+Y114+'Stmt of activities-GA rev'!AC114-'Stmt of activities-GAexp'!W114-AA114</f>
        <v>0</v>
      </c>
    </row>
    <row r="115" spans="1:29" s="47" customFormat="1" ht="12.75" customHeight="1">
      <c r="A115" s="47" t="s">
        <v>141</v>
      </c>
      <c r="B115" s="51"/>
      <c r="C115" s="47" t="s">
        <v>27</v>
      </c>
      <c r="E115" s="44">
        <f>12754885+10131056</f>
        <v>22885941</v>
      </c>
      <c r="F115" s="44"/>
      <c r="G115" s="44">
        <v>2505999</v>
      </c>
      <c r="H115" s="44"/>
      <c r="I115" s="44">
        <v>1839517</v>
      </c>
      <c r="J115" s="44"/>
      <c r="K115" s="44">
        <v>6474889</v>
      </c>
      <c r="L115" s="44"/>
      <c r="M115" s="44">
        <v>2866754</v>
      </c>
      <c r="N115" s="44"/>
      <c r="O115" s="44">
        <v>3998734</v>
      </c>
      <c r="P115" s="44"/>
      <c r="Q115" s="44">
        <v>7675451</v>
      </c>
      <c r="R115" s="44"/>
      <c r="S115" s="44">
        <v>0</v>
      </c>
      <c r="T115" s="44"/>
      <c r="U115" s="44">
        <v>2127913</v>
      </c>
      <c r="V115" s="44"/>
      <c r="W115" s="44">
        <f t="shared" si="1"/>
        <v>50375198</v>
      </c>
      <c r="X115" s="44"/>
      <c r="Y115" s="44">
        <v>34244099</v>
      </c>
      <c r="Z115" s="44"/>
      <c r="AA115" s="44">
        <f>+'Stmt net assets'!Y116</f>
        <v>39725191</v>
      </c>
      <c r="AB115" s="44"/>
      <c r="AC115" s="44">
        <f>+Y115+'Stmt of activities-GA rev'!AC115-'Stmt of activities-GAexp'!W115-AA115</f>
        <v>0</v>
      </c>
    </row>
    <row r="116" spans="1:29" s="47" customFormat="1" ht="12.75" customHeight="1">
      <c r="A116" s="47" t="s">
        <v>142</v>
      </c>
      <c r="B116" s="51"/>
      <c r="C116" s="47" t="s">
        <v>102</v>
      </c>
      <c r="E116" s="44">
        <v>17891385</v>
      </c>
      <c r="F116" s="44"/>
      <c r="G116" s="44">
        <v>876750</v>
      </c>
      <c r="H116" s="44"/>
      <c r="I116" s="44">
        <v>1853442</v>
      </c>
      <c r="J116" s="44"/>
      <c r="K116" s="44">
        <v>671940</v>
      </c>
      <c r="L116" s="44"/>
      <c r="M116" s="44">
        <v>4801342</v>
      </c>
      <c r="N116" s="44"/>
      <c r="O116" s="44">
        <v>0</v>
      </c>
      <c r="P116" s="44"/>
      <c r="Q116" s="44">
        <v>7644288</v>
      </c>
      <c r="R116" s="44"/>
      <c r="S116" s="44">
        <v>0</v>
      </c>
      <c r="T116" s="44"/>
      <c r="U116" s="44">
        <v>442382</v>
      </c>
      <c r="V116" s="44"/>
      <c r="W116" s="44">
        <f t="shared" si="1"/>
        <v>34181529</v>
      </c>
      <c r="X116" s="44"/>
      <c r="Y116" s="44">
        <v>39944175</v>
      </c>
      <c r="Z116" s="44"/>
      <c r="AA116" s="44">
        <f>+'Stmt net assets'!Y117</f>
        <v>41010552</v>
      </c>
      <c r="AB116" s="44"/>
      <c r="AC116" s="44">
        <f>+Y116+'Stmt of activities-GA rev'!AC116-'Stmt of activities-GAexp'!W116-AA116</f>
        <v>0</v>
      </c>
    </row>
    <row r="117" spans="1:29" s="47" customFormat="1" ht="12.75" customHeight="1">
      <c r="A117" s="47" t="s">
        <v>143</v>
      </c>
      <c r="B117" s="51"/>
      <c r="C117" s="47" t="s">
        <v>111</v>
      </c>
      <c r="E117" s="44">
        <f>4218030+2735622</f>
        <v>6953652</v>
      </c>
      <c r="F117" s="44"/>
      <c r="G117" s="44">
        <v>181562</v>
      </c>
      <c r="H117" s="44"/>
      <c r="I117" s="44">
        <v>588970</v>
      </c>
      <c r="J117" s="44"/>
      <c r="K117" s="44">
        <v>868309</v>
      </c>
      <c r="L117" s="44"/>
      <c r="M117" s="44">
        <v>3591609</v>
      </c>
      <c r="N117" s="44"/>
      <c r="O117" s="44">
        <v>0</v>
      </c>
      <c r="P117" s="44"/>
      <c r="Q117" s="44">
        <v>3812972</v>
      </c>
      <c r="R117" s="44"/>
      <c r="S117" s="44">
        <v>257623</v>
      </c>
      <c r="T117" s="44"/>
      <c r="U117" s="44">
        <v>326399</v>
      </c>
      <c r="V117" s="44"/>
      <c r="W117" s="44">
        <f t="shared" si="1"/>
        <v>16581096</v>
      </c>
      <c r="X117" s="44"/>
      <c r="Y117" s="44">
        <v>58012635</v>
      </c>
      <c r="Z117" s="44"/>
      <c r="AA117" s="44">
        <f>+'Stmt net assets'!Y118</f>
        <v>59359393</v>
      </c>
      <c r="AB117" s="44"/>
      <c r="AC117" s="44">
        <f>+Y117+'Stmt of activities-GA rev'!AC117-'Stmt of activities-GAexp'!W117-AA117</f>
        <v>0</v>
      </c>
    </row>
    <row r="118" spans="1:29" s="47" customFormat="1" ht="12.75" customHeight="1">
      <c r="A118" s="47" t="s">
        <v>144</v>
      </c>
      <c r="B118" s="51"/>
      <c r="C118" s="47" t="s">
        <v>88</v>
      </c>
      <c r="E118" s="44">
        <v>15878806</v>
      </c>
      <c r="F118" s="44"/>
      <c r="G118" s="44">
        <v>0</v>
      </c>
      <c r="H118" s="44"/>
      <c r="I118" s="44">
        <v>1014916</v>
      </c>
      <c r="J118" s="44"/>
      <c r="K118" s="44">
        <v>3871079</v>
      </c>
      <c r="L118" s="44"/>
      <c r="M118" s="44">
        <v>5412474</v>
      </c>
      <c r="N118" s="44"/>
      <c r="O118" s="44">
        <v>0</v>
      </c>
      <c r="P118" s="44"/>
      <c r="Q118" s="44">
        <v>8107361</v>
      </c>
      <c r="R118" s="44"/>
      <c r="S118" s="44">
        <v>0</v>
      </c>
      <c r="T118" s="44"/>
      <c r="U118" s="44">
        <v>108658</v>
      </c>
      <c r="V118" s="44"/>
      <c r="W118" s="44">
        <f t="shared" si="1"/>
        <v>34393294</v>
      </c>
      <c r="X118" s="44"/>
      <c r="Y118" s="44">
        <v>56077368</v>
      </c>
      <c r="Z118" s="44"/>
      <c r="AA118" s="44">
        <f>+'Stmt net assets'!Y119</f>
        <v>57858999</v>
      </c>
      <c r="AB118" s="44"/>
      <c r="AC118" s="44">
        <f>+Y118+'Stmt of activities-GA rev'!AC118-'Stmt of activities-GAexp'!W118-AA118</f>
        <v>0</v>
      </c>
    </row>
    <row r="119" spans="1:29" s="47" customFormat="1" ht="12.75" customHeight="1">
      <c r="A119" s="47" t="s">
        <v>36</v>
      </c>
      <c r="B119" s="51"/>
      <c r="C119" s="47" t="s">
        <v>145</v>
      </c>
      <c r="E119" s="44">
        <f>1596028+905333</f>
        <v>2501361</v>
      </c>
      <c r="F119" s="44"/>
      <c r="G119" s="44">
        <v>306604</v>
      </c>
      <c r="H119" s="44"/>
      <c r="I119" s="44">
        <v>100395</v>
      </c>
      <c r="J119" s="44"/>
      <c r="K119" s="44">
        <v>372481</v>
      </c>
      <c r="L119" s="44"/>
      <c r="M119" s="44">
        <v>650021</v>
      </c>
      <c r="N119" s="44"/>
      <c r="O119" s="44">
        <v>2959</v>
      </c>
      <c r="P119" s="44"/>
      <c r="Q119" s="44">
        <v>909099</v>
      </c>
      <c r="R119" s="44"/>
      <c r="S119" s="44">
        <v>0</v>
      </c>
      <c r="T119" s="44"/>
      <c r="U119" s="44">
        <v>16551</v>
      </c>
      <c r="V119" s="44"/>
      <c r="W119" s="44">
        <f t="shared" si="1"/>
        <v>4859471</v>
      </c>
      <c r="X119" s="44"/>
      <c r="Y119" s="44">
        <v>8723563</v>
      </c>
      <c r="Z119" s="44"/>
      <c r="AA119" s="44">
        <f>+'Stmt net assets'!Y120</f>
        <v>9237160</v>
      </c>
      <c r="AB119" s="44"/>
      <c r="AC119" s="44">
        <f>+Y119+'Stmt of activities-GA rev'!AC119-'Stmt of activities-GAexp'!W119-AA119</f>
        <v>0</v>
      </c>
    </row>
    <row r="120" spans="1:29" s="47" customFormat="1" ht="12.75" customHeight="1">
      <c r="A120" s="47" t="s">
        <v>146</v>
      </c>
      <c r="B120" s="51"/>
      <c r="C120" s="47" t="s">
        <v>147</v>
      </c>
      <c r="E120" s="44">
        <v>3152085</v>
      </c>
      <c r="F120" s="44"/>
      <c r="G120" s="44">
        <v>750</v>
      </c>
      <c r="H120" s="44"/>
      <c r="I120" s="44">
        <v>192893</v>
      </c>
      <c r="J120" s="44"/>
      <c r="K120" s="44">
        <v>409050</v>
      </c>
      <c r="L120" s="44"/>
      <c r="M120" s="44">
        <v>1178089</v>
      </c>
      <c r="N120" s="44"/>
      <c r="O120" s="44">
        <v>0</v>
      </c>
      <c r="P120" s="44"/>
      <c r="Q120" s="44">
        <v>1340244</v>
      </c>
      <c r="R120" s="44"/>
      <c r="S120" s="44">
        <v>0</v>
      </c>
      <c r="T120" s="44"/>
      <c r="U120" s="44">
        <v>25419</v>
      </c>
      <c r="V120" s="44"/>
      <c r="W120" s="44">
        <f t="shared" si="1"/>
        <v>6298530</v>
      </c>
      <c r="X120" s="44"/>
      <c r="Y120" s="44">
        <v>17562045</v>
      </c>
      <c r="Z120" s="44"/>
      <c r="AA120" s="44">
        <f>+'Stmt net assets'!Y121</f>
        <v>18283152</v>
      </c>
      <c r="AB120" s="44"/>
      <c r="AC120" s="44">
        <f>+Y120+'Stmt of activities-GA rev'!AC120-'Stmt of activities-GAexp'!W120-AA120</f>
        <v>0</v>
      </c>
    </row>
    <row r="121" spans="1:29" s="47" customFormat="1" ht="12.75" customHeight="1">
      <c r="A121" s="47" t="s">
        <v>17</v>
      </c>
      <c r="B121" s="51"/>
      <c r="C121" s="47" t="s">
        <v>17</v>
      </c>
      <c r="E121" s="44">
        <v>19793984</v>
      </c>
      <c r="F121" s="44"/>
      <c r="G121" s="44">
        <v>1786441</v>
      </c>
      <c r="H121" s="44"/>
      <c r="I121" s="44">
        <v>1090661</v>
      </c>
      <c r="J121" s="44"/>
      <c r="K121" s="44">
        <f>654143+2222946</f>
        <v>2877089</v>
      </c>
      <c r="L121" s="44"/>
      <c r="M121" s="44">
        <v>12665797</v>
      </c>
      <c r="N121" s="44"/>
      <c r="O121" s="44">
        <v>0</v>
      </c>
      <c r="P121" s="44"/>
      <c r="Q121" s="44">
        <v>12043738</v>
      </c>
      <c r="R121" s="44"/>
      <c r="S121" s="44">
        <v>0</v>
      </c>
      <c r="T121" s="44"/>
      <c r="U121" s="44">
        <v>2139598</v>
      </c>
      <c r="V121" s="44"/>
      <c r="W121" s="44">
        <f t="shared" si="1"/>
        <v>52397308</v>
      </c>
      <c r="X121" s="44"/>
      <c r="Y121" s="44">
        <v>105029135</v>
      </c>
      <c r="Z121" s="44"/>
      <c r="AA121" s="44">
        <f>+'Stmt net assets'!Y122</f>
        <v>96231012</v>
      </c>
      <c r="AB121" s="44"/>
      <c r="AC121" s="44">
        <f>+Y121+'Stmt of activities-GA rev'!AC121-'Stmt of activities-GAexp'!W121-AA121</f>
        <v>0</v>
      </c>
    </row>
    <row r="122" spans="1:29" s="47" customFormat="1" ht="12.75" customHeight="1">
      <c r="A122" s="47" t="s">
        <v>148</v>
      </c>
      <c r="B122" s="51"/>
      <c r="C122" s="47" t="s">
        <v>15</v>
      </c>
      <c r="E122" s="44">
        <v>2086776</v>
      </c>
      <c r="F122" s="44"/>
      <c r="G122" s="44">
        <v>77436</v>
      </c>
      <c r="H122" s="44"/>
      <c r="I122" s="44">
        <v>377890</v>
      </c>
      <c r="J122" s="44"/>
      <c r="K122" s="44">
        <v>204539</v>
      </c>
      <c r="L122" s="44"/>
      <c r="M122" s="44">
        <v>512414</v>
      </c>
      <c r="N122" s="44"/>
      <c r="O122" s="44">
        <v>0</v>
      </c>
      <c r="P122" s="44"/>
      <c r="Q122" s="44">
        <v>907759</v>
      </c>
      <c r="R122" s="44"/>
      <c r="S122" s="44">
        <v>0</v>
      </c>
      <c r="T122" s="44"/>
      <c r="U122" s="44">
        <v>21268</v>
      </c>
      <c r="V122" s="44"/>
      <c r="W122" s="44">
        <f t="shared" si="1"/>
        <v>4188082</v>
      </c>
      <c r="X122" s="44"/>
      <c r="Y122" s="44">
        <v>5248480</v>
      </c>
      <c r="Z122" s="44"/>
      <c r="AA122" s="44">
        <f>+'Stmt net assets'!Y123</f>
        <v>5772921</v>
      </c>
      <c r="AB122" s="44"/>
      <c r="AC122" s="44">
        <f>+Y122+'Stmt of activities-GA rev'!AC122-'Stmt of activities-GAexp'!W122-AA122</f>
        <v>0</v>
      </c>
    </row>
    <row r="123" spans="1:29" s="47" customFormat="1" ht="12.75" customHeight="1">
      <c r="A123" s="47" t="s">
        <v>149</v>
      </c>
      <c r="B123" s="51"/>
      <c r="C123" s="47" t="s">
        <v>45</v>
      </c>
      <c r="E123" s="44">
        <v>5029548</v>
      </c>
      <c r="F123" s="44"/>
      <c r="G123" s="44">
        <v>0</v>
      </c>
      <c r="H123" s="44"/>
      <c r="I123" s="44">
        <v>535168</v>
      </c>
      <c r="J123" s="44"/>
      <c r="K123" s="44">
        <v>209411</v>
      </c>
      <c r="L123" s="44"/>
      <c r="M123" s="44">
        <v>1104950</v>
      </c>
      <c r="N123" s="44"/>
      <c r="O123" s="44">
        <v>0</v>
      </c>
      <c r="P123" s="44"/>
      <c r="Q123" s="44">
        <v>2949630</v>
      </c>
      <c r="R123" s="44"/>
      <c r="S123" s="44">
        <v>0</v>
      </c>
      <c r="T123" s="44"/>
      <c r="U123" s="44">
        <v>191454</v>
      </c>
      <c r="V123" s="44"/>
      <c r="W123" s="44">
        <f t="shared" si="1"/>
        <v>10020161</v>
      </c>
      <c r="X123" s="44"/>
      <c r="Y123" s="44">
        <v>18093515</v>
      </c>
      <c r="Z123" s="44"/>
      <c r="AA123" s="44">
        <f>+'Stmt net assets'!Y124</f>
        <v>19059492</v>
      </c>
      <c r="AB123" s="44"/>
      <c r="AC123" s="44">
        <f>+Y123+'Stmt of activities-GA rev'!AC123-'Stmt of activities-GAexp'!W123-AA123</f>
        <v>0</v>
      </c>
    </row>
    <row r="124" spans="1:29" s="47" customFormat="1" ht="12.75" customHeight="1">
      <c r="A124" s="47" t="s">
        <v>150</v>
      </c>
      <c r="B124" s="51"/>
      <c r="C124" s="47" t="s">
        <v>27</v>
      </c>
      <c r="E124" s="44">
        <v>8710483</v>
      </c>
      <c r="F124" s="44"/>
      <c r="G124" s="44">
        <v>56532</v>
      </c>
      <c r="H124" s="44"/>
      <c r="I124" s="44">
        <v>1153984</v>
      </c>
      <c r="J124" s="44"/>
      <c r="K124" s="44">
        <v>597469</v>
      </c>
      <c r="L124" s="44"/>
      <c r="M124" s="44">
        <v>2353517</v>
      </c>
      <c r="N124" s="44"/>
      <c r="O124" s="44">
        <v>3957095</v>
      </c>
      <c r="P124" s="44"/>
      <c r="Q124" s="44">
        <v>4778612</v>
      </c>
      <c r="R124" s="44"/>
      <c r="S124" s="44">
        <v>0</v>
      </c>
      <c r="T124" s="44"/>
      <c r="U124" s="44">
        <v>106831</v>
      </c>
      <c r="V124" s="44"/>
      <c r="W124" s="44">
        <f t="shared" si="1"/>
        <v>21714523</v>
      </c>
      <c r="X124" s="44"/>
      <c r="Y124" s="44">
        <v>93635324</v>
      </c>
      <c r="Z124" s="44"/>
      <c r="AA124" s="44">
        <f>+'Stmt net assets'!Y125</f>
        <v>90387196</v>
      </c>
      <c r="AB124" s="44"/>
      <c r="AC124" s="44">
        <f>+Y124+'Stmt of activities-GA rev'!AC124-'Stmt of activities-GAexp'!W124-AA124</f>
        <v>0</v>
      </c>
    </row>
    <row r="125" spans="1:29" s="47" customFormat="1" ht="12.75" customHeight="1">
      <c r="A125" s="47" t="s">
        <v>151</v>
      </c>
      <c r="B125" s="51"/>
      <c r="C125" s="47" t="s">
        <v>13</v>
      </c>
      <c r="E125" s="44">
        <v>5383911</v>
      </c>
      <c r="F125" s="44"/>
      <c r="G125" s="44">
        <v>212896</v>
      </c>
      <c r="H125" s="44"/>
      <c r="I125" s="44">
        <v>1790080</v>
      </c>
      <c r="J125" s="44"/>
      <c r="K125" s="44">
        <v>452609</v>
      </c>
      <c r="L125" s="44"/>
      <c r="M125" s="44">
        <v>2791687</v>
      </c>
      <c r="N125" s="44"/>
      <c r="O125" s="44">
        <v>563984</v>
      </c>
      <c r="P125" s="44"/>
      <c r="Q125" s="44">
        <v>2508657</v>
      </c>
      <c r="R125" s="44"/>
      <c r="S125" s="44">
        <v>0</v>
      </c>
      <c r="T125" s="44"/>
      <c r="U125" s="44">
        <v>574796</v>
      </c>
      <c r="V125" s="44"/>
      <c r="W125" s="44">
        <f t="shared" si="1"/>
        <v>14278620</v>
      </c>
      <c r="X125" s="44"/>
      <c r="Y125" s="44">
        <v>37187502</v>
      </c>
      <c r="Z125" s="44"/>
      <c r="AA125" s="44">
        <f>+'Stmt net assets'!Y126</f>
        <v>36334971</v>
      </c>
      <c r="AB125" s="44"/>
      <c r="AC125" s="44">
        <f>+Y125+'Stmt of activities-GA rev'!AC125-'Stmt of activities-GAexp'!W125-AA125</f>
        <v>0</v>
      </c>
    </row>
    <row r="126" spans="1:29" s="47" customFormat="1" ht="12.75" customHeight="1">
      <c r="A126" s="47" t="s">
        <v>481</v>
      </c>
      <c r="B126" s="51"/>
      <c r="C126" s="47" t="s">
        <v>45</v>
      </c>
      <c r="E126" s="44">
        <v>3150806</v>
      </c>
      <c r="F126" s="44"/>
      <c r="G126" s="44">
        <v>0</v>
      </c>
      <c r="H126" s="44"/>
      <c r="I126" s="44">
        <v>268414</v>
      </c>
      <c r="J126" s="44"/>
      <c r="K126" s="44">
        <v>105225</v>
      </c>
      <c r="L126" s="44"/>
      <c r="M126" s="44">
        <v>944565</v>
      </c>
      <c r="N126" s="44"/>
      <c r="O126" s="44">
        <v>517959</v>
      </c>
      <c r="P126" s="44"/>
      <c r="Q126" s="44">
        <v>1009663</v>
      </c>
      <c r="R126" s="44"/>
      <c r="S126" s="44">
        <v>0</v>
      </c>
      <c r="T126" s="44"/>
      <c r="U126" s="44">
        <v>27500</v>
      </c>
      <c r="V126" s="44"/>
      <c r="W126" s="44">
        <f t="shared" si="1"/>
        <v>6024132</v>
      </c>
      <c r="X126" s="44"/>
      <c r="Y126" s="44">
        <v>7839146</v>
      </c>
      <c r="Z126" s="44"/>
      <c r="AA126" s="44">
        <f>+'Stmt net assets'!Y127</f>
        <v>8604960</v>
      </c>
      <c r="AB126" s="44"/>
      <c r="AC126" s="44">
        <f>+Y126+'Stmt of activities-GA rev'!AC126-'Stmt of activities-GAexp'!W126-AA126</f>
        <v>0</v>
      </c>
    </row>
    <row r="127" spans="1:29" s="47" customFormat="1" ht="12.75" customHeight="1">
      <c r="A127" s="47" t="s">
        <v>152</v>
      </c>
      <c r="B127" s="51"/>
      <c r="C127" s="47" t="s">
        <v>153</v>
      </c>
      <c r="E127" s="44">
        <v>26600304</v>
      </c>
      <c r="F127" s="44"/>
      <c r="G127" s="44">
        <v>109486</v>
      </c>
      <c r="H127" s="44"/>
      <c r="I127" s="44">
        <v>237269</v>
      </c>
      <c r="J127" s="44"/>
      <c r="K127" s="44">
        <v>2573024</v>
      </c>
      <c r="L127" s="44"/>
      <c r="M127" s="44">
        <v>2528206</v>
      </c>
      <c r="N127" s="44"/>
      <c r="O127" s="44">
        <v>0</v>
      </c>
      <c r="P127" s="44"/>
      <c r="Q127" s="44">
        <v>13844861</v>
      </c>
      <c r="R127" s="44"/>
      <c r="S127" s="44">
        <v>0</v>
      </c>
      <c r="T127" s="44"/>
      <c r="U127" s="44">
        <v>292983</v>
      </c>
      <c r="V127" s="44"/>
      <c r="W127" s="44">
        <f t="shared" si="1"/>
        <v>46186133</v>
      </c>
      <c r="X127" s="44"/>
      <c r="Y127" s="44">
        <v>59838580</v>
      </c>
      <c r="Z127" s="44"/>
      <c r="AA127" s="44">
        <f>+'Stmt net assets'!Y128</f>
        <v>55946756</v>
      </c>
      <c r="AB127" s="44"/>
      <c r="AC127" s="44">
        <f>+Y127+'Stmt of activities-GA rev'!AC127-'Stmt of activities-GAexp'!W127-AA127</f>
        <v>0</v>
      </c>
    </row>
    <row r="128" spans="1:29" s="47" customFormat="1" ht="12.75" customHeight="1">
      <c r="A128" s="47" t="s">
        <v>154</v>
      </c>
      <c r="B128" s="51"/>
      <c r="C128" s="47" t="s">
        <v>27</v>
      </c>
      <c r="E128" s="44">
        <v>11609519</v>
      </c>
      <c r="F128" s="44"/>
      <c r="G128" s="44">
        <v>113265</v>
      </c>
      <c r="H128" s="44"/>
      <c r="I128" s="44">
        <v>685009</v>
      </c>
      <c r="J128" s="44"/>
      <c r="K128" s="44">
        <v>705710</v>
      </c>
      <c r="L128" s="44"/>
      <c r="M128" s="44">
        <v>3678327</v>
      </c>
      <c r="N128" s="44"/>
      <c r="O128" s="44">
        <v>1275498</v>
      </c>
      <c r="P128" s="44"/>
      <c r="Q128" s="44">
        <v>4282435</v>
      </c>
      <c r="R128" s="44"/>
      <c r="S128" s="44">
        <v>0</v>
      </c>
      <c r="T128" s="44"/>
      <c r="U128" s="44">
        <v>595795</v>
      </c>
      <c r="V128" s="44"/>
      <c r="W128" s="44">
        <f t="shared" si="1"/>
        <v>22945558</v>
      </c>
      <c r="X128" s="44"/>
      <c r="Y128" s="44">
        <v>39826467</v>
      </c>
      <c r="Z128" s="44"/>
      <c r="AA128" s="44">
        <f>+'Stmt net assets'!Y129</f>
        <v>40018685</v>
      </c>
      <c r="AB128" s="44"/>
      <c r="AC128" s="44">
        <f>+Y128+'Stmt of activities-GA rev'!AC128-'Stmt of activities-GAexp'!W128-AA128</f>
        <v>0</v>
      </c>
    </row>
    <row r="129" spans="1:34" s="47" customFormat="1" ht="12.75" customHeight="1">
      <c r="A129" s="47" t="s">
        <v>155</v>
      </c>
      <c r="B129" s="51"/>
      <c r="C129" s="47" t="s">
        <v>40</v>
      </c>
      <c r="E129" s="44">
        <f>3209309+3519008</f>
        <v>6728317</v>
      </c>
      <c r="F129" s="44"/>
      <c r="G129" s="44">
        <v>851485</v>
      </c>
      <c r="H129" s="44"/>
      <c r="I129" s="44">
        <v>625865</v>
      </c>
      <c r="J129" s="44"/>
      <c r="K129" s="44">
        <v>414910</v>
      </c>
      <c r="L129" s="44"/>
      <c r="M129" s="44">
        <f>3107341+2210</f>
        <v>3109551</v>
      </c>
      <c r="N129" s="44"/>
      <c r="O129" s="44">
        <v>0</v>
      </c>
      <c r="P129" s="44"/>
      <c r="Q129" s="44">
        <f>4042103+1092132</f>
        <v>5134235</v>
      </c>
      <c r="R129" s="44"/>
      <c r="S129" s="44">
        <v>1824297</v>
      </c>
      <c r="T129" s="44"/>
      <c r="U129" s="44">
        <v>56273</v>
      </c>
      <c r="V129" s="44"/>
      <c r="W129" s="44">
        <f t="shared" si="1"/>
        <v>18744933</v>
      </c>
      <c r="X129" s="44"/>
      <c r="Y129" s="44">
        <v>27365272</v>
      </c>
      <c r="Z129" s="44"/>
      <c r="AA129" s="44">
        <f>+'Stmt net assets'!Y130</f>
        <v>27570026</v>
      </c>
      <c r="AB129" s="44"/>
      <c r="AC129" s="44">
        <f>+Y129+'Stmt of activities-GA rev'!AC129-'Stmt of activities-GAexp'!W129-AA129</f>
        <v>0</v>
      </c>
    </row>
    <row r="130" spans="1:34" s="47" customFormat="1" ht="12.75" customHeight="1">
      <c r="A130" s="47" t="s">
        <v>156</v>
      </c>
      <c r="B130" s="51"/>
      <c r="C130" s="47" t="s">
        <v>156</v>
      </c>
      <c r="E130" s="44">
        <f>7858681+6376664+272940</f>
        <v>14508285</v>
      </c>
      <c r="F130" s="44"/>
      <c r="G130" s="44">
        <v>1118782</v>
      </c>
      <c r="H130" s="44"/>
      <c r="I130" s="44">
        <v>1393257</v>
      </c>
      <c r="J130" s="44"/>
      <c r="K130" s="44">
        <v>1000594</v>
      </c>
      <c r="L130" s="44"/>
      <c r="M130" s="44">
        <f>992193+3576432</f>
        <v>4568625</v>
      </c>
      <c r="N130" s="44"/>
      <c r="O130" s="44">
        <v>0</v>
      </c>
      <c r="P130" s="44"/>
      <c r="Q130" s="44">
        <f>985489+4504095</f>
        <v>5489584</v>
      </c>
      <c r="R130" s="44"/>
      <c r="S130" s="44">
        <v>0</v>
      </c>
      <c r="T130" s="44"/>
      <c r="U130" s="44">
        <v>0</v>
      </c>
      <c r="V130" s="44"/>
      <c r="W130" s="44">
        <f t="shared" ref="W130" si="2">SUM(E130:U130)</f>
        <v>28079127</v>
      </c>
      <c r="X130" s="44"/>
      <c r="Y130" s="44">
        <v>59675102</v>
      </c>
      <c r="Z130" s="44"/>
      <c r="AA130" s="44">
        <f>+'Stmt net assets'!Y131</f>
        <v>57167474</v>
      </c>
      <c r="AB130" s="46"/>
      <c r="AC130" s="46">
        <f>+Y130+'Stmt of activities-GA rev'!AC130-'Stmt of activities-GAexp'!W130-AA130</f>
        <v>0</v>
      </c>
      <c r="AD130" s="46"/>
      <c r="AE130" s="46"/>
      <c r="AF130" s="46"/>
      <c r="AG130" s="46"/>
      <c r="AH130" s="46"/>
    </row>
    <row r="131" spans="1:34" s="47" customFormat="1" ht="12.75" customHeight="1">
      <c r="A131" s="47" t="s">
        <v>157</v>
      </c>
      <c r="B131" s="51"/>
      <c r="C131" s="47" t="s">
        <v>33</v>
      </c>
      <c r="E131" s="44">
        <v>2329276</v>
      </c>
      <c r="F131" s="44"/>
      <c r="G131" s="44">
        <v>65413</v>
      </c>
      <c r="H131" s="44"/>
      <c r="I131" s="44">
        <v>51323</v>
      </c>
      <c r="J131" s="44"/>
      <c r="K131" s="44">
        <v>310868</v>
      </c>
      <c r="L131" s="44"/>
      <c r="M131" s="44">
        <v>510586</v>
      </c>
      <c r="N131" s="44"/>
      <c r="O131" s="44">
        <v>0</v>
      </c>
      <c r="P131" s="44"/>
      <c r="Q131" s="44">
        <v>628919</v>
      </c>
      <c r="R131" s="44"/>
      <c r="S131" s="44">
        <v>0</v>
      </c>
      <c r="T131" s="44"/>
      <c r="U131" s="44">
        <v>16804</v>
      </c>
      <c r="V131" s="44"/>
      <c r="W131" s="44">
        <f t="shared" ref="W131:W194" si="3">SUM(E131:U131)</f>
        <v>3913189</v>
      </c>
      <c r="X131" s="44"/>
      <c r="Y131" s="44">
        <v>6685049</v>
      </c>
      <c r="Z131" s="44"/>
      <c r="AA131" s="44">
        <f>+'Stmt net assets'!Y132</f>
        <v>6192503</v>
      </c>
      <c r="AB131" s="44"/>
      <c r="AC131" s="44">
        <f>+Y131+'Stmt of activities-GA rev'!AC131-'Stmt of activities-GAexp'!W131-AA131</f>
        <v>0</v>
      </c>
    </row>
    <row r="132" spans="1:34" s="47" customFormat="1" ht="12.75" customHeight="1">
      <c r="A132" s="47" t="s">
        <v>158</v>
      </c>
      <c r="B132" s="51"/>
      <c r="C132" s="47" t="s">
        <v>159</v>
      </c>
      <c r="E132" s="44">
        <f>3806296+3848940+576603</f>
        <v>8231839</v>
      </c>
      <c r="F132" s="44"/>
      <c r="G132" s="44">
        <v>533704</v>
      </c>
      <c r="H132" s="44"/>
      <c r="I132" s="44">
        <v>357477</v>
      </c>
      <c r="J132" s="44"/>
      <c r="K132" s="44">
        <v>1592190</v>
      </c>
      <c r="L132" s="44"/>
      <c r="M132" s="44">
        <v>2937757</v>
      </c>
      <c r="N132" s="44"/>
      <c r="O132" s="44">
        <v>0</v>
      </c>
      <c r="P132" s="44"/>
      <c r="Q132" s="44">
        <v>2890567</v>
      </c>
      <c r="R132" s="44"/>
      <c r="S132" s="44">
        <v>0</v>
      </c>
      <c r="T132" s="44"/>
      <c r="U132" s="44">
        <v>882409</v>
      </c>
      <c r="V132" s="44"/>
      <c r="W132" s="44">
        <f t="shared" si="3"/>
        <v>17425943</v>
      </c>
      <c r="X132" s="44"/>
      <c r="Y132" s="44">
        <v>30256139</v>
      </c>
      <c r="Z132" s="44"/>
      <c r="AA132" s="44">
        <f>+'Stmt net assets'!Y133</f>
        <v>29999880</v>
      </c>
      <c r="AB132" s="44"/>
      <c r="AC132" s="44">
        <f>+Y132+'Stmt of activities-GA rev'!AC132-'Stmt of activities-GAexp'!W132-AA132</f>
        <v>0</v>
      </c>
    </row>
    <row r="133" spans="1:34" s="47" customFormat="1" ht="12.75" customHeight="1">
      <c r="B133" s="51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8" t="s">
        <v>484</v>
      </c>
      <c r="AB133" s="44"/>
      <c r="AC133" s="44"/>
    </row>
    <row r="134" spans="1:34" s="46" customFormat="1" ht="12.75" customHeight="1">
      <c r="A134" s="46" t="s">
        <v>160</v>
      </c>
      <c r="B134" s="66"/>
      <c r="C134" s="46" t="s">
        <v>111</v>
      </c>
      <c r="E134" s="46">
        <v>11758497</v>
      </c>
      <c r="G134" s="46">
        <v>0</v>
      </c>
      <c r="I134" s="46">
        <v>2860505</v>
      </c>
      <c r="K134" s="46">
        <v>1831149</v>
      </c>
      <c r="M134" s="46">
        <v>4156093</v>
      </c>
      <c r="O134" s="46">
        <v>233714</v>
      </c>
      <c r="Q134" s="46">
        <v>8969554</v>
      </c>
      <c r="S134" s="46">
        <v>0</v>
      </c>
      <c r="U134" s="46">
        <v>1981386</v>
      </c>
      <c r="W134" s="46">
        <f t="shared" si="3"/>
        <v>31790898</v>
      </c>
      <c r="Y134" s="46">
        <v>161154833</v>
      </c>
      <c r="AA134" s="46">
        <f>+'Stmt net assets'!Y134</f>
        <v>162024437</v>
      </c>
      <c r="AB134" s="44"/>
      <c r="AC134" s="44">
        <f>+Y134+'Stmt of activities-GA rev'!AC134-'Stmt of activities-GAexp'!W134-AA134</f>
        <v>0</v>
      </c>
    </row>
    <row r="135" spans="1:34" s="47" customFormat="1" ht="12.75" customHeight="1">
      <c r="A135" s="47" t="s">
        <v>161</v>
      </c>
      <c r="B135" s="51"/>
      <c r="C135" s="47" t="s">
        <v>15</v>
      </c>
      <c r="E135" s="44">
        <v>10258888</v>
      </c>
      <c r="F135" s="44"/>
      <c r="G135" s="44">
        <v>508663</v>
      </c>
      <c r="H135" s="44"/>
      <c r="I135" s="44">
        <v>2492171</v>
      </c>
      <c r="J135" s="44"/>
      <c r="K135" s="44">
        <v>1041530</v>
      </c>
      <c r="L135" s="44"/>
      <c r="M135" s="44">
        <v>2769302</v>
      </c>
      <c r="N135" s="44"/>
      <c r="O135" s="44">
        <v>27893</v>
      </c>
      <c r="P135" s="44"/>
      <c r="Q135" s="44">
        <v>6896335</v>
      </c>
      <c r="R135" s="44"/>
      <c r="S135" s="44">
        <v>128738</v>
      </c>
      <c r="T135" s="44"/>
      <c r="U135" s="44">
        <v>1420093</v>
      </c>
      <c r="V135" s="44"/>
      <c r="W135" s="44">
        <f t="shared" si="3"/>
        <v>25543613</v>
      </c>
      <c r="X135" s="44"/>
      <c r="Y135" s="44">
        <v>24035921</v>
      </c>
      <c r="Z135" s="44"/>
      <c r="AA135" s="44">
        <f>+'Stmt net assets'!Y135</f>
        <v>27600343</v>
      </c>
      <c r="AB135" s="44"/>
      <c r="AC135" s="44">
        <f>+Y135+'Stmt of activities-GA rev'!AC135-'Stmt of activities-GAexp'!W135-AA135</f>
        <v>0</v>
      </c>
    </row>
    <row r="136" spans="1:34" s="47" customFormat="1" ht="12.75" customHeight="1">
      <c r="A136" s="47" t="s">
        <v>162</v>
      </c>
      <c r="B136" s="51"/>
      <c r="C136" s="47" t="s">
        <v>163</v>
      </c>
      <c r="E136" s="44">
        <v>11193442</v>
      </c>
      <c r="F136" s="44"/>
      <c r="G136" s="44">
        <v>195609</v>
      </c>
      <c r="H136" s="44"/>
      <c r="I136" s="44">
        <v>2549307</v>
      </c>
      <c r="J136" s="44"/>
      <c r="K136" s="44">
        <v>1622083</v>
      </c>
      <c r="L136" s="44"/>
      <c r="M136" s="44">
        <v>3002951</v>
      </c>
      <c r="N136" s="44"/>
      <c r="O136" s="44">
        <v>1334689</v>
      </c>
      <c r="P136" s="44"/>
      <c r="Q136" s="44">
        <v>5711331</v>
      </c>
      <c r="R136" s="44"/>
      <c r="S136" s="44">
        <v>0</v>
      </c>
      <c r="T136" s="44"/>
      <c r="U136" s="44">
        <v>1000008</v>
      </c>
      <c r="V136" s="44"/>
      <c r="W136" s="44">
        <f t="shared" si="3"/>
        <v>26609420</v>
      </c>
      <c r="X136" s="44"/>
      <c r="Y136" s="44">
        <v>82764182</v>
      </c>
      <c r="Z136" s="44"/>
      <c r="AA136" s="44">
        <f>+'Stmt net assets'!Y136</f>
        <v>81697908</v>
      </c>
      <c r="AB136" s="44"/>
      <c r="AC136" s="44">
        <f>+Y136+'Stmt of activities-GA rev'!AC136-'Stmt of activities-GAexp'!W136-AA136</f>
        <v>0</v>
      </c>
    </row>
    <row r="137" spans="1:34" s="47" customFormat="1" ht="12.75" customHeight="1">
      <c r="A137" s="47" t="s">
        <v>164</v>
      </c>
      <c r="B137" s="51"/>
      <c r="C137" s="47" t="s">
        <v>27</v>
      </c>
      <c r="E137" s="44">
        <v>11034865</v>
      </c>
      <c r="F137" s="44"/>
      <c r="G137" s="44">
        <v>306959</v>
      </c>
      <c r="H137" s="44"/>
      <c r="I137" s="44">
        <v>1534430</v>
      </c>
      <c r="J137" s="44"/>
      <c r="K137" s="44">
        <v>868816</v>
      </c>
      <c r="L137" s="44"/>
      <c r="M137" s="44">
        <v>5789405</v>
      </c>
      <c r="N137" s="44"/>
      <c r="O137" s="44">
        <v>1166976</v>
      </c>
      <c r="P137" s="44"/>
      <c r="Q137" s="44">
        <v>2460342</v>
      </c>
      <c r="R137" s="44"/>
      <c r="S137" s="44">
        <v>0</v>
      </c>
      <c r="T137" s="44"/>
      <c r="U137" s="44">
        <v>118979</v>
      </c>
      <c r="V137" s="44"/>
      <c r="W137" s="44">
        <f t="shared" si="3"/>
        <v>23280772</v>
      </c>
      <c r="X137" s="44"/>
      <c r="Y137" s="44">
        <v>52299876</v>
      </c>
      <c r="Z137" s="44"/>
      <c r="AA137" s="44">
        <f>+'Stmt net assets'!Y137</f>
        <v>49117246</v>
      </c>
      <c r="AB137" s="44"/>
      <c r="AC137" s="44">
        <f>+Y137+'Stmt of activities-GA rev'!AC137-'Stmt of activities-GAexp'!W137-AA137</f>
        <v>0</v>
      </c>
    </row>
    <row r="138" spans="1:34" s="47" customFormat="1" ht="12.75" customHeight="1">
      <c r="A138" s="47" t="s">
        <v>53</v>
      </c>
      <c r="B138" s="51"/>
      <c r="C138" s="47" t="s">
        <v>53</v>
      </c>
      <c r="E138" s="44">
        <v>7482481</v>
      </c>
      <c r="F138" s="44"/>
      <c r="G138" s="44">
        <v>204925</v>
      </c>
      <c r="H138" s="44"/>
      <c r="I138" s="44">
        <v>1018069</v>
      </c>
      <c r="J138" s="44"/>
      <c r="K138" s="44">
        <v>844939</v>
      </c>
      <c r="L138" s="44"/>
      <c r="M138" s="44">
        <v>3971871</v>
      </c>
      <c r="N138" s="44"/>
      <c r="O138" s="44">
        <v>76538</v>
      </c>
      <c r="P138" s="44"/>
      <c r="Q138" s="44">
        <v>7291488</v>
      </c>
      <c r="R138" s="44"/>
      <c r="S138" s="44">
        <v>0</v>
      </c>
      <c r="T138" s="44"/>
      <c r="U138" s="44">
        <v>97841</v>
      </c>
      <c r="V138" s="44"/>
      <c r="W138" s="44">
        <f t="shared" si="3"/>
        <v>20988152</v>
      </c>
      <c r="X138" s="44"/>
      <c r="Y138" s="44">
        <v>77010354</v>
      </c>
      <c r="Z138" s="44"/>
      <c r="AA138" s="44">
        <f>+'Stmt net assets'!Y138</f>
        <v>80795004</v>
      </c>
      <c r="AB138" s="44"/>
      <c r="AC138" s="44">
        <f>+Y138+'Stmt of activities-GA rev'!AC138-'Stmt of activities-GAexp'!W138-AA138</f>
        <v>0</v>
      </c>
    </row>
    <row r="139" spans="1:34" s="47" customFormat="1" ht="12.75" customHeight="1">
      <c r="A139" s="47" t="s">
        <v>165</v>
      </c>
      <c r="B139" s="51"/>
      <c r="C139" s="47" t="s">
        <v>92</v>
      </c>
      <c r="E139" s="44">
        <f>12350647+11842353</f>
        <v>24193000</v>
      </c>
      <c r="F139" s="44"/>
      <c r="G139" s="44">
        <v>0</v>
      </c>
      <c r="H139" s="44"/>
      <c r="I139" s="44">
        <v>7860266</v>
      </c>
      <c r="J139" s="44"/>
      <c r="K139" s="44">
        <v>764306</v>
      </c>
      <c r="L139" s="44"/>
      <c r="M139" s="44">
        <v>13816327</v>
      </c>
      <c r="N139" s="44"/>
      <c r="O139" s="44">
        <v>0</v>
      </c>
      <c r="P139" s="44"/>
      <c r="Q139" s="44">
        <v>7185265</v>
      </c>
      <c r="R139" s="44"/>
      <c r="S139" s="44">
        <v>2057180</v>
      </c>
      <c r="T139" s="44"/>
      <c r="U139" s="44">
        <v>1535426</v>
      </c>
      <c r="V139" s="44"/>
      <c r="W139" s="44">
        <f t="shared" si="3"/>
        <v>57411770</v>
      </c>
      <c r="X139" s="44"/>
      <c r="Y139" s="44">
        <v>191412825</v>
      </c>
      <c r="Z139" s="44"/>
      <c r="AA139" s="44">
        <f>+'Stmt net assets'!Y139</f>
        <v>189722204</v>
      </c>
      <c r="AB139" s="44"/>
      <c r="AC139" s="44">
        <f>+Y139+'Stmt of activities-GA rev'!AC139-'Stmt of activities-GAexp'!W139-AA139</f>
        <v>0</v>
      </c>
    </row>
    <row r="140" spans="1:34" s="47" customFormat="1" ht="12.75" customHeight="1">
      <c r="A140" s="47" t="s">
        <v>166</v>
      </c>
      <c r="B140" s="51"/>
      <c r="C140" s="47" t="s">
        <v>92</v>
      </c>
      <c r="E140" s="44">
        <v>2566112</v>
      </c>
      <c r="F140" s="44"/>
      <c r="G140" s="44">
        <v>63684</v>
      </c>
      <c r="H140" s="44"/>
      <c r="I140" s="44">
        <v>58837</v>
      </c>
      <c r="J140" s="44"/>
      <c r="K140" s="44">
        <v>0</v>
      </c>
      <c r="L140" s="44"/>
      <c r="M140" s="44">
        <v>664596</v>
      </c>
      <c r="N140" s="44"/>
      <c r="O140" s="44">
        <v>299243</v>
      </c>
      <c r="P140" s="44"/>
      <c r="Q140" s="44">
        <v>710630</v>
      </c>
      <c r="R140" s="44"/>
      <c r="S140" s="44">
        <v>2724</v>
      </c>
      <c r="T140" s="44"/>
      <c r="U140" s="44">
        <v>24024</v>
      </c>
      <c r="V140" s="44"/>
      <c r="W140" s="44">
        <f t="shared" si="3"/>
        <v>4389850</v>
      </c>
      <c r="X140" s="44"/>
      <c r="Y140" s="44">
        <v>5947060</v>
      </c>
      <c r="Z140" s="44"/>
      <c r="AA140" s="44">
        <f>+'Stmt net assets'!Y140</f>
        <v>6280943</v>
      </c>
      <c r="AB140" s="44"/>
      <c r="AC140" s="44">
        <f>+Y140+'Stmt of activities-GA rev'!AC140-'Stmt of activities-GAexp'!W140-AA140</f>
        <v>0</v>
      </c>
    </row>
    <row r="141" spans="1:34" s="47" customFormat="1" ht="12.75" customHeight="1">
      <c r="A141" s="47" t="s">
        <v>167</v>
      </c>
      <c r="B141" s="51"/>
      <c r="C141" s="47" t="s">
        <v>66</v>
      </c>
      <c r="E141" s="44">
        <v>9048896</v>
      </c>
      <c r="F141" s="44"/>
      <c r="G141" s="44">
        <v>5189</v>
      </c>
      <c r="H141" s="44"/>
      <c r="I141" s="44">
        <v>2203493</v>
      </c>
      <c r="J141" s="44"/>
      <c r="K141" s="44">
        <v>1070540</v>
      </c>
      <c r="L141" s="44"/>
      <c r="M141" s="44">
        <v>1439492</v>
      </c>
      <c r="N141" s="44"/>
      <c r="O141" s="44">
        <v>890876</v>
      </c>
      <c r="P141" s="44"/>
      <c r="Q141" s="44">
        <v>6081250</v>
      </c>
      <c r="R141" s="44"/>
      <c r="S141" s="44">
        <v>0</v>
      </c>
      <c r="T141" s="44"/>
      <c r="U141" s="44">
        <v>301379</v>
      </c>
      <c r="V141" s="44"/>
      <c r="W141" s="44">
        <f t="shared" si="3"/>
        <v>21041115</v>
      </c>
      <c r="X141" s="44"/>
      <c r="Y141" s="44">
        <v>46117984</v>
      </c>
      <c r="Z141" s="44"/>
      <c r="AA141" s="44">
        <f>+'Stmt net assets'!Y141</f>
        <v>45144027</v>
      </c>
      <c r="AB141" s="44"/>
      <c r="AC141" s="44">
        <f>+Y141+'Stmt of activities-GA rev'!AC141-'Stmt of activities-GAexp'!W141-AA141</f>
        <v>0</v>
      </c>
    </row>
    <row r="142" spans="1:34" s="47" customFormat="1" ht="12.75" customHeight="1">
      <c r="A142" s="44" t="s">
        <v>168</v>
      </c>
      <c r="B142" s="51"/>
      <c r="C142" s="44" t="s">
        <v>27</v>
      </c>
      <c r="E142" s="44">
        <f>4806928+3696714+57850</f>
        <v>8561492</v>
      </c>
      <c r="F142" s="44"/>
      <c r="G142" s="44">
        <v>339612</v>
      </c>
      <c r="H142" s="44"/>
      <c r="I142" s="44">
        <v>3280588</v>
      </c>
      <c r="J142" s="44"/>
      <c r="K142" s="44">
        <f>579608+286350</f>
        <v>865958</v>
      </c>
      <c r="L142" s="44"/>
      <c r="M142" s="44">
        <v>3052119</v>
      </c>
      <c r="N142" s="44"/>
      <c r="O142" s="44">
        <v>948225</v>
      </c>
      <c r="P142" s="44"/>
      <c r="Q142" s="44">
        <v>7321308</v>
      </c>
      <c r="R142" s="44"/>
      <c r="S142" s="44">
        <v>0</v>
      </c>
      <c r="T142" s="44"/>
      <c r="U142" s="44">
        <v>580827</v>
      </c>
      <c r="V142" s="44"/>
      <c r="W142" s="44">
        <f t="shared" si="3"/>
        <v>24950129</v>
      </c>
      <c r="X142" s="44"/>
      <c r="Y142" s="44">
        <v>45272683</v>
      </c>
      <c r="Z142" s="44"/>
      <c r="AA142" s="44">
        <f>+'Stmt net assets'!Y142</f>
        <v>53679213</v>
      </c>
      <c r="AB142" s="44"/>
      <c r="AC142" s="44">
        <f>+Y142+'Stmt of activities-GA rev'!AC142-'Stmt of activities-GAexp'!W142-AA142</f>
        <v>0</v>
      </c>
    </row>
    <row r="143" spans="1:34" s="47" customFormat="1" ht="12.75" customHeight="1">
      <c r="A143" s="47" t="s">
        <v>169</v>
      </c>
      <c r="B143" s="51"/>
      <c r="C143" s="47" t="s">
        <v>103</v>
      </c>
      <c r="E143" s="44">
        <v>24249706</v>
      </c>
      <c r="F143" s="44"/>
      <c r="G143" s="44">
        <v>1094605</v>
      </c>
      <c r="H143" s="44"/>
      <c r="I143" s="44">
        <v>1149740</v>
      </c>
      <c r="J143" s="44"/>
      <c r="K143" s="44">
        <v>14620855</v>
      </c>
      <c r="L143" s="44"/>
      <c r="M143" s="44">
        <v>9509037</v>
      </c>
      <c r="N143" s="44"/>
      <c r="O143" s="44">
        <v>0</v>
      </c>
      <c r="P143" s="44"/>
      <c r="Q143" s="44">
        <v>6488900</v>
      </c>
      <c r="R143" s="44"/>
      <c r="S143" s="44">
        <v>0</v>
      </c>
      <c r="T143" s="44"/>
      <c r="U143" s="44">
        <v>1179241</v>
      </c>
      <c r="V143" s="44"/>
      <c r="W143" s="44">
        <f t="shared" si="3"/>
        <v>58292084</v>
      </c>
      <c r="X143" s="44"/>
      <c r="Y143" s="44">
        <v>100101607</v>
      </c>
      <c r="Z143" s="44"/>
      <c r="AA143" s="44">
        <f>+'Stmt net assets'!Y143</f>
        <v>101805953</v>
      </c>
      <c r="AB143" s="44"/>
      <c r="AC143" s="44">
        <f>+Y143+'Stmt of activities-GA rev'!AC143-'Stmt of activities-GAexp'!W143-AA143</f>
        <v>0</v>
      </c>
    </row>
    <row r="144" spans="1:34" s="47" customFormat="1" ht="12.75" customHeight="1">
      <c r="A144" s="47" t="s">
        <v>170</v>
      </c>
      <c r="B144" s="51"/>
      <c r="C144" s="47" t="s">
        <v>171</v>
      </c>
      <c r="E144" s="44">
        <v>3886711</v>
      </c>
      <c r="F144" s="44"/>
      <c r="G144" s="44">
        <v>629971</v>
      </c>
      <c r="H144" s="44"/>
      <c r="I144" s="44">
        <v>97115</v>
      </c>
      <c r="J144" s="44"/>
      <c r="K144" s="44">
        <v>0</v>
      </c>
      <c r="L144" s="44"/>
      <c r="M144" s="44">
        <v>700591</v>
      </c>
      <c r="N144" s="44"/>
      <c r="O144" s="44">
        <v>0</v>
      </c>
      <c r="P144" s="44"/>
      <c r="Q144" s="44">
        <v>1214359</v>
      </c>
      <c r="R144" s="44"/>
      <c r="S144" s="44">
        <v>0</v>
      </c>
      <c r="T144" s="44"/>
      <c r="U144" s="44">
        <v>186026</v>
      </c>
      <c r="V144" s="44"/>
      <c r="W144" s="44">
        <f t="shared" si="3"/>
        <v>6714773</v>
      </c>
      <c r="X144" s="44"/>
      <c r="Y144" s="44">
        <v>9487181</v>
      </c>
      <c r="Z144" s="44"/>
      <c r="AA144" s="44">
        <f>+'Stmt net assets'!Y144</f>
        <v>10610265</v>
      </c>
      <c r="AB144" s="44"/>
      <c r="AC144" s="44">
        <f>+Y144+'Stmt of activities-GA rev'!AC144-'Stmt of activities-GAexp'!W144-AA144</f>
        <v>0</v>
      </c>
    </row>
    <row r="145" spans="1:29" s="47" customFormat="1" ht="12.75" customHeight="1">
      <c r="A145" s="47" t="s">
        <v>172</v>
      </c>
      <c r="B145" s="51"/>
      <c r="C145" s="47" t="s">
        <v>103</v>
      </c>
      <c r="E145" s="44">
        <v>6668355</v>
      </c>
      <c r="F145" s="44"/>
      <c r="G145" s="44">
        <v>57690</v>
      </c>
      <c r="H145" s="44"/>
      <c r="I145" s="44">
        <v>243408</v>
      </c>
      <c r="J145" s="44"/>
      <c r="K145" s="44">
        <v>0</v>
      </c>
      <c r="L145" s="44"/>
      <c r="M145" s="44">
        <v>2109427</v>
      </c>
      <c r="N145" s="44"/>
      <c r="O145" s="44">
        <v>0</v>
      </c>
      <c r="P145" s="44"/>
      <c r="Q145" s="44">
        <v>3594174</v>
      </c>
      <c r="R145" s="44"/>
      <c r="S145" s="44">
        <v>0</v>
      </c>
      <c r="T145" s="44"/>
      <c r="U145" s="44">
        <v>710498</v>
      </c>
      <c r="V145" s="44"/>
      <c r="W145" s="44">
        <f t="shared" si="3"/>
        <v>13383552</v>
      </c>
      <c r="X145" s="44"/>
      <c r="Y145" s="44">
        <v>68356370</v>
      </c>
      <c r="Z145" s="44"/>
      <c r="AA145" s="44">
        <f>+'Stmt net assets'!Y145</f>
        <v>72280184</v>
      </c>
      <c r="AB145" s="44"/>
      <c r="AC145" s="44">
        <f>+Y145+'Stmt of activities-GA rev'!AC145-'Stmt of activities-GAexp'!W145-AA145</f>
        <v>0</v>
      </c>
    </row>
    <row r="146" spans="1:29" s="47" customFormat="1" ht="12.75" customHeight="1">
      <c r="A146" s="47" t="s">
        <v>66</v>
      </c>
      <c r="B146" s="51"/>
      <c r="C146" s="47" t="s">
        <v>45</v>
      </c>
      <c r="E146" s="44">
        <v>6024612</v>
      </c>
      <c r="F146" s="44"/>
      <c r="G146" s="44">
        <v>0</v>
      </c>
      <c r="H146" s="44"/>
      <c r="I146" s="44">
        <v>1399365</v>
      </c>
      <c r="J146" s="44"/>
      <c r="K146" s="44">
        <v>453272</v>
      </c>
      <c r="L146" s="44"/>
      <c r="M146" s="44">
        <v>0</v>
      </c>
      <c r="N146" s="44"/>
      <c r="O146" s="44">
        <v>2883791</v>
      </c>
      <c r="P146" s="44"/>
      <c r="Q146" s="44">
        <v>3973811</v>
      </c>
      <c r="R146" s="44"/>
      <c r="S146" s="44">
        <v>0</v>
      </c>
      <c r="T146" s="44"/>
      <c r="U146" s="44">
        <v>204343</v>
      </c>
      <c r="V146" s="44"/>
      <c r="W146" s="44">
        <f t="shared" si="3"/>
        <v>14939194</v>
      </c>
      <c r="X146" s="44"/>
      <c r="Y146" s="44">
        <v>63267765</v>
      </c>
      <c r="Z146" s="44"/>
      <c r="AA146" s="44">
        <f>+'Stmt net assets'!Y146</f>
        <v>64813334</v>
      </c>
      <c r="AB146" s="44"/>
      <c r="AC146" s="44">
        <f>+Y146+'Stmt of activities-GA rev'!AC146-'Stmt of activities-GAexp'!W146-AA146</f>
        <v>0</v>
      </c>
    </row>
    <row r="147" spans="1:29" s="47" customFormat="1" ht="12.75" customHeight="1">
      <c r="A147" s="47" t="s">
        <v>173</v>
      </c>
      <c r="B147" s="51"/>
      <c r="C147" s="47" t="s">
        <v>66</v>
      </c>
      <c r="E147" s="44">
        <v>9455865</v>
      </c>
      <c r="F147" s="44"/>
      <c r="G147" s="44">
        <v>92683</v>
      </c>
      <c r="H147" s="44"/>
      <c r="I147" s="44">
        <v>2312009</v>
      </c>
      <c r="J147" s="44"/>
      <c r="K147" s="44">
        <v>934969</v>
      </c>
      <c r="L147" s="44"/>
      <c r="M147" s="44">
        <v>879200</v>
      </c>
      <c r="N147" s="44"/>
      <c r="O147" s="44">
        <v>349185</v>
      </c>
      <c r="P147" s="44"/>
      <c r="Q147" s="44">
        <v>4523502</v>
      </c>
      <c r="R147" s="44"/>
      <c r="S147" s="44">
        <v>0</v>
      </c>
      <c r="T147" s="44"/>
      <c r="U147" s="44">
        <v>290573</v>
      </c>
      <c r="V147" s="44"/>
      <c r="W147" s="44">
        <f t="shared" si="3"/>
        <v>18837986</v>
      </c>
      <c r="X147" s="44"/>
      <c r="Y147" s="44">
        <v>48339744</v>
      </c>
      <c r="Z147" s="44"/>
      <c r="AA147" s="44">
        <f>+'Stmt net assets'!Y147</f>
        <v>48156245</v>
      </c>
      <c r="AB147" s="44"/>
      <c r="AC147" s="44">
        <f>+Y147+'Stmt of activities-GA rev'!AC147-'Stmt of activities-GAexp'!W147-AA147</f>
        <v>0</v>
      </c>
    </row>
    <row r="148" spans="1:29" s="47" customFormat="1" ht="12.75" customHeight="1">
      <c r="A148" s="47" t="s">
        <v>174</v>
      </c>
      <c r="B148" s="51"/>
      <c r="C148" s="47" t="s">
        <v>45</v>
      </c>
      <c r="E148" s="44">
        <v>1840153</v>
      </c>
      <c r="F148" s="44"/>
      <c r="G148" s="44">
        <v>415220</v>
      </c>
      <c r="H148" s="44"/>
      <c r="I148" s="44">
        <v>205112</v>
      </c>
      <c r="J148" s="44"/>
      <c r="K148" s="44">
        <v>269812</v>
      </c>
      <c r="L148" s="44"/>
      <c r="M148" s="44">
        <v>784483</v>
      </c>
      <c r="N148" s="44"/>
      <c r="O148" s="44">
        <v>0</v>
      </c>
      <c r="P148" s="44"/>
      <c r="Q148" s="44">
        <v>656370</v>
      </c>
      <c r="R148" s="44"/>
      <c r="S148" s="44">
        <v>0</v>
      </c>
      <c r="T148" s="44"/>
      <c r="U148" s="44">
        <v>86336</v>
      </c>
      <c r="V148" s="44"/>
      <c r="W148" s="44">
        <f t="shared" si="3"/>
        <v>4257486</v>
      </c>
      <c r="X148" s="44"/>
      <c r="Y148" s="44">
        <v>2762892</v>
      </c>
      <c r="Z148" s="44"/>
      <c r="AA148" s="44">
        <f>+'Stmt net assets'!Y148</f>
        <v>3302542</v>
      </c>
      <c r="AB148" s="44"/>
      <c r="AC148" s="44">
        <f>+Y148+'Stmt of activities-GA rev'!AC148-'Stmt of activities-GAexp'!W148-AA148</f>
        <v>0</v>
      </c>
    </row>
    <row r="149" spans="1:29" s="47" customFormat="1" ht="12.75" customHeight="1">
      <c r="A149" s="47" t="s">
        <v>175</v>
      </c>
      <c r="B149" s="51"/>
      <c r="C149" s="47" t="s">
        <v>176</v>
      </c>
      <c r="E149" s="44">
        <v>6257913</v>
      </c>
      <c r="F149" s="44"/>
      <c r="G149" s="44">
        <v>769637</v>
      </c>
      <c r="H149" s="44"/>
      <c r="I149" s="44">
        <v>881252</v>
      </c>
      <c r="J149" s="44"/>
      <c r="K149" s="44">
        <v>293474</v>
      </c>
      <c r="L149" s="44"/>
      <c r="M149" s="44">
        <v>2898557</v>
      </c>
      <c r="N149" s="44"/>
      <c r="O149" s="44">
        <v>0</v>
      </c>
      <c r="P149" s="44"/>
      <c r="Q149" s="44">
        <v>4685914</v>
      </c>
      <c r="R149" s="44"/>
      <c r="S149" s="44">
        <v>0</v>
      </c>
      <c r="T149" s="44"/>
      <c r="U149" s="44">
        <v>321941</v>
      </c>
      <c r="V149" s="44"/>
      <c r="W149" s="44">
        <f t="shared" si="3"/>
        <v>16108688</v>
      </c>
      <c r="X149" s="44"/>
      <c r="Y149" s="44">
        <v>48781525</v>
      </c>
      <c r="Z149" s="44"/>
      <c r="AA149" s="44">
        <f>+'Stmt net assets'!Y149</f>
        <v>51092719</v>
      </c>
      <c r="AB149" s="44"/>
      <c r="AC149" s="44">
        <f>+Y149+'Stmt of activities-GA rev'!AC149-'Stmt of activities-GAexp'!W149-AA149</f>
        <v>0</v>
      </c>
    </row>
    <row r="150" spans="1:29" s="47" customFormat="1" ht="12.75" customHeight="1">
      <c r="A150" s="47" t="s">
        <v>177</v>
      </c>
      <c r="B150" s="51"/>
      <c r="C150" s="47" t="s">
        <v>13</v>
      </c>
      <c r="E150" s="44">
        <v>1709407</v>
      </c>
      <c r="F150" s="44"/>
      <c r="G150" s="44">
        <v>40331</v>
      </c>
      <c r="H150" s="44"/>
      <c r="I150" s="44">
        <v>43096</v>
      </c>
      <c r="J150" s="44"/>
      <c r="K150" s="44">
        <v>0</v>
      </c>
      <c r="L150" s="44"/>
      <c r="M150" s="44">
        <v>398172</v>
      </c>
      <c r="N150" s="44"/>
      <c r="O150" s="44">
        <v>0</v>
      </c>
      <c r="P150" s="44"/>
      <c r="Q150" s="44">
        <v>669115</v>
      </c>
      <c r="R150" s="44"/>
      <c r="S150" s="44">
        <v>0</v>
      </c>
      <c r="T150" s="44"/>
      <c r="U150" s="44">
        <v>99538</v>
      </c>
      <c r="V150" s="44"/>
      <c r="W150" s="44">
        <f t="shared" si="3"/>
        <v>2959659</v>
      </c>
      <c r="X150" s="44"/>
      <c r="Y150" s="44">
        <v>8967783</v>
      </c>
      <c r="Z150" s="44"/>
      <c r="AA150" s="44">
        <f>+'Stmt net assets'!Y150</f>
        <v>9093887</v>
      </c>
      <c r="AB150" s="44"/>
      <c r="AC150" s="44">
        <f>+Y150+'Stmt of activities-GA rev'!AC150-'Stmt of activities-GAexp'!W150-AA150</f>
        <v>0</v>
      </c>
    </row>
    <row r="151" spans="1:29" s="47" customFormat="1" ht="12.75" customHeight="1">
      <c r="A151" s="47" t="s">
        <v>178</v>
      </c>
      <c r="B151" s="51"/>
      <c r="C151" s="47" t="s">
        <v>179</v>
      </c>
      <c r="E151" s="44">
        <v>3099089</v>
      </c>
      <c r="F151" s="44"/>
      <c r="G151" s="44">
        <v>103153</v>
      </c>
      <c r="H151" s="44"/>
      <c r="I151" s="44">
        <v>899442</v>
      </c>
      <c r="J151" s="44"/>
      <c r="K151" s="44">
        <v>757040</v>
      </c>
      <c r="L151" s="44"/>
      <c r="M151" s="44">
        <v>1705223</v>
      </c>
      <c r="N151" s="44"/>
      <c r="O151" s="44">
        <v>0</v>
      </c>
      <c r="P151" s="44"/>
      <c r="Q151" s="44">
        <v>991969</v>
      </c>
      <c r="R151" s="44"/>
      <c r="S151" s="44">
        <v>0</v>
      </c>
      <c r="T151" s="44"/>
      <c r="U151" s="44">
        <v>77480</v>
      </c>
      <c r="V151" s="44"/>
      <c r="W151" s="44">
        <f t="shared" si="3"/>
        <v>7633396</v>
      </c>
      <c r="X151" s="44"/>
      <c r="Y151" s="44">
        <v>34764783</v>
      </c>
      <c r="Z151" s="44"/>
      <c r="AA151" s="44">
        <f>+'Stmt net assets'!Y151</f>
        <v>35800043</v>
      </c>
      <c r="AB151" s="44"/>
      <c r="AC151" s="44">
        <f>+Y151+'Stmt of activities-GA rev'!AC151-'Stmt of activities-GAexp'!W151-AA151</f>
        <v>0</v>
      </c>
    </row>
    <row r="152" spans="1:29" s="47" customFormat="1" ht="12.75" customHeight="1">
      <c r="A152" s="47" t="s">
        <v>180</v>
      </c>
      <c r="B152" s="51"/>
      <c r="C152" s="47" t="s">
        <v>20</v>
      </c>
      <c r="E152" s="44">
        <f>780556+469677</f>
        <v>1250233</v>
      </c>
      <c r="F152" s="44"/>
      <c r="G152" s="44">
        <v>0</v>
      </c>
      <c r="H152" s="44"/>
      <c r="I152" s="44">
        <v>248756</v>
      </c>
      <c r="J152" s="44"/>
      <c r="K152" s="44">
        <v>317838</v>
      </c>
      <c r="L152" s="44"/>
      <c r="M152" s="44">
        <v>941564</v>
      </c>
      <c r="N152" s="44"/>
      <c r="O152" s="44">
        <v>0</v>
      </c>
      <c r="P152" s="44"/>
      <c r="Q152" s="44">
        <v>529359</v>
      </c>
      <c r="R152" s="44"/>
      <c r="S152" s="44">
        <v>0</v>
      </c>
      <c r="T152" s="44"/>
      <c r="U152" s="44">
        <v>37717</v>
      </c>
      <c r="V152" s="44"/>
      <c r="W152" s="44">
        <f t="shared" si="3"/>
        <v>3325467</v>
      </c>
      <c r="X152" s="44"/>
      <c r="Y152" s="44">
        <v>14066211</v>
      </c>
      <c r="Z152" s="44"/>
      <c r="AA152" s="44">
        <f>+'Stmt net assets'!Y152</f>
        <v>14526471</v>
      </c>
      <c r="AB152" s="44"/>
      <c r="AC152" s="44">
        <f>+Y152+'Stmt of activities-GA rev'!AC152-'Stmt of activities-GAexp'!W152-AA152</f>
        <v>0</v>
      </c>
    </row>
    <row r="153" spans="1:29" s="47" customFormat="1" ht="12.75" customHeight="1">
      <c r="A153" s="47" t="s">
        <v>182</v>
      </c>
      <c r="B153" s="51"/>
      <c r="C153" s="47" t="s">
        <v>183</v>
      </c>
      <c r="E153" s="44">
        <v>647715</v>
      </c>
      <c r="F153" s="44"/>
      <c r="G153" s="44">
        <v>758905</v>
      </c>
      <c r="H153" s="44"/>
      <c r="I153" s="44">
        <v>57047</v>
      </c>
      <c r="J153" s="44"/>
      <c r="K153" s="44">
        <v>14211</v>
      </c>
      <c r="L153" s="44"/>
      <c r="M153" s="44">
        <v>240019</v>
      </c>
      <c r="N153" s="44"/>
      <c r="O153" s="44">
        <v>0</v>
      </c>
      <c r="P153" s="44"/>
      <c r="Q153" s="44">
        <v>737385</v>
      </c>
      <c r="R153" s="44"/>
      <c r="S153" s="44">
        <v>0</v>
      </c>
      <c r="T153" s="44"/>
      <c r="U153" s="44">
        <v>152567</v>
      </c>
      <c r="V153" s="44"/>
      <c r="W153" s="44">
        <f t="shared" si="3"/>
        <v>2607849</v>
      </c>
      <c r="X153" s="44"/>
      <c r="Y153" s="44">
        <v>3620757</v>
      </c>
      <c r="Z153" s="44"/>
      <c r="AA153" s="44">
        <f>+'Stmt net assets'!Y153</f>
        <v>4448367</v>
      </c>
      <c r="AB153" s="44"/>
      <c r="AC153" s="44">
        <f>+Y153+'Stmt of activities-GA rev'!AC153-'Stmt of activities-GAexp'!W153-AA153</f>
        <v>0</v>
      </c>
    </row>
    <row r="154" spans="1:29" s="47" customFormat="1" ht="12.75" customHeight="1">
      <c r="A154" s="47" t="s">
        <v>487</v>
      </c>
      <c r="B154" s="51"/>
      <c r="C154" s="47" t="s">
        <v>13</v>
      </c>
      <c r="E154" s="44">
        <v>3711431</v>
      </c>
      <c r="F154" s="44"/>
      <c r="G154" s="44">
        <v>130188</v>
      </c>
      <c r="H154" s="44"/>
      <c r="I154" s="44">
        <v>66027</v>
      </c>
      <c r="J154" s="44"/>
      <c r="K154" s="44">
        <v>124367</v>
      </c>
      <c r="L154" s="44"/>
      <c r="M154" s="44">
        <v>1072518</v>
      </c>
      <c r="N154" s="44"/>
      <c r="O154" s="44">
        <v>0</v>
      </c>
      <c r="P154" s="44"/>
      <c r="Q154" s="44">
        <v>1188857</v>
      </c>
      <c r="R154" s="44"/>
      <c r="S154" s="44">
        <v>0</v>
      </c>
      <c r="T154" s="44"/>
      <c r="U154" s="44">
        <v>2861</v>
      </c>
      <c r="V154" s="44"/>
      <c r="W154" s="44">
        <f t="shared" si="3"/>
        <v>6296249</v>
      </c>
      <c r="X154" s="44"/>
      <c r="Y154" s="44">
        <v>7350132</v>
      </c>
      <c r="Z154" s="44"/>
      <c r="AA154" s="44">
        <f>+'Stmt net assets'!Y154</f>
        <v>8110052</v>
      </c>
      <c r="AB154" s="44"/>
      <c r="AC154" s="44">
        <f>+Y154+'Stmt of activities-GA rev'!AC154-'Stmt of activities-GAexp'!W154-AA154</f>
        <v>0</v>
      </c>
    </row>
    <row r="155" spans="1:29" s="47" customFormat="1" ht="12.75" customHeight="1">
      <c r="A155" s="47" t="s">
        <v>184</v>
      </c>
      <c r="B155" s="51"/>
      <c r="C155" s="47" t="s">
        <v>89</v>
      </c>
      <c r="E155" s="44">
        <v>4765285</v>
      </c>
      <c r="F155" s="44"/>
      <c r="G155" s="44">
        <v>711938</v>
      </c>
      <c r="H155" s="44"/>
      <c r="I155" s="44">
        <v>1059786</v>
      </c>
      <c r="J155" s="44"/>
      <c r="K155" s="44">
        <v>499100</v>
      </c>
      <c r="L155" s="44"/>
      <c r="M155" s="44">
        <v>2537816</v>
      </c>
      <c r="N155" s="44"/>
      <c r="O155" s="44">
        <v>0</v>
      </c>
      <c r="P155" s="44"/>
      <c r="Q155" s="44">
        <v>3424817</v>
      </c>
      <c r="R155" s="44"/>
      <c r="S155" s="44">
        <v>0</v>
      </c>
      <c r="T155" s="44"/>
      <c r="U155" s="44">
        <v>100968</v>
      </c>
      <c r="V155" s="44"/>
      <c r="W155" s="44">
        <f t="shared" si="3"/>
        <v>13099710</v>
      </c>
      <c r="X155" s="44"/>
      <c r="Y155" s="44">
        <v>31671143</v>
      </c>
      <c r="Z155" s="44"/>
      <c r="AA155" s="44">
        <f>+'Stmt net assets'!Y155</f>
        <v>31023164</v>
      </c>
      <c r="AB155" s="44"/>
      <c r="AC155" s="44">
        <f>+Y155+'Stmt of activities-GA rev'!AC155-'Stmt of activities-GAexp'!W155-AA155</f>
        <v>0</v>
      </c>
    </row>
    <row r="156" spans="1:29" s="47" customFormat="1" ht="12.75" customHeight="1">
      <c r="A156" s="47" t="s">
        <v>181</v>
      </c>
      <c r="B156" s="51"/>
      <c r="C156" s="47" t="s">
        <v>125</v>
      </c>
      <c r="E156" s="44">
        <v>18993822</v>
      </c>
      <c r="F156" s="44"/>
      <c r="G156" s="44">
        <v>10329</v>
      </c>
      <c r="H156" s="44"/>
      <c r="I156" s="44">
        <v>52511</v>
      </c>
      <c r="J156" s="44"/>
      <c r="K156" s="44">
        <v>2984886</v>
      </c>
      <c r="L156" s="44"/>
      <c r="M156" s="44">
        <v>6762557</v>
      </c>
      <c r="N156" s="44"/>
      <c r="O156" s="44">
        <v>0</v>
      </c>
      <c r="P156" s="44"/>
      <c r="Q156" s="44">
        <v>11046798</v>
      </c>
      <c r="R156" s="44"/>
      <c r="S156" s="44">
        <v>0</v>
      </c>
      <c r="T156" s="44"/>
      <c r="U156" s="44">
        <v>760156</v>
      </c>
      <c r="V156" s="44"/>
      <c r="W156" s="44">
        <f t="shared" si="3"/>
        <v>40611059</v>
      </c>
      <c r="X156" s="44"/>
      <c r="Y156" s="44">
        <v>57956705</v>
      </c>
      <c r="Z156" s="44"/>
      <c r="AA156" s="44">
        <f>+'Stmt net assets'!Y156</f>
        <v>57132194</v>
      </c>
      <c r="AB156" s="44"/>
      <c r="AC156" s="44">
        <f>+Y156+'Stmt of activities-GA rev'!AC156-'Stmt of activities-GAexp'!W156-AA156</f>
        <v>0</v>
      </c>
    </row>
    <row r="157" spans="1:29" s="47" customFormat="1" ht="12.75" customHeight="1">
      <c r="A157" s="47" t="s">
        <v>185</v>
      </c>
      <c r="B157" s="51"/>
      <c r="C157" s="47" t="s">
        <v>80</v>
      </c>
      <c r="E157" s="44">
        <v>8014315</v>
      </c>
      <c r="F157" s="44"/>
      <c r="G157" s="44">
        <v>648686</v>
      </c>
      <c r="H157" s="44"/>
      <c r="I157" s="44">
        <v>525349</v>
      </c>
      <c r="J157" s="44"/>
      <c r="K157" s="44">
        <v>661801</v>
      </c>
      <c r="L157" s="44"/>
      <c r="M157" s="44">
        <v>1370585</v>
      </c>
      <c r="N157" s="44"/>
      <c r="O157" s="44">
        <v>0</v>
      </c>
      <c r="P157" s="44"/>
      <c r="Q157" s="44">
        <v>1949804</v>
      </c>
      <c r="R157" s="44"/>
      <c r="S157" s="44">
        <v>189075</v>
      </c>
      <c r="T157" s="44"/>
      <c r="U157" s="44">
        <v>137368</v>
      </c>
      <c r="V157" s="44"/>
      <c r="W157" s="44">
        <f t="shared" si="3"/>
        <v>13496983</v>
      </c>
      <c r="X157" s="44"/>
      <c r="Y157" s="44">
        <v>29051997</v>
      </c>
      <c r="Z157" s="44"/>
      <c r="AA157" s="44">
        <f>+'Stmt net assets'!Y157</f>
        <v>27758887</v>
      </c>
      <c r="AB157" s="44"/>
      <c r="AC157" s="44">
        <f>+Y157+'Stmt of activities-GA rev'!AC157-'Stmt of activities-GAexp'!W157-AA157</f>
        <v>0</v>
      </c>
    </row>
    <row r="158" spans="1:29" s="47" customFormat="1" ht="12.75" customHeight="1">
      <c r="A158" s="44" t="s">
        <v>186</v>
      </c>
      <c r="B158" s="44"/>
      <c r="C158" s="44" t="s">
        <v>15</v>
      </c>
      <c r="D158" s="44"/>
      <c r="E158" s="44">
        <f>3271884+750783</f>
        <v>4022667</v>
      </c>
      <c r="F158" s="44"/>
      <c r="G158" s="44">
        <v>1567495</v>
      </c>
      <c r="H158" s="44"/>
      <c r="I158" s="44">
        <v>909636</v>
      </c>
      <c r="J158" s="44"/>
      <c r="K158" s="44">
        <f>503388+4100754</f>
        <v>4604142</v>
      </c>
      <c r="L158" s="44"/>
      <c r="M158" s="44">
        <v>2629812</v>
      </c>
      <c r="N158" s="44"/>
      <c r="O158" s="44">
        <v>401269</v>
      </c>
      <c r="P158" s="44"/>
      <c r="Q158" s="44">
        <v>2154096</v>
      </c>
      <c r="R158" s="44"/>
      <c r="S158" s="44">
        <v>0</v>
      </c>
      <c r="T158" s="44"/>
      <c r="U158" s="44">
        <v>22707</v>
      </c>
      <c r="V158" s="44"/>
      <c r="W158" s="44">
        <f t="shared" si="3"/>
        <v>16311824</v>
      </c>
      <c r="X158" s="44"/>
      <c r="Y158" s="44">
        <v>34264735</v>
      </c>
      <c r="Z158" s="44"/>
      <c r="AA158" s="44">
        <f>+'Stmt net assets'!Y158</f>
        <v>33605686</v>
      </c>
      <c r="AB158" s="44"/>
      <c r="AC158" s="44">
        <f>+Y158+'Stmt of activities-GA rev'!AC158-'Stmt of activities-GAexp'!W158-AA158</f>
        <v>0</v>
      </c>
    </row>
    <row r="159" spans="1:29" s="44" customFormat="1" ht="12.75" customHeight="1">
      <c r="A159" s="44" t="s">
        <v>187</v>
      </c>
      <c r="B159" s="65"/>
      <c r="C159" s="44" t="s">
        <v>27</v>
      </c>
      <c r="E159" s="44">
        <v>12806773</v>
      </c>
      <c r="G159" s="44">
        <v>536943</v>
      </c>
      <c r="I159" s="44">
        <v>2493927</v>
      </c>
      <c r="K159" s="44">
        <v>548066</v>
      </c>
      <c r="M159" s="44">
        <v>9493814</v>
      </c>
      <c r="O159" s="44">
        <v>2111966</v>
      </c>
      <c r="Q159" s="44">
        <v>3900267</v>
      </c>
      <c r="S159" s="44">
        <v>0</v>
      </c>
      <c r="U159" s="44">
        <v>1754255</v>
      </c>
      <c r="W159" s="44">
        <f t="shared" si="3"/>
        <v>33646011</v>
      </c>
      <c r="Y159" s="44">
        <v>46591142</v>
      </c>
      <c r="AA159" s="44">
        <f>+'Stmt net assets'!Y159</f>
        <v>46066334</v>
      </c>
      <c r="AC159" s="44">
        <f>+Y159+'Stmt of activities-GA rev'!AC159-'Stmt of activities-GAexp'!W159-AA159</f>
        <v>0</v>
      </c>
    </row>
    <row r="160" spans="1:29" s="47" customFormat="1" ht="12.75" customHeight="1">
      <c r="A160" s="47" t="s">
        <v>189</v>
      </c>
      <c r="B160" s="51"/>
      <c r="C160" s="47" t="s">
        <v>17</v>
      </c>
      <c r="E160" s="44">
        <v>10642211</v>
      </c>
      <c r="F160" s="44"/>
      <c r="G160" s="44">
        <v>438424</v>
      </c>
      <c r="H160" s="44"/>
      <c r="I160" s="44">
        <v>426346</v>
      </c>
      <c r="J160" s="44"/>
      <c r="K160" s="44">
        <v>1461279</v>
      </c>
      <c r="L160" s="44"/>
      <c r="M160" s="44">
        <v>6372633</v>
      </c>
      <c r="N160" s="44"/>
      <c r="O160" s="44">
        <v>0</v>
      </c>
      <c r="P160" s="44"/>
      <c r="Q160" s="44">
        <v>6259737</v>
      </c>
      <c r="R160" s="44"/>
      <c r="S160" s="44">
        <v>0</v>
      </c>
      <c r="T160" s="44"/>
      <c r="U160" s="44">
        <v>321447</v>
      </c>
      <c r="V160" s="44"/>
      <c r="W160" s="44">
        <f t="shared" si="3"/>
        <v>25922077</v>
      </c>
      <c r="X160" s="44"/>
      <c r="Y160" s="44">
        <v>69076610</v>
      </c>
      <c r="Z160" s="44"/>
      <c r="AA160" s="44">
        <f>+'Stmt net assets'!Y160</f>
        <v>67015784</v>
      </c>
      <c r="AB160" s="44"/>
      <c r="AC160" s="44">
        <f>+Y160+'Stmt of activities-GA rev'!AC160-'Stmt of activities-GAexp'!W160-AA160</f>
        <v>0</v>
      </c>
    </row>
    <row r="161" spans="1:30" s="47" customFormat="1" ht="12.75" customHeight="1">
      <c r="A161" s="47" t="s">
        <v>188</v>
      </c>
      <c r="B161" s="51"/>
      <c r="C161" s="47" t="s">
        <v>27</v>
      </c>
      <c r="E161" s="44">
        <v>12181204</v>
      </c>
      <c r="F161" s="44"/>
      <c r="G161" s="44">
        <v>454881</v>
      </c>
      <c r="H161" s="44"/>
      <c r="I161" s="44">
        <v>659486</v>
      </c>
      <c r="J161" s="44"/>
      <c r="K161" s="44">
        <v>821666</v>
      </c>
      <c r="L161" s="44"/>
      <c r="M161" s="44">
        <v>5103424</v>
      </c>
      <c r="N161" s="44"/>
      <c r="O161" s="44">
        <v>2786680</v>
      </c>
      <c r="P161" s="44"/>
      <c r="Q161" s="44">
        <v>3300296</v>
      </c>
      <c r="R161" s="44"/>
      <c r="S161" s="44">
        <v>0</v>
      </c>
      <c r="T161" s="44"/>
      <c r="U161" s="44">
        <v>769382</v>
      </c>
      <c r="V161" s="44"/>
      <c r="W161" s="44">
        <f t="shared" si="3"/>
        <v>26077019</v>
      </c>
      <c r="X161" s="44"/>
      <c r="Y161" s="44">
        <v>112673376</v>
      </c>
      <c r="Z161" s="44"/>
      <c r="AA161" s="44">
        <f>+'Stmt net assets'!Y161</f>
        <v>108617779</v>
      </c>
      <c r="AB161" s="44"/>
      <c r="AC161" s="44">
        <f>+Y161+'Stmt of activities-GA rev'!AC161-'Stmt of activities-GAexp'!W161-AA161</f>
        <v>0</v>
      </c>
    </row>
    <row r="162" spans="1:30" s="47" customFormat="1" ht="12.75" customHeight="1">
      <c r="A162" s="47" t="s">
        <v>190</v>
      </c>
      <c r="B162" s="51"/>
      <c r="C162" s="47" t="s">
        <v>47</v>
      </c>
      <c r="E162" s="44">
        <v>2933171</v>
      </c>
      <c r="F162" s="44"/>
      <c r="G162" s="44">
        <v>8975</v>
      </c>
      <c r="H162" s="44"/>
      <c r="I162" s="44">
        <v>68744</v>
      </c>
      <c r="J162" s="44"/>
      <c r="K162" s="44">
        <v>345967</v>
      </c>
      <c r="L162" s="44"/>
      <c r="M162" s="44">
        <v>652731</v>
      </c>
      <c r="N162" s="44"/>
      <c r="O162" s="44">
        <v>530276</v>
      </c>
      <c r="P162" s="44"/>
      <c r="Q162" s="44">
        <v>1648872</v>
      </c>
      <c r="R162" s="44"/>
      <c r="S162" s="44">
        <v>0</v>
      </c>
      <c r="T162" s="44"/>
      <c r="U162" s="44">
        <v>36024</v>
      </c>
      <c r="V162" s="44"/>
      <c r="W162" s="44">
        <f t="shared" si="3"/>
        <v>6224760</v>
      </c>
      <c r="X162" s="44"/>
      <c r="Y162" s="44">
        <v>9436437</v>
      </c>
      <c r="Z162" s="44"/>
      <c r="AA162" s="44">
        <f>+'Stmt net assets'!Y162</f>
        <v>10414774</v>
      </c>
      <c r="AB162" s="44"/>
      <c r="AC162" s="44">
        <f>+Y162+'Stmt of activities-GA rev'!AC162-'Stmt of activities-GAexp'!W162-AA162</f>
        <v>0</v>
      </c>
    </row>
    <row r="163" spans="1:30" s="47" customFormat="1" ht="12.75" customHeight="1">
      <c r="A163" s="47" t="s">
        <v>191</v>
      </c>
      <c r="B163" s="51"/>
      <c r="C163" s="47" t="s">
        <v>13</v>
      </c>
      <c r="E163" s="44">
        <v>3663609</v>
      </c>
      <c r="F163" s="44"/>
      <c r="G163" s="44">
        <v>149466</v>
      </c>
      <c r="H163" s="44"/>
      <c r="I163" s="44">
        <v>130210</v>
      </c>
      <c r="J163" s="44"/>
      <c r="K163" s="44">
        <v>215613</v>
      </c>
      <c r="L163" s="44"/>
      <c r="M163" s="44">
        <v>1350060</v>
      </c>
      <c r="N163" s="44"/>
      <c r="O163" s="44">
        <v>0</v>
      </c>
      <c r="P163" s="44"/>
      <c r="Q163" s="44">
        <v>2125361</v>
      </c>
      <c r="R163" s="44"/>
      <c r="S163" s="44">
        <v>0</v>
      </c>
      <c r="T163" s="44"/>
      <c r="U163" s="44">
        <v>219038</v>
      </c>
      <c r="V163" s="44"/>
      <c r="W163" s="44">
        <f t="shared" si="3"/>
        <v>7853357</v>
      </c>
      <c r="X163" s="44"/>
      <c r="Y163" s="44">
        <v>17172800</v>
      </c>
      <c r="Z163" s="44"/>
      <c r="AA163" s="44">
        <f>+'Stmt net assets'!Y163</f>
        <v>19828700</v>
      </c>
      <c r="AB163" s="44"/>
      <c r="AC163" s="44">
        <f>+Y163+'Stmt of activities-GA rev'!AC163-'Stmt of activities-GAexp'!W163-AA163</f>
        <v>0</v>
      </c>
    </row>
    <row r="164" spans="1:30" s="47" customFormat="1" ht="12.75" customHeight="1">
      <c r="A164" s="47" t="s">
        <v>192</v>
      </c>
      <c r="B164" s="51"/>
      <c r="C164" s="47" t="s">
        <v>38</v>
      </c>
      <c r="E164" s="44">
        <v>5159409</v>
      </c>
      <c r="F164" s="44"/>
      <c r="G164" s="44">
        <v>161384</v>
      </c>
      <c r="H164" s="44"/>
      <c r="I164" s="44">
        <v>1830096</v>
      </c>
      <c r="J164" s="44"/>
      <c r="K164" s="44">
        <v>262036</v>
      </c>
      <c r="L164" s="44"/>
      <c r="M164" s="44">
        <v>1870618</v>
      </c>
      <c r="N164" s="44"/>
      <c r="O164" s="44">
        <v>0</v>
      </c>
      <c r="P164" s="44"/>
      <c r="Q164" s="44">
        <v>2394793</v>
      </c>
      <c r="R164" s="44"/>
      <c r="S164" s="44">
        <v>0</v>
      </c>
      <c r="T164" s="44"/>
      <c r="U164" s="44">
        <v>65735</v>
      </c>
      <c r="V164" s="44"/>
      <c r="W164" s="44">
        <f t="shared" si="3"/>
        <v>11744071</v>
      </c>
      <c r="X164" s="44"/>
      <c r="Y164" s="44">
        <v>29845627</v>
      </c>
      <c r="Z164" s="44"/>
      <c r="AA164" s="44">
        <f>+'Stmt net assets'!Y164</f>
        <v>28721299</v>
      </c>
      <c r="AB164" s="44"/>
      <c r="AC164" s="44">
        <f>+Y164+'Stmt of activities-GA rev'!AC164-'Stmt of activities-GAexp'!W164-AA164</f>
        <v>0</v>
      </c>
    </row>
    <row r="165" spans="1:30" s="47" customFormat="1" ht="12.75" customHeight="1">
      <c r="A165" s="47" t="s">
        <v>193</v>
      </c>
      <c r="B165" s="51"/>
      <c r="C165" s="47" t="s">
        <v>45</v>
      </c>
      <c r="E165" s="44">
        <f>7637444+7703754</f>
        <v>15341198</v>
      </c>
      <c r="F165" s="44"/>
      <c r="G165" s="44">
        <v>1031047</v>
      </c>
      <c r="H165" s="44"/>
      <c r="I165" s="44">
        <v>481943</v>
      </c>
      <c r="J165" s="44"/>
      <c r="K165" s="44">
        <v>97972</v>
      </c>
      <c r="L165" s="44"/>
      <c r="M165" s="44">
        <v>2291714</v>
      </c>
      <c r="N165" s="44"/>
      <c r="O165" s="44">
        <v>22445</v>
      </c>
      <c r="P165" s="44"/>
      <c r="Q165" s="44">
        <f>4340356+119359</f>
        <v>4459715</v>
      </c>
      <c r="R165" s="44"/>
      <c r="S165" s="44">
        <v>420765</v>
      </c>
      <c r="T165" s="44"/>
      <c r="U165" s="44">
        <f>1495152+210389</f>
        <v>1705541</v>
      </c>
      <c r="V165" s="44"/>
      <c r="W165" s="44">
        <f t="shared" si="3"/>
        <v>25852340</v>
      </c>
      <c r="X165" s="44"/>
      <c r="Y165" s="44">
        <v>5769410</v>
      </c>
      <c r="Z165" s="44"/>
      <c r="AA165" s="44">
        <f>+'Stmt net assets'!Y165</f>
        <v>4507881</v>
      </c>
      <c r="AB165" s="44"/>
      <c r="AC165" s="44">
        <f>+Y165+'Stmt of activities-GA rev'!AC165-'Stmt of activities-GAexp'!W165-AA165</f>
        <v>0</v>
      </c>
      <c r="AD165" s="65"/>
    </row>
    <row r="166" spans="1:30" s="47" customFormat="1" ht="12.75" customHeight="1">
      <c r="A166" s="47" t="s">
        <v>194</v>
      </c>
      <c r="B166" s="51"/>
      <c r="C166" s="47" t="s">
        <v>66</v>
      </c>
      <c r="E166" s="44">
        <v>5543369</v>
      </c>
      <c r="F166" s="44"/>
      <c r="G166" s="44">
        <v>125768</v>
      </c>
      <c r="H166" s="44"/>
      <c r="I166" s="44">
        <v>1194241</v>
      </c>
      <c r="J166" s="44"/>
      <c r="K166" s="44">
        <v>2038942</v>
      </c>
      <c r="L166" s="44"/>
      <c r="M166" s="44">
        <v>1046669</v>
      </c>
      <c r="N166" s="44"/>
      <c r="O166" s="44">
        <v>1083936</v>
      </c>
      <c r="P166" s="44"/>
      <c r="Q166" s="44">
        <v>3049488</v>
      </c>
      <c r="R166" s="44"/>
      <c r="S166" s="44">
        <v>0</v>
      </c>
      <c r="T166" s="44"/>
      <c r="U166" s="44">
        <v>83098</v>
      </c>
      <c r="V166" s="44"/>
      <c r="W166" s="44">
        <f t="shared" si="3"/>
        <v>14165511</v>
      </c>
      <c r="X166" s="44"/>
      <c r="Y166" s="44">
        <v>54368418</v>
      </c>
      <c r="Z166" s="44"/>
      <c r="AA166" s="44">
        <f>+'Stmt net assets'!Y166</f>
        <v>54221866</v>
      </c>
      <c r="AB166" s="44"/>
      <c r="AC166" s="44">
        <f>+Y166+'Stmt of activities-GA rev'!AC166-'Stmt of activities-GAexp'!W166-AA166</f>
        <v>0</v>
      </c>
    </row>
    <row r="167" spans="1:30" s="47" customFormat="1" ht="12.75" customHeight="1">
      <c r="A167" s="47" t="s">
        <v>195</v>
      </c>
      <c r="B167" s="51"/>
      <c r="C167" s="47" t="s">
        <v>17</v>
      </c>
      <c r="E167" s="44">
        <v>3287438</v>
      </c>
      <c r="F167" s="44"/>
      <c r="G167" s="44">
        <v>35993</v>
      </c>
      <c r="H167" s="44"/>
      <c r="I167" s="44">
        <v>761674</v>
      </c>
      <c r="J167" s="44"/>
      <c r="K167" s="44">
        <v>1007452</v>
      </c>
      <c r="L167" s="44"/>
      <c r="M167" s="44">
        <v>2654260</v>
      </c>
      <c r="N167" s="44"/>
      <c r="O167" s="44">
        <v>161023</v>
      </c>
      <c r="P167" s="44"/>
      <c r="Q167" s="44">
        <v>3492831</v>
      </c>
      <c r="R167" s="44"/>
      <c r="S167" s="44">
        <v>0</v>
      </c>
      <c r="T167" s="44"/>
      <c r="U167" s="44">
        <v>229910</v>
      </c>
      <c r="V167" s="44"/>
      <c r="W167" s="44">
        <f t="shared" si="3"/>
        <v>11630581</v>
      </c>
      <c r="X167" s="44"/>
      <c r="Y167" s="44">
        <v>38421471</v>
      </c>
      <c r="Z167" s="44"/>
      <c r="AA167" s="44">
        <f>+'Stmt net assets'!Y168</f>
        <v>38644682</v>
      </c>
      <c r="AB167" s="44"/>
      <c r="AC167" s="44">
        <f>+Y167+'Stmt of activities-GA rev'!AC167-'Stmt of activities-GAexp'!W167-AA167</f>
        <v>0</v>
      </c>
    </row>
    <row r="168" spans="1:30" s="122" customFormat="1" ht="12.75" hidden="1" customHeight="1">
      <c r="A168" s="121" t="s">
        <v>196</v>
      </c>
      <c r="B168" s="124"/>
      <c r="C168" s="121" t="s">
        <v>27</v>
      </c>
      <c r="E168" s="44">
        <v>0</v>
      </c>
      <c r="F168" s="44"/>
      <c r="G168" s="44">
        <v>0</v>
      </c>
      <c r="H168" s="121"/>
      <c r="I168" s="44">
        <v>0</v>
      </c>
      <c r="J168" s="44"/>
      <c r="K168" s="44">
        <v>0</v>
      </c>
      <c r="L168" s="44"/>
      <c r="M168" s="44">
        <v>0</v>
      </c>
      <c r="N168" s="44"/>
      <c r="O168" s="44">
        <v>0</v>
      </c>
      <c r="P168" s="44"/>
      <c r="Q168" s="44">
        <v>0</v>
      </c>
      <c r="R168" s="44"/>
      <c r="S168" s="44">
        <v>0</v>
      </c>
      <c r="T168" s="44"/>
      <c r="U168" s="44">
        <v>0</v>
      </c>
      <c r="V168" s="44"/>
      <c r="W168" s="44">
        <f t="shared" si="3"/>
        <v>0</v>
      </c>
      <c r="X168" s="44"/>
      <c r="Y168" s="44">
        <v>0</v>
      </c>
      <c r="Z168" s="121"/>
      <c r="AA168" s="44">
        <f>+'Stmt net assets'!Y169</f>
        <v>0</v>
      </c>
      <c r="AB168" s="121"/>
      <c r="AC168" s="44">
        <f>+Y168+'Stmt of activities-GA rev'!AC168-'Stmt of activities-GAexp'!W168-AA168</f>
        <v>0</v>
      </c>
    </row>
    <row r="169" spans="1:30" s="47" customFormat="1" ht="12.75" customHeight="1">
      <c r="A169" s="44" t="s">
        <v>386</v>
      </c>
      <c r="B169" s="51"/>
      <c r="C169" s="44" t="s">
        <v>153</v>
      </c>
      <c r="E169" s="44">
        <v>2199732</v>
      </c>
      <c r="F169" s="44"/>
      <c r="G169" s="44">
        <v>3227</v>
      </c>
      <c r="H169" s="44"/>
      <c r="I169" s="44">
        <v>264907</v>
      </c>
      <c r="J169" s="44"/>
      <c r="K169" s="44">
        <v>31961</v>
      </c>
      <c r="L169" s="44"/>
      <c r="M169" s="44">
        <v>1889248</v>
      </c>
      <c r="N169" s="44"/>
      <c r="O169" s="44">
        <v>0</v>
      </c>
      <c r="P169" s="44"/>
      <c r="Q169" s="44">
        <v>1681724</v>
      </c>
      <c r="R169" s="44"/>
      <c r="S169" s="44">
        <v>0</v>
      </c>
      <c r="T169" s="44"/>
      <c r="U169" s="44">
        <v>7338</v>
      </c>
      <c r="V169" s="44"/>
      <c r="W169" s="44">
        <f t="shared" si="3"/>
        <v>6078137</v>
      </c>
      <c r="X169" s="44"/>
      <c r="Y169" s="44">
        <v>26348765</v>
      </c>
      <c r="Z169" s="44"/>
      <c r="AA169" s="44">
        <f>+'Stmt net assets'!Y170</f>
        <v>25530214</v>
      </c>
      <c r="AB169" s="44"/>
      <c r="AC169" s="44">
        <f>+Y169+'Stmt of activities-GA rev'!AC169-'Stmt of activities-GAexp'!W169-AA169</f>
        <v>0</v>
      </c>
    </row>
    <row r="170" spans="1:30" s="47" customFormat="1" ht="12.75" customHeight="1">
      <c r="A170" s="47" t="s">
        <v>197</v>
      </c>
      <c r="B170" s="51"/>
      <c r="C170" s="47" t="s">
        <v>163</v>
      </c>
      <c r="E170" s="44">
        <v>11051735</v>
      </c>
      <c r="F170" s="44"/>
      <c r="G170" s="44">
        <v>485365</v>
      </c>
      <c r="H170" s="44"/>
      <c r="I170" s="44">
        <v>945192</v>
      </c>
      <c r="J170" s="44"/>
      <c r="K170" s="44">
        <v>1052592</v>
      </c>
      <c r="L170" s="44"/>
      <c r="M170" s="44">
        <v>6461841</v>
      </c>
      <c r="N170" s="44"/>
      <c r="O170" s="44">
        <v>618414</v>
      </c>
      <c r="P170" s="44"/>
      <c r="Q170" s="44">
        <v>5395466</v>
      </c>
      <c r="R170" s="44"/>
      <c r="S170" s="44">
        <v>0</v>
      </c>
      <c r="T170" s="44"/>
      <c r="U170" s="44">
        <v>522069</v>
      </c>
      <c r="V170" s="44"/>
      <c r="W170" s="44">
        <f t="shared" si="3"/>
        <v>26532674</v>
      </c>
      <c r="X170" s="44"/>
      <c r="Y170" s="44">
        <v>58856350</v>
      </c>
      <c r="Z170" s="44"/>
      <c r="AA170" s="44">
        <f>+'Stmt net assets'!Y171</f>
        <v>56823027</v>
      </c>
      <c r="AB170" s="44"/>
      <c r="AC170" s="44">
        <f>+Y170+'Stmt of activities-GA rev'!AC170-'Stmt of activities-GAexp'!W170-AA170</f>
        <v>0</v>
      </c>
    </row>
    <row r="171" spans="1:30" s="47" customFormat="1" ht="12.75" customHeight="1">
      <c r="A171" s="47" t="s">
        <v>198</v>
      </c>
      <c r="B171" s="51"/>
      <c r="C171" s="47" t="s">
        <v>199</v>
      </c>
      <c r="E171" s="44">
        <f>1747696+599544</f>
        <v>2347240</v>
      </c>
      <c r="F171" s="44"/>
      <c r="G171" s="44">
        <v>166552</v>
      </c>
      <c r="H171" s="44"/>
      <c r="I171" s="44">
        <v>385095</v>
      </c>
      <c r="J171" s="44"/>
      <c r="K171" s="44">
        <v>0</v>
      </c>
      <c r="L171" s="44"/>
      <c r="M171" s="44">
        <v>2452646</v>
      </c>
      <c r="N171" s="44"/>
      <c r="O171" s="44">
        <v>444941</v>
      </c>
      <c r="P171" s="44"/>
      <c r="Q171" s="44">
        <v>1190131</v>
      </c>
      <c r="R171" s="44"/>
      <c r="S171" s="44">
        <v>0</v>
      </c>
      <c r="T171" s="44"/>
      <c r="U171" s="44">
        <v>72104</v>
      </c>
      <c r="V171" s="44"/>
      <c r="W171" s="44">
        <f t="shared" si="3"/>
        <v>7058709</v>
      </c>
      <c r="X171" s="44"/>
      <c r="Y171" s="44">
        <v>48100064</v>
      </c>
      <c r="Z171" s="44"/>
      <c r="AA171" s="44">
        <f>+'Stmt net assets'!Y172</f>
        <v>49421281</v>
      </c>
      <c r="AB171" s="44"/>
      <c r="AC171" s="44">
        <f>+Y171+'Stmt of activities-GA rev'!AC171-'Stmt of activities-GAexp'!W171-AA171</f>
        <v>0</v>
      </c>
    </row>
    <row r="172" spans="1:30" s="47" customFormat="1" ht="12.75" customHeight="1">
      <c r="A172" s="47" t="s">
        <v>200</v>
      </c>
      <c r="B172" s="51"/>
      <c r="C172" s="47" t="s">
        <v>103</v>
      </c>
      <c r="E172" s="44">
        <v>5763025</v>
      </c>
      <c r="F172" s="44"/>
      <c r="G172" s="44">
        <v>191009</v>
      </c>
      <c r="H172" s="44"/>
      <c r="I172" s="44">
        <v>1501531</v>
      </c>
      <c r="J172" s="44"/>
      <c r="K172" s="44">
        <v>903540</v>
      </c>
      <c r="L172" s="44"/>
      <c r="M172" s="44">
        <v>1890434</v>
      </c>
      <c r="N172" s="44"/>
      <c r="O172" s="44">
        <v>0</v>
      </c>
      <c r="P172" s="44"/>
      <c r="Q172" s="44">
        <v>1753088</v>
      </c>
      <c r="R172" s="44"/>
      <c r="S172" s="44">
        <v>0</v>
      </c>
      <c r="T172" s="44"/>
      <c r="U172" s="44">
        <v>246872</v>
      </c>
      <c r="V172" s="44"/>
      <c r="W172" s="44">
        <f t="shared" si="3"/>
        <v>12249499</v>
      </c>
      <c r="X172" s="44"/>
      <c r="Y172" s="44">
        <v>46424645</v>
      </c>
      <c r="Z172" s="44"/>
      <c r="AA172" s="44">
        <f>+'Stmt net assets'!Y173</f>
        <v>47041760</v>
      </c>
      <c r="AB172" s="44"/>
      <c r="AC172" s="44">
        <f>+Y172+'Stmt of activities-GA rev'!AC172-'Stmt of activities-GAexp'!W172-AA172</f>
        <v>0</v>
      </c>
    </row>
    <row r="173" spans="1:30" s="47" customFormat="1" ht="12.75" customHeight="1">
      <c r="A173" s="47" t="s">
        <v>201</v>
      </c>
      <c r="B173" s="51"/>
      <c r="C173" s="47" t="s">
        <v>92</v>
      </c>
      <c r="E173" s="44">
        <v>7408911</v>
      </c>
      <c r="F173" s="44"/>
      <c r="G173" s="44">
        <v>664008</v>
      </c>
      <c r="H173" s="44"/>
      <c r="I173" s="44">
        <v>823483</v>
      </c>
      <c r="J173" s="44"/>
      <c r="K173" s="44">
        <v>397434</v>
      </c>
      <c r="L173" s="44"/>
      <c r="M173" s="44">
        <v>3744466</v>
      </c>
      <c r="N173" s="44"/>
      <c r="O173" s="44">
        <v>0</v>
      </c>
      <c r="P173" s="44"/>
      <c r="Q173" s="44">
        <v>4074794</v>
      </c>
      <c r="R173" s="44"/>
      <c r="S173" s="44">
        <v>0</v>
      </c>
      <c r="T173" s="44"/>
      <c r="U173" s="44">
        <v>266284</v>
      </c>
      <c r="V173" s="44"/>
      <c r="W173" s="44">
        <f t="shared" si="3"/>
        <v>17379380</v>
      </c>
      <c r="X173" s="44"/>
      <c r="Y173" s="44">
        <v>40206226</v>
      </c>
      <c r="Z173" s="44"/>
      <c r="AA173" s="44">
        <f>+'Stmt net assets'!Y174</f>
        <v>41298161</v>
      </c>
      <c r="AB173" s="44"/>
      <c r="AC173" s="44">
        <f>+Y173+'Stmt of activities-GA rev'!AC173-'Stmt of activities-GAexp'!W173-AA173</f>
        <v>0</v>
      </c>
    </row>
    <row r="174" spans="1:30" s="47" customFormat="1" ht="12.75" customHeight="1">
      <c r="A174" s="47" t="s">
        <v>202</v>
      </c>
      <c r="B174" s="51"/>
      <c r="C174" s="47" t="s">
        <v>27</v>
      </c>
      <c r="E174" s="44">
        <v>26070730</v>
      </c>
      <c r="F174" s="44"/>
      <c r="G174" s="44">
        <v>316924</v>
      </c>
      <c r="H174" s="44"/>
      <c r="I174" s="44">
        <v>2773541</v>
      </c>
      <c r="J174" s="44"/>
      <c r="K174" s="44">
        <v>8445835</v>
      </c>
      <c r="L174" s="44"/>
      <c r="M174" s="44">
        <v>5694671</v>
      </c>
      <c r="N174" s="44"/>
      <c r="O174" s="44">
        <v>2120590</v>
      </c>
      <c r="P174" s="44"/>
      <c r="Q174" s="44">
        <v>25291273</v>
      </c>
      <c r="R174" s="44"/>
      <c r="S174" s="44">
        <v>0</v>
      </c>
      <c r="T174" s="44"/>
      <c r="U174" s="44">
        <v>1551008</v>
      </c>
      <c r="V174" s="44"/>
      <c r="W174" s="44">
        <f t="shared" si="3"/>
        <v>72264572</v>
      </c>
      <c r="X174" s="44"/>
      <c r="Y174" s="44">
        <v>73673061</v>
      </c>
      <c r="Z174" s="44"/>
      <c r="AA174" s="44">
        <f>+'Stmt net assets'!Y175</f>
        <v>73025585</v>
      </c>
      <c r="AB174" s="44"/>
      <c r="AC174" s="44">
        <f>+Y174+'Stmt of activities-GA rev'!AC174-'Stmt of activities-GAexp'!W174-AA174</f>
        <v>0</v>
      </c>
    </row>
    <row r="175" spans="1:30" s="47" customFormat="1" ht="12.75" customHeight="1">
      <c r="A175" s="47" t="s">
        <v>203</v>
      </c>
      <c r="B175" s="51"/>
      <c r="C175" s="47" t="s">
        <v>27</v>
      </c>
      <c r="E175" s="44">
        <v>8539235</v>
      </c>
      <c r="F175" s="44"/>
      <c r="G175" s="44">
        <v>791882</v>
      </c>
      <c r="H175" s="44"/>
      <c r="I175" s="44">
        <v>662871</v>
      </c>
      <c r="J175" s="44"/>
      <c r="K175" s="44">
        <v>2542594</v>
      </c>
      <c r="L175" s="44"/>
      <c r="M175" s="44">
        <v>2117714</v>
      </c>
      <c r="N175" s="44"/>
      <c r="O175" s="44">
        <v>1100531</v>
      </c>
      <c r="P175" s="44"/>
      <c r="Q175" s="44">
        <v>3272731</v>
      </c>
      <c r="R175" s="44"/>
      <c r="S175" s="44">
        <v>0</v>
      </c>
      <c r="T175" s="44"/>
      <c r="U175" s="44">
        <v>406924</v>
      </c>
      <c r="V175" s="44"/>
      <c r="W175" s="44">
        <f t="shared" si="3"/>
        <v>19434482</v>
      </c>
      <c r="X175" s="44"/>
      <c r="Y175" s="44">
        <v>28105968</v>
      </c>
      <c r="Z175" s="44"/>
      <c r="AA175" s="44">
        <f>+'Stmt net assets'!Y176</f>
        <v>26836271</v>
      </c>
      <c r="AB175" s="44"/>
      <c r="AC175" s="44">
        <f>+Y175+'Stmt of activities-GA rev'!AC175-'Stmt of activities-GAexp'!W175-AA175</f>
        <v>0</v>
      </c>
    </row>
    <row r="176" spans="1:30" s="47" customFormat="1" ht="12.75" customHeight="1">
      <c r="A176" s="47" t="s">
        <v>204</v>
      </c>
      <c r="B176" s="51"/>
      <c r="C176" s="47" t="s">
        <v>125</v>
      </c>
      <c r="E176" s="44">
        <v>1401767</v>
      </c>
      <c r="F176" s="44"/>
      <c r="G176" s="44">
        <v>57500</v>
      </c>
      <c r="H176" s="44"/>
      <c r="I176" s="44">
        <v>48003</v>
      </c>
      <c r="J176" s="44"/>
      <c r="K176" s="44">
        <f>335062+9800</f>
        <v>344862</v>
      </c>
      <c r="L176" s="44"/>
      <c r="M176" s="44">
        <v>1145854</v>
      </c>
      <c r="N176" s="44"/>
      <c r="O176" s="44">
        <v>0</v>
      </c>
      <c r="P176" s="44"/>
      <c r="Q176" s="44">
        <v>826900</v>
      </c>
      <c r="R176" s="44"/>
      <c r="S176" s="44">
        <v>0</v>
      </c>
      <c r="T176" s="44"/>
      <c r="U176" s="44">
        <v>77952</v>
      </c>
      <c r="V176" s="44"/>
      <c r="W176" s="44">
        <f t="shared" si="3"/>
        <v>3902838</v>
      </c>
      <c r="X176" s="44"/>
      <c r="Y176" s="44">
        <v>7675674</v>
      </c>
      <c r="Z176" s="44"/>
      <c r="AA176" s="44">
        <f>+'Stmt net assets'!Y177</f>
        <v>9079114</v>
      </c>
      <c r="AB176" s="44"/>
      <c r="AC176" s="44">
        <f>+Y176+'Stmt of activities-GA rev'!AC176-'Stmt of activities-GAexp'!W176-AA176</f>
        <v>0</v>
      </c>
    </row>
    <row r="177" spans="1:29" s="47" customFormat="1" ht="12.75" customHeight="1">
      <c r="A177" s="47" t="s">
        <v>205</v>
      </c>
      <c r="B177" s="51"/>
      <c r="C177" s="47" t="s">
        <v>27</v>
      </c>
      <c r="E177" s="44">
        <f>3964737+2227443</f>
        <v>6192180</v>
      </c>
      <c r="F177" s="44"/>
      <c r="G177" s="44">
        <v>31947</v>
      </c>
      <c r="H177" s="44"/>
      <c r="I177" s="44">
        <v>0</v>
      </c>
      <c r="J177" s="44"/>
      <c r="K177" s="44">
        <v>301938</v>
      </c>
      <c r="L177" s="44"/>
      <c r="M177" s="44">
        <v>915239</v>
      </c>
      <c r="N177" s="44"/>
      <c r="O177" s="44">
        <v>1416159</v>
      </c>
      <c r="P177" s="44"/>
      <c r="Q177" s="44">
        <v>2115678</v>
      </c>
      <c r="R177" s="44"/>
      <c r="S177" s="44">
        <v>0</v>
      </c>
      <c r="T177" s="44"/>
      <c r="U177" s="44">
        <v>332406</v>
      </c>
      <c r="V177" s="44"/>
      <c r="W177" s="44">
        <f t="shared" si="3"/>
        <v>11305547</v>
      </c>
      <c r="X177" s="44"/>
      <c r="Y177" s="44">
        <v>15373349</v>
      </c>
      <c r="Z177" s="44"/>
      <c r="AA177" s="44">
        <f>+'Stmt net assets'!Y178</f>
        <v>14758260</v>
      </c>
      <c r="AB177" s="44"/>
      <c r="AC177" s="44">
        <f>+Y177+'Stmt of activities-GA rev'!AC177-'Stmt of activities-GAexp'!W177-AA177</f>
        <v>0</v>
      </c>
    </row>
    <row r="178" spans="1:29" s="47" customFormat="1" ht="12.75" customHeight="1">
      <c r="A178" s="47" t="s">
        <v>206</v>
      </c>
      <c r="B178" s="51"/>
      <c r="C178" s="47" t="s">
        <v>47</v>
      </c>
      <c r="E178" s="44">
        <v>7686853</v>
      </c>
      <c r="F178" s="44"/>
      <c r="G178" s="44">
        <v>37115</v>
      </c>
      <c r="H178" s="44"/>
      <c r="I178" s="44">
        <v>1272703</v>
      </c>
      <c r="J178" s="44"/>
      <c r="K178" s="44">
        <v>1027378</v>
      </c>
      <c r="L178" s="44"/>
      <c r="M178" s="44">
        <v>1953136</v>
      </c>
      <c r="N178" s="44"/>
      <c r="O178" s="44">
        <v>1105758</v>
      </c>
      <c r="P178" s="44"/>
      <c r="Q178" s="44">
        <v>4861315</v>
      </c>
      <c r="R178" s="44"/>
      <c r="S178" s="44">
        <v>0</v>
      </c>
      <c r="T178" s="44"/>
      <c r="U178" s="44">
        <v>244595</v>
      </c>
      <c r="V178" s="44"/>
      <c r="W178" s="44">
        <f t="shared" si="3"/>
        <v>18188853</v>
      </c>
      <c r="X178" s="44"/>
      <c r="Y178" s="44">
        <v>75245006</v>
      </c>
      <c r="Z178" s="44"/>
      <c r="AA178" s="44">
        <f>+'Stmt net assets'!Y179</f>
        <v>79502910</v>
      </c>
      <c r="AB178" s="44"/>
      <c r="AC178" s="44">
        <f>+Y178+'Stmt of activities-GA rev'!AC178-'Stmt of activities-GAexp'!W178-AA178</f>
        <v>0</v>
      </c>
    </row>
    <row r="179" spans="1:29" s="47" customFormat="1" ht="12.75" customHeight="1">
      <c r="A179" s="47" t="s">
        <v>207</v>
      </c>
      <c r="B179" s="51"/>
      <c r="C179" s="47" t="s">
        <v>102</v>
      </c>
      <c r="E179" s="44">
        <v>4151605</v>
      </c>
      <c r="F179" s="44"/>
      <c r="G179" s="44">
        <v>103452</v>
      </c>
      <c r="H179" s="44"/>
      <c r="I179" s="44">
        <v>679915</v>
      </c>
      <c r="J179" s="44"/>
      <c r="K179" s="44">
        <v>565244</v>
      </c>
      <c r="L179" s="44"/>
      <c r="M179" s="44">
        <v>2514155</v>
      </c>
      <c r="N179" s="44"/>
      <c r="O179" s="44">
        <v>0</v>
      </c>
      <c r="P179" s="44"/>
      <c r="Q179" s="44">
        <v>2486109</v>
      </c>
      <c r="R179" s="44"/>
      <c r="S179" s="44">
        <v>0</v>
      </c>
      <c r="T179" s="44"/>
      <c r="U179" s="44">
        <v>556662</v>
      </c>
      <c r="V179" s="44"/>
      <c r="W179" s="44">
        <f t="shared" si="3"/>
        <v>11057142</v>
      </c>
      <c r="X179" s="44"/>
      <c r="Y179" s="44">
        <v>45089858</v>
      </c>
      <c r="Z179" s="44"/>
      <c r="AA179" s="44">
        <f>+'Stmt net assets'!Y180</f>
        <v>50110797</v>
      </c>
      <c r="AB179" s="44"/>
      <c r="AC179" s="44">
        <f>+Y179+'Stmt of activities-GA rev'!AC179-'Stmt of activities-GAexp'!W179-AA179</f>
        <v>0</v>
      </c>
    </row>
    <row r="180" spans="1:29" s="47" customFormat="1" ht="12.75" customHeight="1">
      <c r="A180" s="47" t="s">
        <v>208</v>
      </c>
      <c r="B180" s="51"/>
      <c r="C180" s="47" t="s">
        <v>209</v>
      </c>
      <c r="E180" s="44">
        <v>7859160</v>
      </c>
      <c r="F180" s="44"/>
      <c r="G180" s="44">
        <v>0</v>
      </c>
      <c r="H180" s="44"/>
      <c r="I180" s="44">
        <v>685518</v>
      </c>
      <c r="J180" s="44"/>
      <c r="K180" s="44">
        <v>242528</v>
      </c>
      <c r="L180" s="44"/>
      <c r="M180" s="44">
        <v>3574236</v>
      </c>
      <c r="N180" s="44"/>
      <c r="O180" s="44">
        <v>0</v>
      </c>
      <c r="P180" s="44"/>
      <c r="Q180" s="44">
        <v>2099961</v>
      </c>
      <c r="R180" s="44"/>
      <c r="S180" s="44">
        <v>0</v>
      </c>
      <c r="T180" s="44"/>
      <c r="U180" s="44">
        <v>271155</v>
      </c>
      <c r="V180" s="44"/>
      <c r="W180" s="44">
        <f t="shared" si="3"/>
        <v>14732558</v>
      </c>
      <c r="X180" s="44"/>
      <c r="Y180" s="44">
        <v>65491357</v>
      </c>
      <c r="Z180" s="44"/>
      <c r="AA180" s="44">
        <f>+'Stmt net assets'!Y181</f>
        <v>66205576</v>
      </c>
      <c r="AB180" s="44"/>
      <c r="AC180" s="44">
        <f>+Y180+'Stmt of activities-GA rev'!AC180-'Stmt of activities-GAexp'!W180-AA180</f>
        <v>0</v>
      </c>
    </row>
    <row r="181" spans="1:29" s="47" customFormat="1" ht="12.75" customHeight="1">
      <c r="A181" s="47" t="s">
        <v>210</v>
      </c>
      <c r="B181" s="51"/>
      <c r="C181" s="47" t="s">
        <v>211</v>
      </c>
      <c r="E181" s="44">
        <f>1817709+275282</f>
        <v>2092991</v>
      </c>
      <c r="F181" s="44"/>
      <c r="G181" s="44">
        <v>138201</v>
      </c>
      <c r="H181" s="44"/>
      <c r="I181" s="44">
        <v>113770</v>
      </c>
      <c r="J181" s="44"/>
      <c r="K181" s="44">
        <v>171711</v>
      </c>
      <c r="L181" s="44"/>
      <c r="M181" s="44">
        <v>662942</v>
      </c>
      <c r="N181" s="44"/>
      <c r="O181" s="44">
        <v>0</v>
      </c>
      <c r="P181" s="44"/>
      <c r="Q181" s="44">
        <v>1658994</v>
      </c>
      <c r="R181" s="44"/>
      <c r="S181" s="44">
        <v>0</v>
      </c>
      <c r="T181" s="44"/>
      <c r="U181" s="44">
        <v>31426</v>
      </c>
      <c r="V181" s="44"/>
      <c r="W181" s="44">
        <f t="shared" si="3"/>
        <v>4870035</v>
      </c>
      <c r="X181" s="44"/>
      <c r="Y181" s="44">
        <v>9361776</v>
      </c>
      <c r="Z181" s="44"/>
      <c r="AA181" s="44">
        <f>+'Stmt net assets'!Y182</f>
        <v>9699013</v>
      </c>
      <c r="AB181" s="44"/>
      <c r="AC181" s="44">
        <f>+Y181+'Stmt of activities-GA rev'!AC181-'Stmt of activities-GAexp'!W181-AA181</f>
        <v>0</v>
      </c>
    </row>
    <row r="182" spans="1:29" s="47" customFormat="1" ht="12.75" customHeight="1">
      <c r="A182" s="47" t="s">
        <v>212</v>
      </c>
      <c r="B182" s="51"/>
      <c r="C182" s="47" t="s">
        <v>213</v>
      </c>
      <c r="E182" s="44">
        <v>8036231</v>
      </c>
      <c r="F182" s="44"/>
      <c r="G182" s="44">
        <v>3040836</v>
      </c>
      <c r="H182" s="44"/>
      <c r="I182" s="44">
        <v>67947</v>
      </c>
      <c r="J182" s="44"/>
      <c r="K182" s="44">
        <v>750295</v>
      </c>
      <c r="L182" s="44"/>
      <c r="M182" s="44">
        <v>2468391</v>
      </c>
      <c r="N182" s="44"/>
      <c r="O182" s="44">
        <v>0</v>
      </c>
      <c r="P182" s="44"/>
      <c r="Q182" s="44">
        <v>4093595</v>
      </c>
      <c r="R182" s="44"/>
      <c r="S182" s="44">
        <v>0</v>
      </c>
      <c r="T182" s="44"/>
      <c r="U182" s="44">
        <v>158928</v>
      </c>
      <c r="V182" s="44"/>
      <c r="W182" s="44">
        <f t="shared" si="3"/>
        <v>18616223</v>
      </c>
      <c r="X182" s="44"/>
      <c r="Y182" s="44">
        <v>23197860</v>
      </c>
      <c r="Z182" s="44"/>
      <c r="AA182" s="44">
        <f>+'Stmt net assets'!Y183</f>
        <v>23857068</v>
      </c>
      <c r="AB182" s="44"/>
      <c r="AC182" s="44">
        <f>+Y182+'Stmt of activities-GA rev'!AC182-'Stmt of activities-GAexp'!W182-AA182</f>
        <v>0</v>
      </c>
    </row>
    <row r="183" spans="1:29" s="47" customFormat="1" ht="12.75" customHeight="1">
      <c r="A183" s="47" t="s">
        <v>214</v>
      </c>
      <c r="B183" s="51"/>
      <c r="C183" s="47" t="s">
        <v>86</v>
      </c>
      <c r="E183" s="44">
        <v>2210257</v>
      </c>
      <c r="F183" s="44"/>
      <c r="G183" s="44">
        <v>0</v>
      </c>
      <c r="H183" s="44"/>
      <c r="I183" s="44">
        <v>917797</v>
      </c>
      <c r="J183" s="44"/>
      <c r="K183" s="44">
        <v>999129</v>
      </c>
      <c r="L183" s="44"/>
      <c r="M183" s="44">
        <v>2030814</v>
      </c>
      <c r="N183" s="44"/>
      <c r="O183" s="44">
        <v>0</v>
      </c>
      <c r="P183" s="44"/>
      <c r="Q183" s="44">
        <v>1668454</v>
      </c>
      <c r="R183" s="44"/>
      <c r="S183" s="44">
        <v>0</v>
      </c>
      <c r="T183" s="44"/>
      <c r="U183" s="44">
        <v>1208441</v>
      </c>
      <c r="V183" s="44"/>
      <c r="W183" s="44">
        <f t="shared" si="3"/>
        <v>9034892</v>
      </c>
      <c r="X183" s="44"/>
      <c r="Y183" s="44">
        <v>28255662</v>
      </c>
      <c r="Z183" s="44"/>
      <c r="AA183" s="44">
        <f>+'Stmt net assets'!Y184</f>
        <v>28221208</v>
      </c>
      <c r="AB183" s="44"/>
      <c r="AC183" s="44">
        <f>+Y183+'Stmt of activities-GA rev'!AC183-'Stmt of activities-GAexp'!W183-AA183</f>
        <v>0</v>
      </c>
    </row>
    <row r="184" spans="1:29" s="47" customFormat="1" ht="12.75" customHeight="1">
      <c r="A184" s="47" t="s">
        <v>215</v>
      </c>
      <c r="B184" s="51"/>
      <c r="C184" s="47" t="s">
        <v>22</v>
      </c>
      <c r="E184" s="44">
        <f>3506856+2355329</f>
        <v>5862185</v>
      </c>
      <c r="F184" s="44"/>
      <c r="G184" s="44">
        <v>335171</v>
      </c>
      <c r="H184" s="44"/>
      <c r="I184" s="44">
        <v>874971</v>
      </c>
      <c r="J184" s="44"/>
      <c r="K184" s="44">
        <f>956004+158350</f>
        <v>1114354</v>
      </c>
      <c r="L184" s="44"/>
      <c r="M184" s="44">
        <v>2177153</v>
      </c>
      <c r="N184" s="44"/>
      <c r="O184" s="44">
        <v>108195</v>
      </c>
      <c r="P184" s="44"/>
      <c r="Q184" s="44">
        <v>1711138</v>
      </c>
      <c r="R184" s="44"/>
      <c r="S184" s="44">
        <v>0</v>
      </c>
      <c r="T184" s="44"/>
      <c r="U184" s="44">
        <v>323485</v>
      </c>
      <c r="V184" s="44"/>
      <c r="W184" s="44">
        <f t="shared" si="3"/>
        <v>12506652</v>
      </c>
      <c r="X184" s="44"/>
      <c r="Y184" s="44">
        <v>49957545</v>
      </c>
      <c r="Z184" s="44"/>
      <c r="AA184" s="44">
        <f>+'Stmt net assets'!Y185</f>
        <v>48239068</v>
      </c>
      <c r="AB184" s="44"/>
      <c r="AC184" s="44">
        <f>+Y184+'Stmt of activities-GA rev'!AC184-'Stmt of activities-GAexp'!W184-AA184</f>
        <v>0</v>
      </c>
    </row>
    <row r="185" spans="1:29" s="47" customFormat="1" ht="12.75" customHeight="1">
      <c r="A185" s="47" t="s">
        <v>216</v>
      </c>
      <c r="B185" s="51"/>
      <c r="C185" s="47" t="s">
        <v>45</v>
      </c>
      <c r="E185" s="44">
        <v>5741299</v>
      </c>
      <c r="F185" s="44"/>
      <c r="G185" s="44">
        <v>10552</v>
      </c>
      <c r="H185" s="44"/>
      <c r="I185" s="44">
        <v>531092</v>
      </c>
      <c r="J185" s="44"/>
      <c r="K185" s="44">
        <v>173310</v>
      </c>
      <c r="L185" s="44"/>
      <c r="M185" s="44">
        <v>2031878</v>
      </c>
      <c r="N185" s="44"/>
      <c r="O185" s="44">
        <v>565550</v>
      </c>
      <c r="P185" s="44"/>
      <c r="Q185" s="44">
        <v>2095411</v>
      </c>
      <c r="R185" s="44"/>
      <c r="S185" s="44">
        <v>0</v>
      </c>
      <c r="T185" s="44"/>
      <c r="U185" s="44">
        <v>103521</v>
      </c>
      <c r="V185" s="44"/>
      <c r="W185" s="44">
        <f t="shared" si="3"/>
        <v>11252613</v>
      </c>
      <c r="X185" s="44"/>
      <c r="Y185" s="44">
        <v>7794302</v>
      </c>
      <c r="Z185" s="44"/>
      <c r="AA185" s="44">
        <f>+'Stmt net assets'!Y186</f>
        <v>6611070</v>
      </c>
      <c r="AB185" s="44"/>
      <c r="AC185" s="44">
        <f>+Y185+'Stmt of activities-GA rev'!AC185-'Stmt of activities-GAexp'!W185-AA185</f>
        <v>0</v>
      </c>
    </row>
    <row r="186" spans="1:29" s="47" customFormat="1" ht="12.75" customHeight="1">
      <c r="A186" s="47" t="s">
        <v>217</v>
      </c>
      <c r="B186" s="51"/>
      <c r="C186" s="47" t="s">
        <v>43</v>
      </c>
      <c r="E186" s="44">
        <v>7825619</v>
      </c>
      <c r="F186" s="44"/>
      <c r="G186" s="44">
        <v>202756</v>
      </c>
      <c r="H186" s="44"/>
      <c r="I186" s="44">
        <v>1026937</v>
      </c>
      <c r="J186" s="44"/>
      <c r="K186" s="44">
        <v>1400304</v>
      </c>
      <c r="L186" s="44"/>
      <c r="M186" s="44">
        <v>2920784</v>
      </c>
      <c r="N186" s="44"/>
      <c r="O186" s="44">
        <v>0</v>
      </c>
      <c r="P186" s="44"/>
      <c r="Q186" s="44">
        <v>4238424</v>
      </c>
      <c r="R186" s="44"/>
      <c r="S186" s="44">
        <v>0</v>
      </c>
      <c r="T186" s="44"/>
      <c r="U186" s="44">
        <v>1062833</v>
      </c>
      <c r="V186" s="44"/>
      <c r="W186" s="44">
        <f t="shared" si="3"/>
        <v>18677657</v>
      </c>
      <c r="X186" s="44"/>
      <c r="Y186" s="44">
        <v>47540050</v>
      </c>
      <c r="Z186" s="44"/>
      <c r="AA186" s="44">
        <f>+'Stmt net assets'!Y187</f>
        <v>49324935</v>
      </c>
      <c r="AB186" s="44"/>
      <c r="AC186" s="44">
        <f>+Y186+'Stmt of activities-GA rev'!AC186-'Stmt of activities-GAexp'!W186-AA186</f>
        <v>0</v>
      </c>
    </row>
    <row r="187" spans="1:29" s="47" customFormat="1" ht="12.75" hidden="1" customHeight="1">
      <c r="A187" s="47" t="s">
        <v>218</v>
      </c>
      <c r="B187" s="51"/>
      <c r="C187" s="47" t="s">
        <v>27</v>
      </c>
      <c r="E187" s="44">
        <v>0</v>
      </c>
      <c r="F187" s="44"/>
      <c r="G187" s="44">
        <v>0</v>
      </c>
      <c r="H187" s="44"/>
      <c r="I187" s="44">
        <v>0</v>
      </c>
      <c r="J187" s="44"/>
      <c r="K187" s="44">
        <v>0</v>
      </c>
      <c r="L187" s="44"/>
      <c r="M187" s="44">
        <v>0</v>
      </c>
      <c r="N187" s="44"/>
      <c r="O187" s="44">
        <v>0</v>
      </c>
      <c r="P187" s="44"/>
      <c r="Q187" s="44">
        <v>0</v>
      </c>
      <c r="R187" s="44"/>
      <c r="S187" s="44">
        <v>0</v>
      </c>
      <c r="T187" s="44"/>
      <c r="U187" s="44">
        <v>0</v>
      </c>
      <c r="V187" s="44"/>
      <c r="W187" s="44">
        <f t="shared" si="3"/>
        <v>0</v>
      </c>
      <c r="X187" s="44"/>
      <c r="Y187" s="44">
        <v>0</v>
      </c>
      <c r="Z187" s="44"/>
      <c r="AA187" s="44">
        <f>+'Stmt net assets'!Y188</f>
        <v>0</v>
      </c>
      <c r="AB187" s="44"/>
      <c r="AC187" s="44">
        <f>+Y187+'Stmt of activities-GA rev'!AC187-'Stmt of activities-GAexp'!W187-AA187</f>
        <v>0</v>
      </c>
    </row>
    <row r="188" spans="1:29" s="47" customFormat="1" ht="12.75" customHeight="1">
      <c r="A188" s="47" t="s">
        <v>219</v>
      </c>
      <c r="B188" s="51"/>
      <c r="C188" s="47" t="s">
        <v>199</v>
      </c>
      <c r="E188" s="44">
        <v>1603495</v>
      </c>
      <c r="F188" s="44"/>
      <c r="G188" s="44">
        <v>108637</v>
      </c>
      <c r="H188" s="44"/>
      <c r="I188" s="44">
        <v>511223</v>
      </c>
      <c r="J188" s="44"/>
      <c r="K188" s="44">
        <v>0</v>
      </c>
      <c r="L188" s="44"/>
      <c r="M188" s="44">
        <v>777167</v>
      </c>
      <c r="N188" s="44"/>
      <c r="O188" s="44">
        <v>385421</v>
      </c>
      <c r="P188" s="44"/>
      <c r="Q188" s="44">
        <v>790700</v>
      </c>
      <c r="R188" s="44"/>
      <c r="S188" s="44">
        <v>0</v>
      </c>
      <c r="T188" s="44"/>
      <c r="U188" s="44">
        <v>50550</v>
      </c>
      <c r="V188" s="44"/>
      <c r="W188" s="44">
        <f t="shared" si="3"/>
        <v>4227193</v>
      </c>
      <c r="X188" s="44"/>
      <c r="Y188" s="44">
        <v>7229402</v>
      </c>
      <c r="Z188" s="44"/>
      <c r="AA188" s="44">
        <f>+'Stmt net assets'!Y189</f>
        <v>7522033</v>
      </c>
      <c r="AB188" s="44"/>
      <c r="AC188" s="44">
        <f>+Y188+'Stmt of activities-GA rev'!AC188-'Stmt of activities-GAexp'!W188-AA188</f>
        <v>0</v>
      </c>
    </row>
    <row r="189" spans="1:29" s="47" customFormat="1" ht="12.75" customHeight="1">
      <c r="A189" s="47" t="s">
        <v>220</v>
      </c>
      <c r="B189" s="51"/>
      <c r="C189" s="47" t="s">
        <v>66</v>
      </c>
      <c r="E189" s="44">
        <v>6153341</v>
      </c>
      <c r="F189" s="44"/>
      <c r="G189" s="44">
        <v>7326</v>
      </c>
      <c r="H189" s="44"/>
      <c r="I189" s="44">
        <v>89861</v>
      </c>
      <c r="J189" s="44"/>
      <c r="K189" s="44">
        <v>493978</v>
      </c>
      <c r="L189" s="44"/>
      <c r="M189" s="44">
        <v>1615961</v>
      </c>
      <c r="N189" s="44"/>
      <c r="O189" s="44">
        <v>0</v>
      </c>
      <c r="P189" s="44"/>
      <c r="Q189" s="44">
        <v>2483534</v>
      </c>
      <c r="R189" s="44"/>
      <c r="S189" s="44">
        <v>0</v>
      </c>
      <c r="T189" s="44"/>
      <c r="U189" s="44">
        <v>119015</v>
      </c>
      <c r="V189" s="44"/>
      <c r="W189" s="44">
        <f t="shared" si="3"/>
        <v>10963016</v>
      </c>
      <c r="X189" s="44"/>
      <c r="Y189" s="44">
        <v>16087469</v>
      </c>
      <c r="Z189" s="44"/>
      <c r="AA189" s="44">
        <f>+'Stmt net assets'!Y190</f>
        <v>17002342</v>
      </c>
      <c r="AB189" s="44"/>
      <c r="AC189" s="44">
        <f>+Y189+'Stmt of activities-GA rev'!AC189-'Stmt of activities-GAexp'!W189-AA189</f>
        <v>0</v>
      </c>
    </row>
    <row r="190" spans="1:29" s="47" customFormat="1" ht="12.75" customHeight="1">
      <c r="A190" s="47" t="s">
        <v>221</v>
      </c>
      <c r="B190" s="51"/>
      <c r="C190" s="47" t="s">
        <v>27</v>
      </c>
      <c r="E190" s="44">
        <v>9623866</v>
      </c>
      <c r="F190" s="44"/>
      <c r="G190" s="44">
        <v>1437857</v>
      </c>
      <c r="H190" s="44"/>
      <c r="I190" s="44">
        <v>4268822</v>
      </c>
      <c r="J190" s="44"/>
      <c r="K190" s="44">
        <v>720892</v>
      </c>
      <c r="L190" s="44"/>
      <c r="M190" s="44">
        <v>2758278</v>
      </c>
      <c r="N190" s="44"/>
      <c r="O190" s="44">
        <v>1772114</v>
      </c>
      <c r="P190" s="44"/>
      <c r="Q190" s="44">
        <v>6932356</v>
      </c>
      <c r="R190" s="44"/>
      <c r="S190" s="44">
        <v>0</v>
      </c>
      <c r="T190" s="44"/>
      <c r="U190" s="44">
        <v>824261</v>
      </c>
      <c r="V190" s="44"/>
      <c r="W190" s="44">
        <f t="shared" si="3"/>
        <v>28338446</v>
      </c>
      <c r="X190" s="44"/>
      <c r="Y190" s="44">
        <v>42568695</v>
      </c>
      <c r="Z190" s="44"/>
      <c r="AA190" s="44">
        <f>+'Stmt net assets'!Y191</f>
        <v>42476159</v>
      </c>
      <c r="AB190" s="44"/>
      <c r="AC190" s="44">
        <f>+Y190+'Stmt of activities-GA rev'!AC190-'Stmt of activities-GAexp'!W190-AA190</f>
        <v>0</v>
      </c>
    </row>
    <row r="191" spans="1:29" s="47" customFormat="1" ht="12.75" customHeight="1">
      <c r="A191" s="47" t="s">
        <v>222</v>
      </c>
      <c r="B191" s="51"/>
      <c r="C191" s="47" t="s">
        <v>47</v>
      </c>
      <c r="E191" s="44">
        <v>2253963</v>
      </c>
      <c r="F191" s="44"/>
      <c r="G191" s="44">
        <v>0</v>
      </c>
      <c r="H191" s="44"/>
      <c r="I191" s="44">
        <v>361851</v>
      </c>
      <c r="J191" s="44"/>
      <c r="K191" s="44">
        <v>0</v>
      </c>
      <c r="L191" s="44"/>
      <c r="M191" s="44">
        <v>1060935</v>
      </c>
      <c r="N191" s="44"/>
      <c r="O191" s="44">
        <v>256064</v>
      </c>
      <c r="P191" s="44"/>
      <c r="Q191" s="44">
        <v>1408015</v>
      </c>
      <c r="R191" s="44"/>
      <c r="S191" s="44">
        <v>0</v>
      </c>
      <c r="T191" s="44"/>
      <c r="U191" s="44">
        <v>184578</v>
      </c>
      <c r="V191" s="44"/>
      <c r="W191" s="44">
        <f t="shared" si="3"/>
        <v>5525406</v>
      </c>
      <c r="X191" s="44"/>
      <c r="Y191" s="44">
        <v>5842994</v>
      </c>
      <c r="Z191" s="44"/>
      <c r="AA191" s="44">
        <f>+'Stmt net assets'!Y192</f>
        <v>7075030</v>
      </c>
      <c r="AB191" s="44"/>
      <c r="AC191" s="44">
        <f>+Y191+'Stmt of activities-GA rev'!AC191-'Stmt of activities-GAexp'!W191-AA191</f>
        <v>0</v>
      </c>
    </row>
    <row r="192" spans="1:29" s="47" customFormat="1" ht="12.75" customHeight="1">
      <c r="A192" s="47" t="s">
        <v>223</v>
      </c>
      <c r="B192" s="51"/>
      <c r="C192" s="47" t="s">
        <v>94</v>
      </c>
      <c r="E192" s="44">
        <v>5047298</v>
      </c>
      <c r="F192" s="44"/>
      <c r="G192" s="44">
        <v>99653</v>
      </c>
      <c r="H192" s="44"/>
      <c r="I192" s="44">
        <v>501590</v>
      </c>
      <c r="J192" s="44"/>
      <c r="K192" s="44">
        <v>1387504</v>
      </c>
      <c r="L192" s="44"/>
      <c r="M192" s="44">
        <v>1071724</v>
      </c>
      <c r="N192" s="44"/>
      <c r="O192" s="44">
        <v>2159</v>
      </c>
      <c r="P192" s="44"/>
      <c r="Q192" s="44">
        <v>4181892</v>
      </c>
      <c r="R192" s="44"/>
      <c r="S192" s="44">
        <v>1645136</v>
      </c>
      <c r="T192" s="44"/>
      <c r="U192" s="44">
        <v>130687</v>
      </c>
      <c r="V192" s="44"/>
      <c r="W192" s="44">
        <f t="shared" si="3"/>
        <v>14067643</v>
      </c>
      <c r="X192" s="44"/>
      <c r="Y192" s="44">
        <v>24864360</v>
      </c>
      <c r="Z192" s="44"/>
      <c r="AA192" s="44">
        <f>+'Stmt net assets'!Y193</f>
        <v>24230445</v>
      </c>
      <c r="AB192" s="44"/>
      <c r="AC192" s="44">
        <f>+Y192+'Stmt of activities-GA rev'!AC192-'Stmt of activities-GAexp'!W192-AA192</f>
        <v>0</v>
      </c>
    </row>
    <row r="193" spans="1:30" s="47" customFormat="1" ht="12.75" customHeight="1">
      <c r="A193" s="47" t="s">
        <v>76</v>
      </c>
      <c r="B193" s="51"/>
      <c r="C193" s="47" t="s">
        <v>132</v>
      </c>
      <c r="E193" s="44">
        <f>5669764+5862556+258171</f>
        <v>11790491</v>
      </c>
      <c r="F193" s="44"/>
      <c r="G193" s="44">
        <v>315947</v>
      </c>
      <c r="H193" s="44"/>
      <c r="I193" s="44">
        <v>816417</v>
      </c>
      <c r="J193" s="44"/>
      <c r="K193" s="44">
        <v>4229616</v>
      </c>
      <c r="L193" s="44"/>
      <c r="M193" s="44">
        <v>4205229</v>
      </c>
      <c r="N193" s="44"/>
      <c r="O193" s="44">
        <v>0</v>
      </c>
      <c r="P193" s="44"/>
      <c r="Q193" s="44">
        <f>933024+3870955</f>
        <v>4803979</v>
      </c>
      <c r="R193" s="44"/>
      <c r="S193" s="44">
        <v>0</v>
      </c>
      <c r="T193" s="44"/>
      <c r="U193" s="44">
        <v>1495442</v>
      </c>
      <c r="V193" s="44"/>
      <c r="W193" s="44">
        <f t="shared" si="3"/>
        <v>27657121</v>
      </c>
      <c r="X193" s="44"/>
      <c r="Y193" s="44">
        <v>46895591</v>
      </c>
      <c r="Z193" s="44"/>
      <c r="AA193" s="44">
        <f>+'Stmt net assets'!Y194</f>
        <v>44591524</v>
      </c>
      <c r="AB193" s="44"/>
      <c r="AC193" s="44">
        <f>+Y193+'Stmt of activities-GA rev'!AC193-'Stmt of activities-GAexp'!W193-AA193</f>
        <v>0</v>
      </c>
    </row>
    <row r="194" spans="1:30" s="47" customFormat="1" ht="12.75" customHeight="1">
      <c r="A194" s="47" t="s">
        <v>224</v>
      </c>
      <c r="B194" s="51"/>
      <c r="C194" s="47" t="s">
        <v>27</v>
      </c>
      <c r="E194" s="44">
        <v>3930208</v>
      </c>
      <c r="F194" s="44"/>
      <c r="G194" s="44">
        <v>944311</v>
      </c>
      <c r="H194" s="44"/>
      <c r="I194" s="44">
        <v>1718637</v>
      </c>
      <c r="J194" s="44"/>
      <c r="K194" s="44">
        <v>667430</v>
      </c>
      <c r="L194" s="44"/>
      <c r="M194" s="44">
        <v>2883370</v>
      </c>
      <c r="N194" s="44"/>
      <c r="O194" s="44">
        <v>21071</v>
      </c>
      <c r="P194" s="44"/>
      <c r="Q194" s="44">
        <v>1902764</v>
      </c>
      <c r="R194" s="44"/>
      <c r="S194" s="44">
        <v>0</v>
      </c>
      <c r="T194" s="44"/>
      <c r="U194" s="44">
        <v>984938</v>
      </c>
      <c r="V194" s="44"/>
      <c r="W194" s="44">
        <f t="shared" si="3"/>
        <v>13052729</v>
      </c>
      <c r="X194" s="44"/>
      <c r="Y194" s="44">
        <v>15257364</v>
      </c>
      <c r="Z194" s="44"/>
      <c r="AA194" s="44">
        <f>+'Stmt net assets'!Y195</f>
        <v>15113539</v>
      </c>
      <c r="AB194" s="44"/>
      <c r="AC194" s="44">
        <f>+Y194+'Stmt of activities-GA rev'!AC194-'Stmt of activities-GAexp'!W194-AA194</f>
        <v>0</v>
      </c>
    </row>
    <row r="195" spans="1:30" s="47" customFormat="1" ht="12.75" customHeight="1">
      <c r="A195" s="47" t="s">
        <v>225</v>
      </c>
      <c r="B195" s="51"/>
      <c r="C195" s="47" t="s">
        <v>27</v>
      </c>
      <c r="E195" s="44">
        <f>14776734+8515892+696193</f>
        <v>23988819</v>
      </c>
      <c r="F195" s="44"/>
      <c r="G195" s="44">
        <v>692906</v>
      </c>
      <c r="H195" s="44"/>
      <c r="I195" s="44">
        <f>2984882+1054674</f>
        <v>4039556</v>
      </c>
      <c r="J195" s="44"/>
      <c r="K195" s="44">
        <v>7441799</v>
      </c>
      <c r="L195" s="44"/>
      <c r="M195" s="44">
        <v>2388186</v>
      </c>
      <c r="N195" s="44"/>
      <c r="O195" s="44">
        <v>2971552</v>
      </c>
      <c r="P195" s="44"/>
      <c r="Q195" s="44">
        <f>4316001+2413573</f>
        <v>6729574</v>
      </c>
      <c r="R195" s="44"/>
      <c r="S195" s="44">
        <v>4024723</v>
      </c>
      <c r="T195" s="44"/>
      <c r="U195" s="44">
        <v>928950</v>
      </c>
      <c r="V195" s="44"/>
      <c r="W195" s="44">
        <f t="shared" ref="W195" si="4">SUM(E195:U195)</f>
        <v>53206065</v>
      </c>
      <c r="X195" s="44"/>
      <c r="Y195" s="44">
        <v>106633008</v>
      </c>
      <c r="Z195" s="44"/>
      <c r="AA195" s="44">
        <f>+'Stmt net assets'!Y196</f>
        <v>104888297</v>
      </c>
      <c r="AB195" s="46"/>
      <c r="AC195" s="46">
        <f>+Y195+'Stmt of activities-GA rev'!AC195-'Stmt of activities-GAexp'!W195-AA195</f>
        <v>0</v>
      </c>
    </row>
    <row r="196" spans="1:30" s="47" customFormat="1" ht="12.75" customHeight="1">
      <c r="B196" s="51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8" t="s">
        <v>484</v>
      </c>
      <c r="AB196" s="44"/>
      <c r="AC196" s="44"/>
    </row>
    <row r="197" spans="1:30" s="47" customFormat="1" ht="12.75" customHeight="1">
      <c r="A197" s="47" t="s">
        <v>226</v>
      </c>
      <c r="B197" s="51"/>
      <c r="C197" s="47" t="s">
        <v>45</v>
      </c>
      <c r="E197" s="46">
        <v>11776128</v>
      </c>
      <c r="F197" s="46"/>
      <c r="G197" s="46">
        <v>345875</v>
      </c>
      <c r="H197" s="46"/>
      <c r="I197" s="46">
        <v>3273587</v>
      </c>
      <c r="J197" s="46"/>
      <c r="K197" s="46">
        <v>572323</v>
      </c>
      <c r="L197" s="46"/>
      <c r="M197" s="46">
        <v>2033486</v>
      </c>
      <c r="N197" s="46"/>
      <c r="O197" s="46">
        <v>560329</v>
      </c>
      <c r="P197" s="46"/>
      <c r="Q197" s="46">
        <v>3923301</v>
      </c>
      <c r="R197" s="46"/>
      <c r="S197" s="46">
        <v>0</v>
      </c>
      <c r="T197" s="46"/>
      <c r="U197" s="46">
        <v>689274</v>
      </c>
      <c r="V197" s="46"/>
      <c r="W197" s="46">
        <f t="shared" ref="W197:W255" si="5">SUM(E197:U197)</f>
        <v>23174303</v>
      </c>
      <c r="X197" s="46"/>
      <c r="Y197" s="46">
        <v>27797586</v>
      </c>
      <c r="Z197" s="46"/>
      <c r="AA197" s="46">
        <f>+'Stmt net assets'!Y197</f>
        <v>30220160</v>
      </c>
      <c r="AB197" s="44"/>
      <c r="AC197" s="44">
        <f>+Y197+'Stmt of activities-GA rev'!AC197-'Stmt of activities-GAexp'!W197-AA197</f>
        <v>0</v>
      </c>
      <c r="AD197" s="103"/>
    </row>
    <row r="198" spans="1:30" s="46" customFormat="1" ht="12.75" customHeight="1">
      <c r="A198" s="46" t="s">
        <v>227</v>
      </c>
      <c r="B198" s="66"/>
      <c r="C198" s="46" t="s">
        <v>17</v>
      </c>
      <c r="E198" s="44">
        <v>2831824</v>
      </c>
      <c r="F198" s="44"/>
      <c r="G198" s="44">
        <v>37171</v>
      </c>
      <c r="H198" s="44"/>
      <c r="I198" s="44">
        <v>167487</v>
      </c>
      <c r="J198" s="44"/>
      <c r="K198" s="44">
        <v>523525</v>
      </c>
      <c r="L198" s="44"/>
      <c r="M198" s="44">
        <v>1512324</v>
      </c>
      <c r="N198" s="44"/>
      <c r="O198" s="44">
        <v>718206</v>
      </c>
      <c r="P198" s="44"/>
      <c r="Q198" s="44">
        <v>1276864</v>
      </c>
      <c r="R198" s="44"/>
      <c r="S198" s="44">
        <v>0</v>
      </c>
      <c r="T198" s="44"/>
      <c r="U198" s="44">
        <v>135710</v>
      </c>
      <c r="V198" s="44"/>
      <c r="W198" s="44">
        <f t="shared" si="5"/>
        <v>7203111</v>
      </c>
      <c r="X198" s="44"/>
      <c r="Y198" s="44">
        <v>14619696</v>
      </c>
      <c r="Z198" s="44"/>
      <c r="AA198" s="44">
        <f>+'Stmt net assets'!Y198</f>
        <v>13852629</v>
      </c>
      <c r="AB198" s="44"/>
      <c r="AC198" s="44">
        <f>+Y198+'Stmt of activities-GA rev'!AC198-'Stmt of activities-GAexp'!W198-AA198</f>
        <v>0</v>
      </c>
    </row>
    <row r="199" spans="1:30" s="47" customFormat="1" ht="12.75" customHeight="1">
      <c r="A199" s="47" t="s">
        <v>228</v>
      </c>
      <c r="B199" s="51"/>
      <c r="C199" s="47" t="s">
        <v>153</v>
      </c>
      <c r="E199" s="44">
        <v>3442212</v>
      </c>
      <c r="F199" s="44"/>
      <c r="G199" s="44">
        <v>327912</v>
      </c>
      <c r="H199" s="44"/>
      <c r="I199" s="44">
        <v>78525</v>
      </c>
      <c r="J199" s="44"/>
      <c r="K199" s="44">
        <v>2074454</v>
      </c>
      <c r="L199" s="44"/>
      <c r="M199" s="44">
        <v>1803430</v>
      </c>
      <c r="N199" s="44"/>
      <c r="O199" s="44">
        <v>0</v>
      </c>
      <c r="P199" s="44"/>
      <c r="Q199" s="44">
        <v>1255068</v>
      </c>
      <c r="R199" s="44"/>
      <c r="S199" s="44">
        <v>29725</v>
      </c>
      <c r="T199" s="44"/>
      <c r="U199" s="44">
        <v>42224</v>
      </c>
      <c r="V199" s="44"/>
      <c r="W199" s="44">
        <f t="shared" si="5"/>
        <v>9053550</v>
      </c>
      <c r="X199" s="44"/>
      <c r="Y199" s="44">
        <v>22001256</v>
      </c>
      <c r="Z199" s="44"/>
      <c r="AA199" s="44">
        <f>+'Stmt net assets'!Y199</f>
        <v>20629253</v>
      </c>
      <c r="AB199" s="44"/>
      <c r="AC199" s="44">
        <f>+Y199+'Stmt of activities-GA rev'!AC199-'Stmt of activities-GAexp'!W199-AA199</f>
        <v>0</v>
      </c>
    </row>
    <row r="200" spans="1:30" s="47" customFormat="1" ht="12.75" customHeight="1">
      <c r="A200" s="47" t="s">
        <v>229</v>
      </c>
      <c r="B200" s="51"/>
      <c r="C200" s="47" t="s">
        <v>228</v>
      </c>
      <c r="E200" s="44">
        <f>6271553+4523985+1636905</f>
        <v>12432443</v>
      </c>
      <c r="F200" s="44"/>
      <c r="G200" s="44">
        <v>375100</v>
      </c>
      <c r="H200" s="44"/>
      <c r="I200" s="44">
        <v>1504878</v>
      </c>
      <c r="J200" s="44"/>
      <c r="K200" s="44">
        <f>339155+1167276</f>
        <v>1506431</v>
      </c>
      <c r="L200" s="44"/>
      <c r="M200" s="44">
        <v>3093966</v>
      </c>
      <c r="N200" s="44"/>
      <c r="O200" s="44">
        <v>44872</v>
      </c>
      <c r="P200" s="44"/>
      <c r="Q200" s="44">
        <v>1314285</v>
      </c>
      <c r="R200" s="44"/>
      <c r="S200" s="44">
        <v>0</v>
      </c>
      <c r="T200" s="44"/>
      <c r="U200" s="44">
        <v>364625</v>
      </c>
      <c r="V200" s="44"/>
      <c r="W200" s="44">
        <f t="shared" si="5"/>
        <v>20636600</v>
      </c>
      <c r="X200" s="44"/>
      <c r="Y200" s="44">
        <v>56925291</v>
      </c>
      <c r="Z200" s="44"/>
      <c r="AA200" s="44">
        <f>+'Stmt net assets'!Y200</f>
        <v>55169205</v>
      </c>
      <c r="AB200" s="44"/>
      <c r="AC200" s="44">
        <f>+Y200+'Stmt of activities-GA rev'!AC200-'Stmt of activities-GAexp'!W200-AA200</f>
        <v>0</v>
      </c>
    </row>
    <row r="201" spans="1:30" s="47" customFormat="1" ht="12.75" customHeight="1">
      <c r="A201" s="47" t="s">
        <v>230</v>
      </c>
      <c r="B201" s="51"/>
      <c r="C201" s="47" t="s">
        <v>45</v>
      </c>
      <c r="E201" s="44">
        <v>1423242</v>
      </c>
      <c r="F201" s="44"/>
      <c r="G201" s="44">
        <v>4892</v>
      </c>
      <c r="H201" s="44"/>
      <c r="I201" s="44">
        <v>21359</v>
      </c>
      <c r="J201" s="44"/>
      <c r="K201" s="44">
        <v>342706</v>
      </c>
      <c r="L201" s="44"/>
      <c r="M201" s="44">
        <v>373809</v>
      </c>
      <c r="N201" s="44"/>
      <c r="O201" s="44">
        <v>0</v>
      </c>
      <c r="P201" s="44"/>
      <c r="Q201" s="44">
        <v>1033345</v>
      </c>
      <c r="R201" s="44"/>
      <c r="S201" s="44">
        <v>0</v>
      </c>
      <c r="T201" s="44"/>
      <c r="U201" s="44">
        <v>14657</v>
      </c>
      <c r="V201" s="44"/>
      <c r="W201" s="44">
        <f t="shared" si="5"/>
        <v>3214010</v>
      </c>
      <c r="X201" s="44"/>
      <c r="Y201" s="44">
        <v>4924152</v>
      </c>
      <c r="Z201" s="44"/>
      <c r="AA201" s="44">
        <f>+'Stmt net assets'!Y201</f>
        <v>4852801</v>
      </c>
      <c r="AB201" s="44"/>
      <c r="AC201" s="44">
        <f>+Y201+'Stmt of activities-GA rev'!AC201-'Stmt of activities-GAexp'!W201-AA201</f>
        <v>0</v>
      </c>
    </row>
    <row r="202" spans="1:30" s="47" customFormat="1" ht="12.75" customHeight="1">
      <c r="A202" s="47" t="s">
        <v>231</v>
      </c>
      <c r="B202" s="51"/>
      <c r="C202" s="47" t="s">
        <v>27</v>
      </c>
      <c r="E202" s="44">
        <f>8534822+8054144+293094</f>
        <v>16882060</v>
      </c>
      <c r="F202" s="44"/>
      <c r="G202" s="44">
        <v>84955</v>
      </c>
      <c r="H202" s="44"/>
      <c r="I202" s="44">
        <v>6463393</v>
      </c>
      <c r="J202" s="44"/>
      <c r="K202" s="44">
        <v>2831678</v>
      </c>
      <c r="L202" s="44"/>
      <c r="M202" s="44">
        <v>16375233</v>
      </c>
      <c r="N202" s="44"/>
      <c r="O202" s="44">
        <v>2331673</v>
      </c>
      <c r="P202" s="44"/>
      <c r="Q202" s="44">
        <v>5364048</v>
      </c>
      <c r="R202" s="44"/>
      <c r="S202" s="44">
        <v>0</v>
      </c>
      <c r="T202" s="44"/>
      <c r="U202" s="44">
        <v>857669</v>
      </c>
      <c r="V202" s="44"/>
      <c r="W202" s="44">
        <f t="shared" si="5"/>
        <v>51190709</v>
      </c>
      <c r="X202" s="44"/>
      <c r="Y202" s="44">
        <v>133384571</v>
      </c>
      <c r="Z202" s="44"/>
      <c r="AA202" s="44">
        <f>+'Stmt net assets'!Y202</f>
        <v>132561284</v>
      </c>
      <c r="AB202" s="44"/>
      <c r="AC202" s="44">
        <f>+Y202+'Stmt of activities-GA rev'!AC202-'Stmt of activities-GAexp'!W202-AA202</f>
        <v>0</v>
      </c>
    </row>
    <row r="203" spans="1:30" s="47" customFormat="1" ht="12.75" customHeight="1">
      <c r="A203" s="47" t="s">
        <v>232</v>
      </c>
      <c r="B203" s="51"/>
      <c r="C203" s="47" t="s">
        <v>27</v>
      </c>
      <c r="E203" s="44">
        <f>5566689+4389709</f>
        <v>9956398</v>
      </c>
      <c r="F203" s="44"/>
      <c r="G203" s="44">
        <v>129249</v>
      </c>
      <c r="H203" s="44"/>
      <c r="I203" s="44">
        <v>356693</v>
      </c>
      <c r="J203" s="44"/>
      <c r="K203" s="44">
        <v>244319</v>
      </c>
      <c r="L203" s="44"/>
      <c r="M203" s="44">
        <v>3318990</v>
      </c>
      <c r="N203" s="44"/>
      <c r="O203" s="44">
        <v>2464808</v>
      </c>
      <c r="P203" s="44"/>
      <c r="Q203" s="44">
        <f>2653976+571587</f>
        <v>3225563</v>
      </c>
      <c r="R203" s="44"/>
      <c r="S203" s="44">
        <f>743044+406544</f>
        <v>1149588</v>
      </c>
      <c r="T203" s="44"/>
      <c r="U203" s="44">
        <v>1185865</v>
      </c>
      <c r="V203" s="44"/>
      <c r="W203" s="44">
        <f t="shared" si="5"/>
        <v>22031473</v>
      </c>
      <c r="X203" s="44"/>
      <c r="Y203" s="44">
        <v>45318934</v>
      </c>
      <c r="Z203" s="44"/>
      <c r="AA203" s="44">
        <f>+'Stmt net assets'!Y203</f>
        <v>45895188</v>
      </c>
      <c r="AB203" s="44"/>
      <c r="AC203" s="44">
        <f>+Y203+'Stmt of activities-GA rev'!AC203-'Stmt of activities-GAexp'!W203-AA203</f>
        <v>0</v>
      </c>
    </row>
    <row r="204" spans="1:30" s="47" customFormat="1" ht="12.75" customHeight="1">
      <c r="A204" s="47" t="s">
        <v>233</v>
      </c>
      <c r="B204" s="51"/>
      <c r="C204" s="47" t="s">
        <v>111</v>
      </c>
      <c r="E204" s="44">
        <v>3020400</v>
      </c>
      <c r="F204" s="44"/>
      <c r="G204" s="44">
        <v>15274</v>
      </c>
      <c r="H204" s="44"/>
      <c r="I204" s="44">
        <v>557517</v>
      </c>
      <c r="J204" s="44"/>
      <c r="K204" s="44">
        <v>629165</v>
      </c>
      <c r="L204" s="44"/>
      <c r="M204" s="44">
        <v>2350862</v>
      </c>
      <c r="N204" s="44"/>
      <c r="O204" s="44">
        <v>0</v>
      </c>
      <c r="P204" s="44"/>
      <c r="Q204" s="44">
        <v>8932219</v>
      </c>
      <c r="R204" s="44"/>
      <c r="S204" s="44">
        <v>0</v>
      </c>
      <c r="T204" s="44"/>
      <c r="U204" s="44">
        <v>755444</v>
      </c>
      <c r="V204" s="44"/>
      <c r="W204" s="44">
        <f t="shared" si="5"/>
        <v>16260881</v>
      </c>
      <c r="X204" s="44"/>
      <c r="Y204" s="44">
        <v>50710094</v>
      </c>
      <c r="Z204" s="44"/>
      <c r="AA204" s="44">
        <f>+'Stmt net assets'!Y204</f>
        <v>50257061</v>
      </c>
      <c r="AB204" s="44"/>
      <c r="AC204" s="44">
        <f>+Y204+'Stmt of activities-GA rev'!AC204-'Stmt of activities-GAexp'!W204-AA204</f>
        <v>0</v>
      </c>
    </row>
    <row r="205" spans="1:30" s="47" customFormat="1" ht="12.75" customHeight="1">
      <c r="A205" s="47" t="s">
        <v>234</v>
      </c>
      <c r="B205" s="51"/>
      <c r="C205" s="47" t="s">
        <v>45</v>
      </c>
      <c r="E205" s="44">
        <v>8456664</v>
      </c>
      <c r="F205" s="44"/>
      <c r="G205" s="44">
        <v>329233</v>
      </c>
      <c r="H205" s="44"/>
      <c r="I205" s="44">
        <v>1966513</v>
      </c>
      <c r="J205" s="44"/>
      <c r="K205" s="44">
        <v>636329</v>
      </c>
      <c r="L205" s="44"/>
      <c r="M205" s="44">
        <v>3307332</v>
      </c>
      <c r="N205" s="44"/>
      <c r="O205" s="44">
        <v>0</v>
      </c>
      <c r="P205" s="44"/>
      <c r="Q205" s="44">
        <v>5918534</v>
      </c>
      <c r="R205" s="44"/>
      <c r="S205" s="44">
        <v>0</v>
      </c>
      <c r="T205" s="44"/>
      <c r="U205" s="44">
        <v>318455</v>
      </c>
      <c r="V205" s="44"/>
      <c r="W205" s="44">
        <f t="shared" si="5"/>
        <v>20933060</v>
      </c>
      <c r="X205" s="44"/>
      <c r="Y205" s="44">
        <v>48574163</v>
      </c>
      <c r="Z205" s="44"/>
      <c r="AA205" s="44">
        <f>+'Stmt net assets'!Y205</f>
        <v>49648744</v>
      </c>
      <c r="AB205" s="44"/>
      <c r="AC205" s="44">
        <f>+Y205+'Stmt of activities-GA rev'!AC205-'Stmt of activities-GAexp'!W205-AA205</f>
        <v>0</v>
      </c>
      <c r="AD205" s="44"/>
    </row>
    <row r="206" spans="1:30" s="47" customFormat="1" ht="12.75" customHeight="1">
      <c r="A206" s="47" t="s">
        <v>235</v>
      </c>
      <c r="C206" s="47" t="s">
        <v>183</v>
      </c>
      <c r="E206" s="44">
        <v>31711468</v>
      </c>
      <c r="F206" s="44"/>
      <c r="G206" s="44">
        <v>178853</v>
      </c>
      <c r="H206" s="44"/>
      <c r="I206" s="44">
        <v>2495682</v>
      </c>
      <c r="J206" s="44"/>
      <c r="K206" s="44">
        <v>5435289</v>
      </c>
      <c r="L206" s="44"/>
      <c r="M206" s="44">
        <v>7010019</v>
      </c>
      <c r="N206" s="44"/>
      <c r="O206" s="44">
        <v>300671</v>
      </c>
      <c r="P206" s="44"/>
      <c r="Q206" s="44">
        <v>11937339</v>
      </c>
      <c r="R206" s="44"/>
      <c r="S206" s="44">
        <v>0</v>
      </c>
      <c r="T206" s="44"/>
      <c r="U206" s="44">
        <v>699715</v>
      </c>
      <c r="V206" s="44"/>
      <c r="W206" s="44">
        <f t="shared" si="5"/>
        <v>59769036</v>
      </c>
      <c r="X206" s="44"/>
      <c r="Y206" s="44">
        <v>97335686</v>
      </c>
      <c r="Z206" s="44"/>
      <c r="AA206" s="44">
        <f>+'Stmt net assets'!Y206</f>
        <v>101404583</v>
      </c>
      <c r="AB206" s="44"/>
      <c r="AC206" s="44">
        <f>+Y206+'Stmt of activities-GA rev'!AC206-'Stmt of activities-GAexp'!W206-AA206</f>
        <v>0</v>
      </c>
      <c r="AD206" s="44"/>
    </row>
    <row r="207" spans="1:30" s="47" customFormat="1" ht="12.75" customHeight="1">
      <c r="A207" s="47" t="s">
        <v>236</v>
      </c>
      <c r="B207" s="51"/>
      <c r="C207" s="47" t="s">
        <v>45</v>
      </c>
      <c r="E207" s="44">
        <v>5047298</v>
      </c>
      <c r="F207" s="44"/>
      <c r="G207" s="44">
        <v>99653</v>
      </c>
      <c r="H207" s="44"/>
      <c r="I207" s="44">
        <v>501590</v>
      </c>
      <c r="J207" s="44"/>
      <c r="K207" s="44">
        <v>1387504</v>
      </c>
      <c r="L207" s="44"/>
      <c r="M207" s="44">
        <v>1071724</v>
      </c>
      <c r="N207" s="44"/>
      <c r="O207" s="44">
        <v>2159</v>
      </c>
      <c r="P207" s="44"/>
      <c r="Q207" s="44">
        <v>4181892</v>
      </c>
      <c r="R207" s="44"/>
      <c r="S207" s="44">
        <v>1645136</v>
      </c>
      <c r="T207" s="44"/>
      <c r="U207" s="44">
        <v>130687</v>
      </c>
      <c r="V207" s="44"/>
      <c r="W207" s="44">
        <f t="shared" si="5"/>
        <v>14067643</v>
      </c>
      <c r="X207" s="44"/>
      <c r="Y207" s="44">
        <v>24864360</v>
      </c>
      <c r="Z207" s="44"/>
      <c r="AA207" s="44">
        <f>+'Stmt net assets'!Y207</f>
        <v>24230445</v>
      </c>
      <c r="AB207" s="44"/>
      <c r="AC207" s="44">
        <f>+Y207+'Stmt of activities-GA rev'!AC207-'Stmt of activities-GAexp'!W207-AA207</f>
        <v>0</v>
      </c>
      <c r="AD207" s="44"/>
    </row>
    <row r="208" spans="1:30" s="47" customFormat="1" ht="12.75" customHeight="1">
      <c r="A208" s="47" t="s">
        <v>237</v>
      </c>
      <c r="B208" s="51"/>
      <c r="C208" s="47" t="s">
        <v>33</v>
      </c>
      <c r="E208" s="44">
        <v>1087923</v>
      </c>
      <c r="F208" s="44"/>
      <c r="G208" s="44">
        <v>32527</v>
      </c>
      <c r="H208" s="44"/>
      <c r="I208" s="44">
        <v>465524</v>
      </c>
      <c r="J208" s="44"/>
      <c r="K208" s="44">
        <v>597313</v>
      </c>
      <c r="L208" s="44"/>
      <c r="M208" s="44">
        <v>536574</v>
      </c>
      <c r="N208" s="44"/>
      <c r="O208" s="44">
        <v>0</v>
      </c>
      <c r="P208" s="44"/>
      <c r="Q208" s="44">
        <v>366145</v>
      </c>
      <c r="R208" s="44"/>
      <c r="S208" s="44">
        <v>0</v>
      </c>
      <c r="T208" s="44"/>
      <c r="U208" s="44">
        <v>49774</v>
      </c>
      <c r="V208" s="44"/>
      <c r="W208" s="44">
        <f t="shared" si="5"/>
        <v>3135780</v>
      </c>
      <c r="X208" s="44"/>
      <c r="Y208" s="44">
        <v>6383091</v>
      </c>
      <c r="Z208" s="44"/>
      <c r="AA208" s="44">
        <f>+'Stmt net assets'!Y208</f>
        <v>7677893</v>
      </c>
      <c r="AB208" s="44"/>
      <c r="AC208" s="44">
        <f>+Y208+'Stmt of activities-GA rev'!AC208-'Stmt of activities-GAexp'!W208-AA208</f>
        <v>0</v>
      </c>
    </row>
    <row r="209" spans="1:29" s="47" customFormat="1" ht="12.75" customHeight="1">
      <c r="A209" s="47" t="s">
        <v>238</v>
      </c>
      <c r="B209" s="51"/>
      <c r="C209" s="47" t="s">
        <v>239</v>
      </c>
      <c r="E209" s="44">
        <v>2975506</v>
      </c>
      <c r="F209" s="44"/>
      <c r="G209" s="44">
        <v>34343</v>
      </c>
      <c r="H209" s="44"/>
      <c r="I209" s="44">
        <v>319293</v>
      </c>
      <c r="J209" s="44"/>
      <c r="K209" s="44">
        <v>80002</v>
      </c>
      <c r="L209" s="44"/>
      <c r="M209" s="44">
        <v>1530396</v>
      </c>
      <c r="N209" s="44"/>
      <c r="O209" s="44">
        <v>0</v>
      </c>
      <c r="P209" s="44"/>
      <c r="Q209" s="44">
        <v>785323</v>
      </c>
      <c r="R209" s="44"/>
      <c r="S209" s="44">
        <v>0</v>
      </c>
      <c r="T209" s="44"/>
      <c r="U209" s="44">
        <v>16482</v>
      </c>
      <c r="V209" s="44"/>
      <c r="W209" s="44">
        <f t="shared" si="5"/>
        <v>5741345</v>
      </c>
      <c r="X209" s="44"/>
      <c r="Y209" s="44">
        <v>33178722</v>
      </c>
      <c r="Z209" s="44"/>
      <c r="AA209" s="44">
        <f>+'Stmt net assets'!Y209</f>
        <v>33361613</v>
      </c>
      <c r="AB209" s="44"/>
      <c r="AC209" s="44">
        <f>+Y209+'Stmt of activities-GA rev'!AC209-'Stmt of activities-GAexp'!W209-AA209</f>
        <v>0</v>
      </c>
    </row>
    <row r="210" spans="1:29" s="47" customFormat="1" ht="12.75" customHeight="1">
      <c r="A210" s="47" t="s">
        <v>486</v>
      </c>
      <c r="B210" s="51"/>
      <c r="C210" s="47" t="s">
        <v>249</v>
      </c>
      <c r="E210" s="44">
        <v>7992803</v>
      </c>
      <c r="F210" s="44"/>
      <c r="G210" s="44">
        <v>666247</v>
      </c>
      <c r="H210" s="44"/>
      <c r="I210" s="44">
        <v>1298556</v>
      </c>
      <c r="J210" s="44"/>
      <c r="K210" s="44">
        <v>978797</v>
      </c>
      <c r="L210" s="44"/>
      <c r="M210" s="44">
        <v>2951236</v>
      </c>
      <c r="N210" s="44"/>
      <c r="O210" s="44">
        <v>0</v>
      </c>
      <c r="P210" s="44"/>
      <c r="Q210" s="44">
        <v>3022604</v>
      </c>
      <c r="R210" s="44"/>
      <c r="S210" s="44">
        <v>0</v>
      </c>
      <c r="T210" s="44"/>
      <c r="U210" s="44">
        <v>200235</v>
      </c>
      <c r="V210" s="44"/>
      <c r="W210" s="44">
        <f t="shared" si="5"/>
        <v>17110478</v>
      </c>
      <c r="X210" s="44"/>
      <c r="Y210" s="44">
        <v>25137164</v>
      </c>
      <c r="Z210" s="44"/>
      <c r="AA210" s="44">
        <f>+'Stmt net assets'!Y210</f>
        <v>26922226</v>
      </c>
      <c r="AB210" s="44"/>
      <c r="AC210" s="44">
        <f>+Y210+'Stmt of activities-GA rev'!AC210-'Stmt of activities-GAexp'!W210-AA210</f>
        <v>0</v>
      </c>
    </row>
    <row r="211" spans="1:29" s="47" customFormat="1" ht="12.75" customHeight="1">
      <c r="A211" s="47" t="s">
        <v>240</v>
      </c>
      <c r="B211" s="51"/>
      <c r="C211" s="47" t="s">
        <v>13</v>
      </c>
      <c r="E211" s="44">
        <v>14418225</v>
      </c>
      <c r="F211" s="44"/>
      <c r="G211" s="44">
        <v>421832</v>
      </c>
      <c r="H211" s="44"/>
      <c r="I211" s="44">
        <v>2286945</v>
      </c>
      <c r="J211" s="44"/>
      <c r="K211" s="44">
        <v>1380821</v>
      </c>
      <c r="L211" s="44"/>
      <c r="M211" s="44">
        <v>4114784</v>
      </c>
      <c r="N211" s="44"/>
      <c r="O211" s="44">
        <v>0</v>
      </c>
      <c r="P211" s="44"/>
      <c r="Q211" s="44">
        <v>10154101</v>
      </c>
      <c r="R211" s="44"/>
      <c r="S211" s="44">
        <v>0</v>
      </c>
      <c r="T211" s="44"/>
      <c r="U211" s="44">
        <v>1074985</v>
      </c>
      <c r="V211" s="44"/>
      <c r="W211" s="44">
        <f t="shared" si="5"/>
        <v>33851693</v>
      </c>
      <c r="X211" s="44"/>
      <c r="Y211" s="44">
        <v>49065283</v>
      </c>
      <c r="Z211" s="44"/>
      <c r="AA211" s="44">
        <f>+'Stmt net assets'!Y211</f>
        <v>51569662</v>
      </c>
      <c r="AB211" s="44"/>
      <c r="AC211" s="44">
        <f>+Y211+'Stmt of activities-GA rev'!AC211-'Stmt of activities-GAexp'!W211-AA211</f>
        <v>0</v>
      </c>
    </row>
    <row r="212" spans="1:29" s="47" customFormat="1" ht="12.75" customHeight="1">
      <c r="A212" s="47" t="s">
        <v>241</v>
      </c>
      <c r="B212" s="51"/>
      <c r="C212" s="47" t="s">
        <v>22</v>
      </c>
      <c r="E212" s="44">
        <v>5984715</v>
      </c>
      <c r="F212" s="44"/>
      <c r="G212" s="44">
        <v>34247</v>
      </c>
      <c r="H212" s="44"/>
      <c r="I212" s="44">
        <v>529846</v>
      </c>
      <c r="J212" s="44"/>
      <c r="K212" s="44">
        <f>859585+300</f>
        <v>859885</v>
      </c>
      <c r="L212" s="44"/>
      <c r="M212" s="44">
        <v>949330</v>
      </c>
      <c r="N212" s="44"/>
      <c r="O212" s="44">
        <v>777657</v>
      </c>
      <c r="P212" s="44"/>
      <c r="Q212" s="44">
        <v>2617179</v>
      </c>
      <c r="R212" s="44"/>
      <c r="S212" s="44">
        <v>0</v>
      </c>
      <c r="T212" s="44"/>
      <c r="U212" s="44">
        <v>185279</v>
      </c>
      <c r="V212" s="44"/>
      <c r="W212" s="44">
        <f t="shared" si="5"/>
        <v>11938138</v>
      </c>
      <c r="X212" s="44"/>
      <c r="Y212" s="44">
        <v>12406273</v>
      </c>
      <c r="Z212" s="44"/>
      <c r="AA212" s="44">
        <f>+'Stmt net assets'!Y212</f>
        <v>12307033</v>
      </c>
      <c r="AB212" s="44"/>
      <c r="AC212" s="44">
        <f>+Y212+'Stmt of activities-GA rev'!AC212-'Stmt of activities-GAexp'!W212-AA212</f>
        <v>0</v>
      </c>
    </row>
    <row r="213" spans="1:29" s="47" customFormat="1" ht="12.75" customHeight="1">
      <c r="A213" s="47" t="s">
        <v>242</v>
      </c>
      <c r="B213" s="51"/>
      <c r="C213" s="47" t="s">
        <v>27</v>
      </c>
      <c r="E213" s="44">
        <v>19224379</v>
      </c>
      <c r="F213" s="44"/>
      <c r="G213" s="44">
        <v>664106</v>
      </c>
      <c r="H213" s="44"/>
      <c r="I213" s="44">
        <v>5699830</v>
      </c>
      <c r="J213" s="44"/>
      <c r="K213" s="44">
        <v>1342951</v>
      </c>
      <c r="L213" s="44"/>
      <c r="M213" s="44">
        <v>15647804</v>
      </c>
      <c r="N213" s="44"/>
      <c r="O213" s="44">
        <v>2527962</v>
      </c>
      <c r="P213" s="44"/>
      <c r="Q213" s="44">
        <v>6508706</v>
      </c>
      <c r="R213" s="44"/>
      <c r="S213" s="44">
        <v>0</v>
      </c>
      <c r="T213" s="44"/>
      <c r="U213" s="44">
        <v>2586722</v>
      </c>
      <c r="V213" s="44"/>
      <c r="W213" s="44">
        <f t="shared" si="5"/>
        <v>54202460</v>
      </c>
      <c r="X213" s="44"/>
      <c r="Y213" s="44">
        <v>165907787</v>
      </c>
      <c r="Z213" s="44"/>
      <c r="AA213" s="44">
        <f>+'Stmt net assets'!Y213</f>
        <v>163304646</v>
      </c>
      <c r="AB213" s="44"/>
      <c r="AC213" s="44">
        <f>+Y213+'Stmt of activities-GA rev'!AC213-'Stmt of activities-GAexp'!W213-AA213</f>
        <v>0</v>
      </c>
    </row>
    <row r="214" spans="1:29" s="47" customFormat="1" ht="12.75" customHeight="1">
      <c r="A214" s="47" t="s">
        <v>243</v>
      </c>
      <c r="B214" s="51"/>
      <c r="C214" s="47" t="s">
        <v>163</v>
      </c>
      <c r="E214" s="44">
        <v>6778958</v>
      </c>
      <c r="F214" s="44"/>
      <c r="G214" s="44">
        <v>205156</v>
      </c>
      <c r="H214" s="44"/>
      <c r="I214" s="44">
        <v>1287770</v>
      </c>
      <c r="J214" s="44"/>
      <c r="K214" s="44">
        <v>789758</v>
      </c>
      <c r="L214" s="44"/>
      <c r="M214" s="44">
        <v>3375678</v>
      </c>
      <c r="N214" s="44"/>
      <c r="O214" s="44">
        <v>1251992</v>
      </c>
      <c r="P214" s="44"/>
      <c r="Q214" s="44">
        <v>6649815</v>
      </c>
      <c r="R214" s="44"/>
      <c r="S214" s="44">
        <v>0</v>
      </c>
      <c r="T214" s="44"/>
      <c r="U214" s="44">
        <v>604649</v>
      </c>
      <c r="V214" s="44"/>
      <c r="W214" s="44">
        <f t="shared" si="5"/>
        <v>20943776</v>
      </c>
      <c r="X214" s="44"/>
      <c r="Y214" s="44">
        <v>46880332</v>
      </c>
      <c r="Z214" s="44"/>
      <c r="AA214" s="44">
        <f>+'Stmt net assets'!Y214</f>
        <v>42591154</v>
      </c>
      <c r="AB214" s="44"/>
      <c r="AC214" s="44">
        <f>+Y214+'Stmt of activities-GA rev'!AC214-'Stmt of activities-GAexp'!W214-AA214</f>
        <v>0</v>
      </c>
    </row>
    <row r="215" spans="1:29" s="47" customFormat="1" ht="12.75" customHeight="1">
      <c r="A215" s="47" t="s">
        <v>244</v>
      </c>
      <c r="B215" s="51"/>
      <c r="C215" s="47" t="s">
        <v>13</v>
      </c>
      <c r="E215" s="44">
        <f>3822765+28469+2901712</f>
        <v>6752946</v>
      </c>
      <c r="F215" s="44"/>
      <c r="G215" s="44">
        <v>49994</v>
      </c>
      <c r="H215" s="44"/>
      <c r="I215" s="44">
        <v>2003019</v>
      </c>
      <c r="J215" s="44"/>
      <c r="K215" s="44">
        <v>2767165</v>
      </c>
      <c r="L215" s="44"/>
      <c r="M215" s="44">
        <v>105154</v>
      </c>
      <c r="N215" s="44"/>
      <c r="O215" s="44">
        <v>0</v>
      </c>
      <c r="P215" s="44"/>
      <c r="Q215" s="44">
        <v>3254377</v>
      </c>
      <c r="R215" s="44"/>
      <c r="S215" s="44">
        <v>0</v>
      </c>
      <c r="T215" s="44"/>
      <c r="U215" s="44">
        <v>479892</v>
      </c>
      <c r="V215" s="44"/>
      <c r="W215" s="44">
        <f t="shared" si="5"/>
        <v>15412547</v>
      </c>
      <c r="X215" s="44"/>
      <c r="Y215" s="44">
        <v>22316878</v>
      </c>
      <c r="Z215" s="44"/>
      <c r="AA215" s="44">
        <f>+'Stmt net assets'!Y215</f>
        <v>22986437</v>
      </c>
      <c r="AB215" s="44"/>
      <c r="AC215" s="44">
        <f>+Y215+'Stmt of activities-GA rev'!AC215-'Stmt of activities-GAexp'!W215-AA215</f>
        <v>0</v>
      </c>
    </row>
    <row r="216" spans="1:29" s="47" customFormat="1" ht="13.5" customHeight="1">
      <c r="A216" s="47" t="s">
        <v>245</v>
      </c>
      <c r="B216" s="51"/>
      <c r="C216" s="47" t="s">
        <v>110</v>
      </c>
      <c r="E216" s="44">
        <v>7162397</v>
      </c>
      <c r="F216" s="44"/>
      <c r="G216" s="44">
        <v>6618</v>
      </c>
      <c r="H216" s="44"/>
      <c r="I216" s="44">
        <v>489402</v>
      </c>
      <c r="J216" s="44"/>
      <c r="K216" s="44">
        <v>355782</v>
      </c>
      <c r="L216" s="44"/>
      <c r="M216" s="44">
        <v>1687871</v>
      </c>
      <c r="N216" s="44"/>
      <c r="O216" s="44">
        <v>0</v>
      </c>
      <c r="P216" s="44"/>
      <c r="Q216" s="44">
        <v>3795493</v>
      </c>
      <c r="R216" s="44"/>
      <c r="S216" s="44">
        <f>5426+59260</f>
        <v>64686</v>
      </c>
      <c r="T216" s="44"/>
      <c r="U216" s="44">
        <v>98613</v>
      </c>
      <c r="V216" s="44"/>
      <c r="W216" s="44">
        <f t="shared" si="5"/>
        <v>13660862</v>
      </c>
      <c r="X216" s="44"/>
      <c r="Y216" s="44">
        <v>26025481</v>
      </c>
      <c r="Z216" s="44"/>
      <c r="AA216" s="44">
        <f>+'Stmt net assets'!Y216</f>
        <v>26047786</v>
      </c>
      <c r="AB216" s="44"/>
      <c r="AC216" s="44">
        <f>+Y216+'Stmt of activities-GA rev'!AC216-'Stmt of activities-GAexp'!W216-AA216</f>
        <v>0</v>
      </c>
    </row>
    <row r="217" spans="1:29" s="47" customFormat="1" ht="12.75" customHeight="1">
      <c r="A217" s="47" t="s">
        <v>246</v>
      </c>
      <c r="B217" s="51"/>
      <c r="C217" s="47" t="s">
        <v>209</v>
      </c>
      <c r="E217" s="44">
        <v>3286305</v>
      </c>
      <c r="F217" s="44"/>
      <c r="G217" s="44">
        <v>0</v>
      </c>
      <c r="H217" s="44"/>
      <c r="I217" s="44">
        <v>1320200</v>
      </c>
      <c r="J217" s="44"/>
      <c r="K217" s="44">
        <v>260189</v>
      </c>
      <c r="L217" s="44"/>
      <c r="M217" s="44">
        <v>1858692</v>
      </c>
      <c r="N217" s="44"/>
      <c r="O217" s="44">
        <v>238584</v>
      </c>
      <c r="P217" s="44"/>
      <c r="Q217" s="44">
        <v>1601373</v>
      </c>
      <c r="R217" s="44"/>
      <c r="S217" s="44">
        <v>0</v>
      </c>
      <c r="T217" s="44"/>
      <c r="U217" s="44">
        <v>243087</v>
      </c>
      <c r="V217" s="44"/>
      <c r="W217" s="44">
        <f t="shared" si="5"/>
        <v>8808430</v>
      </c>
      <c r="X217" s="44"/>
      <c r="Y217" s="44">
        <v>39940544</v>
      </c>
      <c r="Z217" s="44"/>
      <c r="AA217" s="44">
        <f>+'Stmt net assets'!Y217</f>
        <v>40220948</v>
      </c>
      <c r="AB217" s="44"/>
      <c r="AC217" s="44">
        <f>+Y217+'Stmt of activities-GA rev'!AC217-'Stmt of activities-GAexp'!W217-AA217</f>
        <v>0</v>
      </c>
    </row>
    <row r="218" spans="1:29" s="47" customFormat="1" ht="12.75" customHeight="1">
      <c r="A218" s="47" t="s">
        <v>247</v>
      </c>
      <c r="C218" s="47" t="s">
        <v>163</v>
      </c>
      <c r="E218" s="44">
        <v>157024000</v>
      </c>
      <c r="F218" s="44"/>
      <c r="G218" s="44">
        <v>17569000</v>
      </c>
      <c r="H218" s="44"/>
      <c r="I218" s="44">
        <v>6933000</v>
      </c>
      <c r="J218" s="44"/>
      <c r="K218" s="44">
        <v>19634000</v>
      </c>
      <c r="L218" s="44"/>
      <c r="M218" s="44">
        <v>56085000</v>
      </c>
      <c r="N218" s="44"/>
      <c r="O218" s="44">
        <v>139000</v>
      </c>
      <c r="P218" s="44"/>
      <c r="Q218" s="44">
        <v>28464000</v>
      </c>
      <c r="R218" s="44"/>
      <c r="S218" s="44">
        <v>0</v>
      </c>
      <c r="T218" s="44"/>
      <c r="U218" s="44">
        <v>12442000</v>
      </c>
      <c r="V218" s="44"/>
      <c r="W218" s="44">
        <f t="shared" si="5"/>
        <v>298290000</v>
      </c>
      <c r="X218" s="44"/>
      <c r="Y218" s="44">
        <v>384395000</v>
      </c>
      <c r="Z218" s="44"/>
      <c r="AA218" s="44">
        <f>+'Stmt net assets'!Y218</f>
        <v>402408000</v>
      </c>
      <c r="AB218" s="44"/>
      <c r="AC218" s="44">
        <f>+Y218+'Stmt of activities-GA rev'!AC218-'Stmt of activities-GAexp'!W218-AA218</f>
        <v>0</v>
      </c>
    </row>
    <row r="219" spans="1:29" s="44" customFormat="1" ht="12.75" customHeight="1">
      <c r="A219" s="47" t="s">
        <v>248</v>
      </c>
      <c r="B219" s="51"/>
      <c r="C219" s="47" t="s">
        <v>249</v>
      </c>
      <c r="D219" s="47"/>
      <c r="E219" s="44">
        <v>1759542</v>
      </c>
      <c r="G219" s="44">
        <v>18338</v>
      </c>
      <c r="I219" s="44">
        <v>220633</v>
      </c>
      <c r="K219" s="44">
        <v>421240</v>
      </c>
      <c r="M219" s="44">
        <v>589676</v>
      </c>
      <c r="O219" s="44">
        <v>0</v>
      </c>
      <c r="Q219" s="44">
        <v>503138</v>
      </c>
      <c r="S219" s="44">
        <v>0</v>
      </c>
      <c r="U219" s="44">
        <v>44574</v>
      </c>
      <c r="W219" s="44">
        <f t="shared" si="5"/>
        <v>3557141</v>
      </c>
      <c r="Y219" s="44">
        <v>6188674</v>
      </c>
      <c r="AA219" s="44">
        <f>+'Stmt net assets'!Y219</f>
        <v>5915932</v>
      </c>
      <c r="AC219" s="44">
        <f>+Y219+'Stmt of activities-GA rev'!AC219-'Stmt of activities-GAexp'!W219-AA219</f>
        <v>0</v>
      </c>
    </row>
    <row r="220" spans="1:29" s="47" customFormat="1" ht="12.75" customHeight="1">
      <c r="A220" s="47" t="s">
        <v>250</v>
      </c>
      <c r="B220" s="51"/>
      <c r="C220" s="47" t="s">
        <v>103</v>
      </c>
      <c r="E220" s="44">
        <v>2682530</v>
      </c>
      <c r="F220" s="44"/>
      <c r="G220" s="44">
        <v>71909</v>
      </c>
      <c r="H220" s="44"/>
      <c r="I220" s="44">
        <v>76159</v>
      </c>
      <c r="J220" s="44"/>
      <c r="K220" s="44">
        <v>176633</v>
      </c>
      <c r="L220" s="44"/>
      <c r="M220" s="44">
        <v>485642</v>
      </c>
      <c r="N220" s="44"/>
      <c r="O220" s="44">
        <v>0</v>
      </c>
      <c r="P220" s="44"/>
      <c r="Q220" s="44">
        <v>404712</v>
      </c>
      <c r="R220" s="44"/>
      <c r="S220" s="44">
        <v>62082</v>
      </c>
      <c r="T220" s="44"/>
      <c r="U220" s="44">
        <v>20809</v>
      </c>
      <c r="V220" s="44"/>
      <c r="W220" s="44">
        <f t="shared" si="5"/>
        <v>3980476</v>
      </c>
      <c r="X220" s="44"/>
      <c r="Y220" s="44">
        <v>6204533</v>
      </c>
      <c r="Z220" s="44"/>
      <c r="AA220" s="44">
        <f>+'Stmt net assets'!Y220</f>
        <v>6060997</v>
      </c>
      <c r="AB220" s="44"/>
      <c r="AC220" s="44">
        <f>+Y220+'Stmt of activities-GA rev'!AC220-'Stmt of activities-GAexp'!W220-AA220</f>
        <v>0</v>
      </c>
    </row>
    <row r="221" spans="1:29" s="47" customFormat="1" ht="12.75" customHeight="1">
      <c r="A221" s="47" t="s">
        <v>251</v>
      </c>
      <c r="B221" s="51"/>
      <c r="C221" s="47" t="s">
        <v>66</v>
      </c>
      <c r="E221" s="44">
        <v>10146961</v>
      </c>
      <c r="F221" s="44"/>
      <c r="G221" s="44">
        <v>0</v>
      </c>
      <c r="H221" s="44"/>
      <c r="I221" s="44">
        <v>452003</v>
      </c>
      <c r="J221" s="44"/>
      <c r="K221" s="44">
        <v>1604067</v>
      </c>
      <c r="L221" s="44"/>
      <c r="M221" s="44">
        <v>3077816</v>
      </c>
      <c r="N221" s="44"/>
      <c r="O221" s="44">
        <v>0</v>
      </c>
      <c r="P221" s="44"/>
      <c r="Q221" s="44">
        <v>3503943</v>
      </c>
      <c r="R221" s="44"/>
      <c r="S221" s="44">
        <v>0</v>
      </c>
      <c r="T221" s="44"/>
      <c r="U221" s="44">
        <v>780516</v>
      </c>
      <c r="V221" s="44"/>
      <c r="W221" s="44">
        <f t="shared" si="5"/>
        <v>19565306</v>
      </c>
      <c r="X221" s="44"/>
      <c r="Y221" s="44">
        <v>43161215</v>
      </c>
      <c r="Z221" s="44"/>
      <c r="AA221" s="44">
        <f>+'Stmt net assets'!Y222</f>
        <v>42547741</v>
      </c>
      <c r="AB221" s="44"/>
      <c r="AC221" s="44">
        <f>+Y221+'Stmt of activities-GA rev'!AC221-'Stmt of activities-GAexp'!W221-AA221</f>
        <v>0</v>
      </c>
    </row>
    <row r="222" spans="1:29" s="47" customFormat="1" ht="12.75" customHeight="1">
      <c r="A222" s="47" t="s">
        <v>252</v>
      </c>
      <c r="B222" s="51"/>
      <c r="C222" s="47" t="s">
        <v>209</v>
      </c>
      <c r="E222" s="44">
        <v>9602958</v>
      </c>
      <c r="F222" s="44"/>
      <c r="G222" s="44">
        <v>455342</v>
      </c>
      <c r="H222" s="44"/>
      <c r="I222" s="44">
        <v>1800337</v>
      </c>
      <c r="J222" s="44"/>
      <c r="K222" s="44">
        <v>769748</v>
      </c>
      <c r="L222" s="44"/>
      <c r="M222" s="44">
        <v>2181607</v>
      </c>
      <c r="N222" s="44"/>
      <c r="O222" s="44">
        <v>1285995</v>
      </c>
      <c r="P222" s="44"/>
      <c r="Q222" s="44">
        <v>4703316</v>
      </c>
      <c r="R222" s="44"/>
      <c r="S222" s="44">
        <v>0</v>
      </c>
      <c r="T222" s="44"/>
      <c r="U222" s="44">
        <v>490667</v>
      </c>
      <c r="V222" s="44"/>
      <c r="W222" s="44">
        <f t="shared" si="5"/>
        <v>21289970</v>
      </c>
      <c r="X222" s="44"/>
      <c r="Y222" s="44">
        <v>80605916</v>
      </c>
      <c r="Z222" s="44"/>
      <c r="AA222" s="44">
        <f>+'Stmt net assets'!Y223</f>
        <v>84094917</v>
      </c>
      <c r="AB222" s="44"/>
      <c r="AC222" s="44">
        <f>+Y222+'Stmt of activities-GA rev'!AC222-'Stmt of activities-GAexp'!W222-AA222</f>
        <v>0</v>
      </c>
    </row>
    <row r="223" spans="1:29" s="47" customFormat="1" ht="12.75" customHeight="1">
      <c r="A223" s="47" t="s">
        <v>253</v>
      </c>
      <c r="B223" s="51"/>
      <c r="C223" s="47" t="s">
        <v>13</v>
      </c>
      <c r="E223" s="44">
        <v>6664804</v>
      </c>
      <c r="F223" s="44"/>
      <c r="G223" s="44">
        <v>0</v>
      </c>
      <c r="H223" s="44"/>
      <c r="I223" s="44">
        <v>2272941</v>
      </c>
      <c r="J223" s="44"/>
      <c r="K223" s="44">
        <v>1589809</v>
      </c>
      <c r="L223" s="44"/>
      <c r="M223" s="44">
        <v>7443016</v>
      </c>
      <c r="N223" s="44"/>
      <c r="O223" s="44">
        <v>40200</v>
      </c>
      <c r="P223" s="44"/>
      <c r="Q223" s="44">
        <v>5284533</v>
      </c>
      <c r="R223" s="44"/>
      <c r="S223" s="44">
        <v>0</v>
      </c>
      <c r="T223" s="44"/>
      <c r="U223" s="44">
        <v>650601</v>
      </c>
      <c r="V223" s="44"/>
      <c r="W223" s="44">
        <f t="shared" si="5"/>
        <v>23945904</v>
      </c>
      <c r="X223" s="44"/>
      <c r="Y223" s="44">
        <v>128845930</v>
      </c>
      <c r="Z223" s="44"/>
      <c r="AA223" s="44">
        <f>+'Stmt net assets'!Y224</f>
        <v>129045147</v>
      </c>
      <c r="AB223" s="44"/>
      <c r="AC223" s="44">
        <f>+Y223+'Stmt of activities-GA rev'!AC223-'Stmt of activities-GAexp'!W223-AA223</f>
        <v>0</v>
      </c>
    </row>
    <row r="224" spans="1:29" s="47" customFormat="1" ht="12.75" customHeight="1">
      <c r="A224" s="47" t="s">
        <v>254</v>
      </c>
      <c r="B224" s="51"/>
      <c r="C224" s="47" t="s">
        <v>89</v>
      </c>
      <c r="E224" s="44">
        <v>1395816</v>
      </c>
      <c r="F224" s="44"/>
      <c r="G224" s="44">
        <v>206004</v>
      </c>
      <c r="H224" s="44"/>
      <c r="I224" s="44">
        <v>16204</v>
      </c>
      <c r="J224" s="44"/>
      <c r="K224" s="44">
        <v>328793</v>
      </c>
      <c r="L224" s="44"/>
      <c r="M224" s="44">
        <v>437746</v>
      </c>
      <c r="N224" s="44"/>
      <c r="O224" s="44">
        <v>0</v>
      </c>
      <c r="P224" s="44"/>
      <c r="Q224" s="44">
        <v>648069</v>
      </c>
      <c r="R224" s="44"/>
      <c r="S224" s="44">
        <v>0</v>
      </c>
      <c r="T224" s="44"/>
      <c r="U224" s="44">
        <v>116340</v>
      </c>
      <c r="V224" s="44"/>
      <c r="W224" s="44">
        <f t="shared" si="5"/>
        <v>3148972</v>
      </c>
      <c r="X224" s="44"/>
      <c r="Y224" s="44">
        <v>7870643</v>
      </c>
      <c r="Z224" s="44"/>
      <c r="AA224" s="44">
        <f>+'Stmt net assets'!Y225</f>
        <v>7593326</v>
      </c>
      <c r="AB224" s="44"/>
      <c r="AC224" s="44">
        <f>+Y224+'Stmt of activities-GA rev'!AC224-'Stmt of activities-GAexp'!W224-AA224</f>
        <v>0</v>
      </c>
    </row>
    <row r="225" spans="1:29" s="47" customFormat="1" ht="12.75" customHeight="1">
      <c r="A225" s="47" t="s">
        <v>159</v>
      </c>
      <c r="B225" s="51"/>
      <c r="C225" s="47" t="s">
        <v>66</v>
      </c>
      <c r="E225" s="44">
        <v>1700221</v>
      </c>
      <c r="F225" s="44"/>
      <c r="G225" s="44">
        <v>14364</v>
      </c>
      <c r="H225" s="44"/>
      <c r="I225" s="44">
        <v>66844</v>
      </c>
      <c r="J225" s="44"/>
      <c r="K225" s="44">
        <v>402871</v>
      </c>
      <c r="L225" s="44"/>
      <c r="M225" s="44">
        <v>697051</v>
      </c>
      <c r="N225" s="44"/>
      <c r="O225" s="44">
        <v>0</v>
      </c>
      <c r="P225" s="44"/>
      <c r="Q225" s="44">
        <v>817761</v>
      </c>
      <c r="R225" s="44"/>
      <c r="S225" s="44">
        <v>0</v>
      </c>
      <c r="T225" s="44"/>
      <c r="U225" s="44">
        <v>66990</v>
      </c>
      <c r="V225" s="44"/>
      <c r="W225" s="44">
        <f t="shared" si="5"/>
        <v>3766102</v>
      </c>
      <c r="X225" s="44"/>
      <c r="Y225" s="44">
        <v>5706838</v>
      </c>
      <c r="Z225" s="44"/>
      <c r="AA225" s="44">
        <f>+'Stmt net assets'!Y226</f>
        <v>6285710</v>
      </c>
      <c r="AB225" s="44"/>
      <c r="AC225" s="44">
        <f>+Y225+'Stmt of activities-GA rev'!AC225-'Stmt of activities-GAexp'!W225-AA225</f>
        <v>0</v>
      </c>
    </row>
    <row r="226" spans="1:29" s="47" customFormat="1" ht="12.75" customHeight="1">
      <c r="A226" s="47" t="s">
        <v>255</v>
      </c>
      <c r="B226" s="51"/>
      <c r="C226" s="47" t="s">
        <v>27</v>
      </c>
      <c r="E226" s="44">
        <v>7625250</v>
      </c>
      <c r="F226" s="44"/>
      <c r="G226" s="44">
        <v>52340</v>
      </c>
      <c r="H226" s="44"/>
      <c r="I226" s="44">
        <v>374275</v>
      </c>
      <c r="J226" s="44"/>
      <c r="K226" s="44">
        <v>5084458</v>
      </c>
      <c r="L226" s="44"/>
      <c r="M226" s="44">
        <v>1843389</v>
      </c>
      <c r="N226" s="44"/>
      <c r="O226" s="44">
        <v>0</v>
      </c>
      <c r="P226" s="44"/>
      <c r="Q226" s="44">
        <v>1564555</v>
      </c>
      <c r="R226" s="44"/>
      <c r="S226" s="44">
        <v>4128546</v>
      </c>
      <c r="T226" s="44"/>
      <c r="U226" s="44">
        <v>123112</v>
      </c>
      <c r="V226" s="44"/>
      <c r="W226" s="44">
        <f t="shared" si="5"/>
        <v>20795925</v>
      </c>
      <c r="X226" s="44"/>
      <c r="Y226" s="44">
        <v>8035259</v>
      </c>
      <c r="Z226" s="44"/>
      <c r="AA226" s="44">
        <f>+'Stmt net assets'!Y227</f>
        <v>7559805</v>
      </c>
      <c r="AB226" s="44"/>
      <c r="AC226" s="44">
        <f>+Y226+'Stmt of activities-GA rev'!AC226-'Stmt of activities-GAexp'!W226-AA226</f>
        <v>0</v>
      </c>
    </row>
    <row r="227" spans="1:29" s="148" customFormat="1" ht="12.75" customHeight="1">
      <c r="A227" s="148" t="s">
        <v>256</v>
      </c>
      <c r="B227" s="149"/>
      <c r="C227" s="148" t="s">
        <v>43</v>
      </c>
      <c r="E227" s="44">
        <v>16110459</v>
      </c>
      <c r="F227" s="44"/>
      <c r="G227" s="44">
        <v>0</v>
      </c>
      <c r="H227" s="44"/>
      <c r="I227" s="44">
        <v>3346205</v>
      </c>
      <c r="J227" s="44"/>
      <c r="K227" s="44">
        <v>984248</v>
      </c>
      <c r="L227" s="44"/>
      <c r="M227" s="44">
        <v>4708526</v>
      </c>
      <c r="N227" s="44"/>
      <c r="O227" s="44">
        <v>0</v>
      </c>
      <c r="P227" s="44"/>
      <c r="Q227" s="44">
        <v>8189078</v>
      </c>
      <c r="R227" s="44"/>
      <c r="S227" s="44">
        <v>0</v>
      </c>
      <c r="T227" s="44"/>
      <c r="U227" s="44">
        <v>1204757</v>
      </c>
      <c r="V227" s="44"/>
      <c r="W227" s="44">
        <f t="shared" si="5"/>
        <v>34543273</v>
      </c>
      <c r="X227" s="44"/>
      <c r="Y227" s="44">
        <v>77307736</v>
      </c>
      <c r="Z227" s="44"/>
      <c r="AA227" s="44">
        <f>+'Stmt net assets'!Y228</f>
        <v>77728315</v>
      </c>
      <c r="AB227" s="44"/>
      <c r="AC227" s="44">
        <f>+Y227+'Stmt of activities-GA rev'!AC227-'Stmt of activities-GAexp'!W227-AA227</f>
        <v>0</v>
      </c>
    </row>
    <row r="228" spans="1:29" s="47" customFormat="1" ht="12.75" customHeight="1">
      <c r="A228" s="47" t="s">
        <v>257</v>
      </c>
      <c r="B228" s="51"/>
      <c r="C228" s="47" t="s">
        <v>258</v>
      </c>
      <c r="E228" s="44">
        <v>1738055</v>
      </c>
      <c r="F228" s="44"/>
      <c r="G228" s="44">
        <v>41819</v>
      </c>
      <c r="H228" s="44"/>
      <c r="I228" s="44">
        <v>442012</v>
      </c>
      <c r="J228" s="44"/>
      <c r="K228" s="44">
        <v>222940</v>
      </c>
      <c r="L228" s="44"/>
      <c r="M228" s="44">
        <v>579438</v>
      </c>
      <c r="N228" s="44"/>
      <c r="O228" s="44">
        <v>76325</v>
      </c>
      <c r="P228" s="44"/>
      <c r="Q228" s="44">
        <f>504832+705874</f>
        <v>1210706</v>
      </c>
      <c r="R228" s="44"/>
      <c r="S228" s="44">
        <v>2317</v>
      </c>
      <c r="T228" s="44"/>
      <c r="U228" s="44">
        <v>249527</v>
      </c>
      <c r="V228" s="44"/>
      <c r="W228" s="44">
        <f t="shared" si="5"/>
        <v>4563139</v>
      </c>
      <c r="X228" s="44"/>
      <c r="Y228" s="44">
        <v>2945261</v>
      </c>
      <c r="Z228" s="44"/>
      <c r="AA228" s="44">
        <f>+'Stmt net assets'!Y229</f>
        <v>3197179</v>
      </c>
      <c r="AB228" s="44"/>
      <c r="AC228" s="44">
        <f>+Y228+'Stmt of activities-GA rev'!AC228-'Stmt of activities-GAexp'!W228-AA228</f>
        <v>0</v>
      </c>
    </row>
    <row r="229" spans="1:29" s="47" customFormat="1" ht="12.75" customHeight="1">
      <c r="A229" s="47" t="s">
        <v>259</v>
      </c>
      <c r="B229" s="51"/>
      <c r="C229" s="47" t="s">
        <v>260</v>
      </c>
      <c r="E229" s="44">
        <v>5187549</v>
      </c>
      <c r="F229" s="44"/>
      <c r="G229" s="44">
        <v>312817</v>
      </c>
      <c r="H229" s="44"/>
      <c r="I229" s="44">
        <v>450070</v>
      </c>
      <c r="J229" s="44"/>
      <c r="K229" s="44">
        <v>365117</v>
      </c>
      <c r="L229" s="44"/>
      <c r="M229" s="44">
        <v>2102715</v>
      </c>
      <c r="N229" s="44"/>
      <c r="O229" s="44">
        <v>0</v>
      </c>
      <c r="P229" s="44"/>
      <c r="Q229" s="44">
        <v>2205693</v>
      </c>
      <c r="R229" s="44"/>
      <c r="S229" s="44">
        <v>0</v>
      </c>
      <c r="T229" s="44"/>
      <c r="U229" s="44">
        <v>125462</v>
      </c>
      <c r="V229" s="44"/>
      <c r="W229" s="44">
        <f t="shared" si="5"/>
        <v>10749423</v>
      </c>
      <c r="X229" s="44"/>
      <c r="Y229" s="44">
        <v>22581830</v>
      </c>
      <c r="Z229" s="44"/>
      <c r="AA229" s="44">
        <f>+'Stmt net assets'!Y230</f>
        <v>23416114</v>
      </c>
      <c r="AB229" s="44"/>
      <c r="AC229" s="44">
        <f>+Y229+'Stmt of activities-GA rev'!AC229-'Stmt of activities-GAexp'!W229-AA229</f>
        <v>0</v>
      </c>
    </row>
    <row r="230" spans="1:29" s="47" customFormat="1" ht="12.75" customHeight="1">
      <c r="A230" s="47" t="s">
        <v>261</v>
      </c>
      <c r="B230" s="51"/>
      <c r="C230" s="47" t="s">
        <v>66</v>
      </c>
      <c r="E230" s="44">
        <f>4537402+2068283</f>
        <v>6605685</v>
      </c>
      <c r="F230" s="44"/>
      <c r="G230" s="44">
        <v>0</v>
      </c>
      <c r="H230" s="44"/>
      <c r="I230" s="44">
        <v>4099980</v>
      </c>
      <c r="J230" s="44"/>
      <c r="K230" s="44">
        <v>0</v>
      </c>
      <c r="L230" s="44"/>
      <c r="M230" s="44">
        <f>1264780+3750369</f>
        <v>5015149</v>
      </c>
      <c r="N230" s="44"/>
      <c r="O230" s="44">
        <v>866058</v>
      </c>
      <c r="P230" s="44"/>
      <c r="Q230" s="44">
        <f>5595764+2090268</f>
        <v>7686032</v>
      </c>
      <c r="R230" s="44"/>
      <c r="S230" s="44">
        <v>0</v>
      </c>
      <c r="T230" s="44"/>
      <c r="U230" s="44">
        <v>758879</v>
      </c>
      <c r="V230" s="44"/>
      <c r="W230" s="44">
        <f t="shared" si="5"/>
        <v>25031783</v>
      </c>
      <c r="X230" s="44"/>
      <c r="Y230" s="44">
        <v>62305832</v>
      </c>
      <c r="Z230" s="44"/>
      <c r="AA230" s="44">
        <f>+'Stmt net assets'!Y231</f>
        <v>59227725</v>
      </c>
      <c r="AB230" s="44"/>
      <c r="AC230" s="44">
        <f>+Y230+'Stmt of activities-GA rev'!AC230-'Stmt of activities-GAexp'!W230-AA230</f>
        <v>0</v>
      </c>
    </row>
    <row r="231" spans="1:29" s="47" customFormat="1" ht="12.75" customHeight="1">
      <c r="A231" s="47" t="s">
        <v>262</v>
      </c>
      <c r="B231" s="51"/>
      <c r="C231" s="47" t="s">
        <v>132</v>
      </c>
      <c r="E231" s="44">
        <f>2232497+367835</f>
        <v>2600332</v>
      </c>
      <c r="F231" s="44"/>
      <c r="G231" s="44">
        <v>134666</v>
      </c>
      <c r="H231" s="44"/>
      <c r="I231" s="44">
        <v>267900</v>
      </c>
      <c r="J231" s="44"/>
      <c r="K231" s="44">
        <v>209218</v>
      </c>
      <c r="L231" s="44"/>
      <c r="M231" s="44">
        <v>2082942</v>
      </c>
      <c r="N231" s="44"/>
      <c r="O231" s="44">
        <v>1236977</v>
      </c>
      <c r="P231" s="44"/>
      <c r="Q231" s="44">
        <v>2270760</v>
      </c>
      <c r="R231" s="44"/>
      <c r="S231" s="44">
        <v>696941</v>
      </c>
      <c r="T231" s="44"/>
      <c r="U231" s="44">
        <v>185932</v>
      </c>
      <c r="V231" s="44"/>
      <c r="W231" s="44">
        <f t="shared" si="5"/>
        <v>9685668</v>
      </c>
      <c r="X231" s="44"/>
      <c r="Y231" s="44">
        <v>15613530</v>
      </c>
      <c r="Z231" s="44"/>
      <c r="AA231" s="44">
        <f>+'Stmt net assets'!Y232</f>
        <v>14136890</v>
      </c>
      <c r="AB231" s="44"/>
      <c r="AC231" s="44">
        <f>+Y231+'Stmt of activities-GA rev'!AC231-'Stmt of activities-GAexp'!W231-AA231</f>
        <v>0</v>
      </c>
    </row>
    <row r="232" spans="1:29" s="47" customFormat="1" ht="12.75" customHeight="1">
      <c r="A232" s="47" t="s">
        <v>263</v>
      </c>
      <c r="B232" s="51"/>
      <c r="C232" s="47" t="s">
        <v>53</v>
      </c>
      <c r="E232" s="44">
        <v>5804358</v>
      </c>
      <c r="F232" s="44"/>
      <c r="G232" s="44">
        <v>128140</v>
      </c>
      <c r="H232" s="44"/>
      <c r="I232" s="44">
        <v>1946859</v>
      </c>
      <c r="J232" s="44"/>
      <c r="K232" s="44">
        <v>616764</v>
      </c>
      <c r="L232" s="44"/>
      <c r="M232" s="44">
        <v>2803257</v>
      </c>
      <c r="N232" s="44"/>
      <c r="O232" s="44">
        <v>0</v>
      </c>
      <c r="P232" s="44"/>
      <c r="Q232" s="44">
        <v>5561354</v>
      </c>
      <c r="R232" s="44"/>
      <c r="S232" s="44">
        <v>0</v>
      </c>
      <c r="T232" s="44"/>
      <c r="U232" s="44">
        <v>135705</v>
      </c>
      <c r="V232" s="44"/>
      <c r="W232" s="44">
        <f t="shared" si="5"/>
        <v>16996437</v>
      </c>
      <c r="X232" s="44"/>
      <c r="Y232" s="44">
        <v>52379864</v>
      </c>
      <c r="Z232" s="44"/>
      <c r="AA232" s="44">
        <f>+'Stmt net assets'!Y233</f>
        <v>55561668</v>
      </c>
      <c r="AB232" s="44"/>
      <c r="AC232" s="44">
        <f>+Y232+'Stmt of activities-GA rev'!AC232-'Stmt of activities-GAexp'!W232-AA232</f>
        <v>0</v>
      </c>
    </row>
    <row r="233" spans="1:29" s="47" customFormat="1" ht="12.75" customHeight="1">
      <c r="A233" s="47" t="s">
        <v>264</v>
      </c>
      <c r="B233" s="51"/>
      <c r="C233" s="47" t="s">
        <v>239</v>
      </c>
      <c r="E233" s="44">
        <f>1468762+1617800+15744</f>
        <v>3102306</v>
      </c>
      <c r="F233" s="44"/>
      <c r="G233" s="44">
        <v>194857</v>
      </c>
      <c r="H233" s="44"/>
      <c r="I233" s="44">
        <v>412328</v>
      </c>
      <c r="J233" s="44"/>
      <c r="K233" s="44">
        <v>137689</v>
      </c>
      <c r="L233" s="44"/>
      <c r="M233" s="44">
        <v>1366920</v>
      </c>
      <c r="N233" s="44"/>
      <c r="O233" s="44">
        <v>0</v>
      </c>
      <c r="P233" s="44"/>
      <c r="Q233" s="44">
        <v>705023</v>
      </c>
      <c r="R233" s="44"/>
      <c r="S233" s="44">
        <v>0</v>
      </c>
      <c r="T233" s="44"/>
      <c r="U233" s="44">
        <v>87500</v>
      </c>
      <c r="V233" s="44"/>
      <c r="W233" s="44">
        <f t="shared" si="5"/>
        <v>6006623</v>
      </c>
      <c r="X233" s="44"/>
      <c r="Y233" s="44">
        <v>28292208</v>
      </c>
      <c r="Z233" s="44"/>
      <c r="AA233" s="44">
        <f>+'Stmt net assets'!Y234</f>
        <v>27709653</v>
      </c>
      <c r="AB233" s="44"/>
      <c r="AC233" s="44">
        <f>+Y233+'Stmt of activities-GA rev'!AC233-'Stmt of activities-GAexp'!W233-AA233</f>
        <v>0</v>
      </c>
    </row>
    <row r="234" spans="1:29" s="47" customFormat="1" ht="12.75" customHeight="1">
      <c r="A234" s="47" t="s">
        <v>111</v>
      </c>
      <c r="B234" s="51"/>
      <c r="C234" s="47" t="s">
        <v>80</v>
      </c>
      <c r="E234" s="44">
        <v>15828988</v>
      </c>
      <c r="F234" s="44"/>
      <c r="G234" s="44">
        <v>542888</v>
      </c>
      <c r="H234" s="44"/>
      <c r="I234" s="44">
        <v>478041</v>
      </c>
      <c r="J234" s="44"/>
      <c r="K234" s="44">
        <f>2001712+2665936</f>
        <v>4667648</v>
      </c>
      <c r="L234" s="44"/>
      <c r="M234" s="44">
        <v>3639586</v>
      </c>
      <c r="N234" s="44"/>
      <c r="O234" s="44">
        <v>0</v>
      </c>
      <c r="P234" s="44"/>
      <c r="Q234" s="44">
        <v>6039818</v>
      </c>
      <c r="R234" s="44"/>
      <c r="S234" s="44">
        <v>0</v>
      </c>
      <c r="T234" s="44"/>
      <c r="U234" s="44">
        <v>566227</v>
      </c>
      <c r="V234" s="44"/>
      <c r="W234" s="44">
        <f t="shared" si="5"/>
        <v>31763196</v>
      </c>
      <c r="X234" s="44"/>
      <c r="Y234" s="44">
        <v>42645115</v>
      </c>
      <c r="Z234" s="44"/>
      <c r="AA234" s="44">
        <f>+'Stmt net assets'!Y235</f>
        <v>45408178</v>
      </c>
      <c r="AB234" s="44"/>
      <c r="AC234" s="44">
        <f>+Y234+'Stmt of activities-GA rev'!AC234-'Stmt of activities-GAexp'!W234-AA234</f>
        <v>0</v>
      </c>
    </row>
    <row r="235" spans="1:29" s="47" customFormat="1" ht="12.75" customHeight="1">
      <c r="A235" s="47" t="s">
        <v>265</v>
      </c>
      <c r="B235" s="51"/>
      <c r="C235" s="47" t="s">
        <v>27</v>
      </c>
      <c r="E235" s="44">
        <f>5097249+4140298</f>
        <v>9237547</v>
      </c>
      <c r="F235" s="44"/>
      <c r="G235" s="44">
        <v>55903</v>
      </c>
      <c r="H235" s="44"/>
      <c r="I235" s="44">
        <v>302387</v>
      </c>
      <c r="J235" s="44"/>
      <c r="K235" s="44">
        <v>953234</v>
      </c>
      <c r="L235" s="44"/>
      <c r="M235" s="44">
        <v>1773859</v>
      </c>
      <c r="N235" s="44"/>
      <c r="O235" s="44">
        <v>1562976</v>
      </c>
      <c r="P235" s="44"/>
      <c r="Q235" s="44">
        <v>2907654</v>
      </c>
      <c r="R235" s="44"/>
      <c r="S235" s="44">
        <v>0</v>
      </c>
      <c r="T235" s="44"/>
      <c r="U235" s="44">
        <v>565318</v>
      </c>
      <c r="V235" s="44"/>
      <c r="W235" s="44">
        <f t="shared" si="5"/>
        <v>17358878</v>
      </c>
      <c r="X235" s="44"/>
      <c r="Y235" s="44">
        <v>-414941</v>
      </c>
      <c r="Z235" s="44"/>
      <c r="AA235" s="44">
        <f>+'Stmt net assets'!Y236</f>
        <v>-1207428</v>
      </c>
      <c r="AB235" s="44"/>
      <c r="AC235" s="44">
        <f>+Y235+'Stmt of activities-GA rev'!AC235-'Stmt of activities-GAexp'!W235-AA235</f>
        <v>0</v>
      </c>
    </row>
    <row r="236" spans="1:29" s="47" customFormat="1" ht="12.75" customHeight="1">
      <c r="A236" s="47" t="s">
        <v>40</v>
      </c>
      <c r="B236" s="51"/>
      <c r="C236" s="47" t="s">
        <v>451</v>
      </c>
      <c r="E236" s="44">
        <v>4472129</v>
      </c>
      <c r="F236" s="44"/>
      <c r="G236" s="44">
        <v>320279</v>
      </c>
      <c r="H236" s="44"/>
      <c r="I236" s="44">
        <v>65505</v>
      </c>
      <c r="J236" s="44"/>
      <c r="K236" s="44">
        <v>2766361</v>
      </c>
      <c r="L236" s="44"/>
      <c r="M236" s="44">
        <v>2970650</v>
      </c>
      <c r="N236" s="44"/>
      <c r="O236" s="44">
        <v>0</v>
      </c>
      <c r="P236" s="44"/>
      <c r="Q236" s="44">
        <v>3064512</v>
      </c>
      <c r="R236" s="44"/>
      <c r="S236" s="44">
        <v>0</v>
      </c>
      <c r="T236" s="44"/>
      <c r="U236" s="44">
        <v>635350</v>
      </c>
      <c r="V236" s="44"/>
      <c r="W236" s="44">
        <f t="shared" si="5"/>
        <v>14294786</v>
      </c>
      <c r="X236" s="44"/>
      <c r="Y236" s="44">
        <v>20530558</v>
      </c>
      <c r="Z236" s="44"/>
      <c r="AA236" s="44">
        <f>+'Stmt net assets'!Y237</f>
        <v>18111671</v>
      </c>
      <c r="AB236" s="44"/>
      <c r="AC236" s="44">
        <f>+Y236+'Stmt of activities-GA rev'!AC236-'Stmt of activities-GAexp'!W236-AA236</f>
        <v>0</v>
      </c>
    </row>
    <row r="237" spans="1:29" s="47" customFormat="1" ht="12.75" customHeight="1">
      <c r="A237" s="47" t="s">
        <v>266</v>
      </c>
      <c r="B237" s="51"/>
      <c r="C237" s="47" t="s">
        <v>267</v>
      </c>
      <c r="E237" s="44">
        <v>2281293</v>
      </c>
      <c r="F237" s="44"/>
      <c r="G237" s="44">
        <v>0</v>
      </c>
      <c r="H237" s="44"/>
      <c r="I237" s="44">
        <v>787729</v>
      </c>
      <c r="J237" s="44"/>
      <c r="K237" s="44">
        <v>241940</v>
      </c>
      <c r="L237" s="44"/>
      <c r="M237" s="44">
        <v>1016215</v>
      </c>
      <c r="N237" s="44"/>
      <c r="O237" s="44">
        <v>115959</v>
      </c>
      <c r="P237" s="44"/>
      <c r="Q237" s="44">
        <v>920730</v>
      </c>
      <c r="R237" s="44"/>
      <c r="S237" s="44">
        <v>0</v>
      </c>
      <c r="T237" s="44"/>
      <c r="U237" s="44">
        <v>114196</v>
      </c>
      <c r="V237" s="44"/>
      <c r="W237" s="44">
        <f t="shared" si="5"/>
        <v>5478062</v>
      </c>
      <c r="X237" s="44"/>
      <c r="Y237" s="44">
        <v>14747860</v>
      </c>
      <c r="Z237" s="44"/>
      <c r="AA237" s="44">
        <f>+'Stmt net assets'!Y238</f>
        <v>13588803</v>
      </c>
      <c r="AB237" s="44"/>
      <c r="AC237" s="44">
        <f>+Y237+'Stmt of activities-GA rev'!AC237-'Stmt of activities-GAexp'!W237-AA237</f>
        <v>0</v>
      </c>
    </row>
    <row r="238" spans="1:29" s="47" customFormat="1" ht="12.75" customHeight="1">
      <c r="A238" s="47" t="s">
        <v>268</v>
      </c>
      <c r="B238" s="51"/>
      <c r="C238" s="47" t="s">
        <v>269</v>
      </c>
      <c r="E238" s="44">
        <v>1448051</v>
      </c>
      <c r="F238" s="44"/>
      <c r="G238" s="44">
        <v>1470</v>
      </c>
      <c r="H238" s="44"/>
      <c r="I238" s="44">
        <v>0</v>
      </c>
      <c r="J238" s="44"/>
      <c r="K238" s="44">
        <v>329</v>
      </c>
      <c r="L238" s="44"/>
      <c r="M238" s="44">
        <v>839963</v>
      </c>
      <c r="N238" s="44"/>
      <c r="O238" s="44">
        <v>0</v>
      </c>
      <c r="P238" s="44"/>
      <c r="Q238" s="44">
        <v>953953</v>
      </c>
      <c r="R238" s="44"/>
      <c r="S238" s="44">
        <v>0</v>
      </c>
      <c r="T238" s="44"/>
      <c r="U238" s="44">
        <v>34465</v>
      </c>
      <c r="V238" s="44"/>
      <c r="W238" s="44">
        <f t="shared" si="5"/>
        <v>3278231</v>
      </c>
      <c r="X238" s="44"/>
      <c r="Y238" s="44">
        <v>5481142</v>
      </c>
      <c r="Z238" s="44"/>
      <c r="AA238" s="44">
        <f>+'Stmt net assets'!Y239</f>
        <v>5382639</v>
      </c>
      <c r="AB238" s="44"/>
      <c r="AC238" s="44">
        <f>+Y238+'Stmt of activities-GA rev'!AC238-'Stmt of activities-GAexp'!W238-AA238</f>
        <v>0</v>
      </c>
    </row>
    <row r="239" spans="1:29" s="47" customFormat="1" ht="12.75" customHeight="1">
      <c r="A239" s="47" t="s">
        <v>270</v>
      </c>
      <c r="B239" s="51"/>
      <c r="C239" s="47" t="s">
        <v>136</v>
      </c>
      <c r="E239" s="44">
        <v>1810238</v>
      </c>
      <c r="F239" s="44"/>
      <c r="G239" s="44">
        <v>185791</v>
      </c>
      <c r="H239" s="44"/>
      <c r="I239" s="44">
        <v>82324</v>
      </c>
      <c r="J239" s="44"/>
      <c r="K239" s="44">
        <v>653730</v>
      </c>
      <c r="L239" s="44"/>
      <c r="M239" s="44">
        <v>461369</v>
      </c>
      <c r="N239" s="44"/>
      <c r="O239" s="44">
        <v>0</v>
      </c>
      <c r="P239" s="44"/>
      <c r="Q239" s="44">
        <v>867101</v>
      </c>
      <c r="R239" s="44"/>
      <c r="S239" s="44">
        <v>0</v>
      </c>
      <c r="T239" s="44"/>
      <c r="U239" s="44">
        <v>23181</v>
      </c>
      <c r="V239" s="44"/>
      <c r="W239" s="44">
        <f t="shared" si="5"/>
        <v>4083734</v>
      </c>
      <c r="X239" s="44"/>
      <c r="Y239" s="44">
        <v>5444886</v>
      </c>
      <c r="Z239" s="44"/>
      <c r="AA239" s="44">
        <f>+'Stmt net assets'!Y240</f>
        <v>4851346</v>
      </c>
      <c r="AB239" s="44"/>
      <c r="AC239" s="44">
        <f>+Y239+'Stmt of activities-GA rev'!AC239-'Stmt of activities-GAexp'!W239-AA239</f>
        <v>0</v>
      </c>
    </row>
    <row r="240" spans="1:29" s="47" customFormat="1" ht="12.75" customHeight="1">
      <c r="A240" s="47" t="s">
        <v>271</v>
      </c>
      <c r="B240" s="51"/>
      <c r="C240" s="47" t="s">
        <v>66</v>
      </c>
      <c r="E240" s="44">
        <v>5748681</v>
      </c>
      <c r="F240" s="44"/>
      <c r="G240" s="44">
        <v>0</v>
      </c>
      <c r="H240" s="44"/>
      <c r="I240" s="44">
        <v>1245424</v>
      </c>
      <c r="J240" s="44"/>
      <c r="K240" s="44">
        <v>1690731</v>
      </c>
      <c r="L240" s="44"/>
      <c r="M240" s="44">
        <v>797190</v>
      </c>
      <c r="N240" s="44"/>
      <c r="O240" s="44">
        <v>0</v>
      </c>
      <c r="P240" s="44"/>
      <c r="Q240" s="44">
        <v>884814</v>
      </c>
      <c r="R240" s="44"/>
      <c r="S240" s="44">
        <v>0</v>
      </c>
      <c r="T240" s="44"/>
      <c r="U240" s="44">
        <v>163100</v>
      </c>
      <c r="V240" s="44"/>
      <c r="W240" s="44">
        <f t="shared" si="5"/>
        <v>10529940</v>
      </c>
      <c r="X240" s="44"/>
      <c r="Y240" s="44">
        <v>18988887</v>
      </c>
      <c r="Z240" s="44"/>
      <c r="AA240" s="44">
        <f>+'Stmt net assets'!Y241</f>
        <v>19167327</v>
      </c>
      <c r="AB240" s="44"/>
      <c r="AC240" s="44">
        <f>+Y240+'Stmt of activities-GA rev'!AC240-'Stmt of activities-GAexp'!W240-AA240</f>
        <v>0</v>
      </c>
    </row>
    <row r="241" spans="1:29" s="47" customFormat="1" ht="12.75" customHeight="1">
      <c r="A241" s="47" t="s">
        <v>272</v>
      </c>
      <c r="B241" s="51"/>
      <c r="C241" s="47" t="s">
        <v>43</v>
      </c>
      <c r="E241" s="44">
        <v>24919134</v>
      </c>
      <c r="F241" s="44"/>
      <c r="G241" s="44">
        <v>53989</v>
      </c>
      <c r="H241" s="44"/>
      <c r="I241" s="44">
        <v>6005577</v>
      </c>
      <c r="J241" s="44"/>
      <c r="K241" s="44">
        <v>2357182</v>
      </c>
      <c r="L241" s="44"/>
      <c r="M241" s="44">
        <v>12433936</v>
      </c>
      <c r="N241" s="44"/>
      <c r="O241" s="44">
        <v>1187441</v>
      </c>
      <c r="P241" s="44"/>
      <c r="Q241" s="44">
        <v>12019757</v>
      </c>
      <c r="R241" s="44"/>
      <c r="S241" s="44">
        <v>0</v>
      </c>
      <c r="T241" s="44"/>
      <c r="U241" s="44">
        <v>899935</v>
      </c>
      <c r="V241" s="44"/>
      <c r="W241" s="44">
        <f t="shared" si="5"/>
        <v>59876951</v>
      </c>
      <c r="X241" s="44"/>
      <c r="Y241" s="44">
        <v>226366459</v>
      </c>
      <c r="Z241" s="44"/>
      <c r="AA241" s="44">
        <f>+'Stmt net assets'!Y242</f>
        <v>229687170</v>
      </c>
      <c r="AB241" s="44"/>
      <c r="AC241" s="44">
        <f>+Y241+'Stmt of activities-GA rev'!AC241-'Stmt of activities-GAexp'!W241-AA241</f>
        <v>0</v>
      </c>
    </row>
    <row r="242" spans="1:29" s="47" customFormat="1" ht="12.75" customHeight="1">
      <c r="A242" s="47" t="s">
        <v>273</v>
      </c>
      <c r="B242" s="51"/>
      <c r="C242" s="47" t="s">
        <v>27</v>
      </c>
      <c r="E242" s="44">
        <v>14833854</v>
      </c>
      <c r="F242" s="44"/>
      <c r="G242" s="44">
        <v>990935</v>
      </c>
      <c r="H242" s="44"/>
      <c r="I242" s="44">
        <v>3963481</v>
      </c>
      <c r="J242" s="44"/>
      <c r="K242" s="44">
        <v>1461332</v>
      </c>
      <c r="L242" s="44"/>
      <c r="M242" s="44">
        <v>7754905</v>
      </c>
      <c r="N242" s="44"/>
      <c r="O242" s="44">
        <v>1843251</v>
      </c>
      <c r="P242" s="44"/>
      <c r="Q242" s="44">
        <v>7911956</v>
      </c>
      <c r="R242" s="44"/>
      <c r="S242" s="44">
        <v>0</v>
      </c>
      <c r="T242" s="44"/>
      <c r="U242" s="44">
        <v>775746</v>
      </c>
      <c r="V242" s="44"/>
      <c r="W242" s="44">
        <f t="shared" si="5"/>
        <v>39535460</v>
      </c>
      <c r="X242" s="44"/>
      <c r="Y242" s="44">
        <v>171079434</v>
      </c>
      <c r="Z242" s="44"/>
      <c r="AA242" s="44">
        <f>+'Stmt net assets'!Y243</f>
        <v>178841864</v>
      </c>
      <c r="AB242" s="44"/>
      <c r="AC242" s="44">
        <f>+Y242+'Stmt of activities-GA rev'!AC242-'Stmt of activities-GAexp'!W242-AA242</f>
        <v>0</v>
      </c>
    </row>
    <row r="243" spans="1:29" s="47" customFormat="1" ht="12.75" customHeight="1">
      <c r="A243" s="47" t="s">
        <v>274</v>
      </c>
      <c r="B243" s="51"/>
      <c r="C243" s="47" t="s">
        <v>43</v>
      </c>
      <c r="E243" s="44">
        <v>11676927</v>
      </c>
      <c r="F243" s="44"/>
      <c r="G243" s="44">
        <v>284552</v>
      </c>
      <c r="H243" s="44"/>
      <c r="I243" s="44">
        <v>762010</v>
      </c>
      <c r="J243" s="44"/>
      <c r="K243" s="44">
        <v>1251252</v>
      </c>
      <c r="L243" s="44"/>
      <c r="M243" s="44">
        <v>2478019</v>
      </c>
      <c r="N243" s="44"/>
      <c r="O243" s="44">
        <v>614424</v>
      </c>
      <c r="P243" s="44"/>
      <c r="Q243" s="44">
        <v>6361664</v>
      </c>
      <c r="R243" s="44"/>
      <c r="S243" s="44">
        <v>0</v>
      </c>
      <c r="T243" s="44"/>
      <c r="U243" s="44">
        <v>108112</v>
      </c>
      <c r="V243" s="44"/>
      <c r="W243" s="44">
        <f t="shared" si="5"/>
        <v>23536960</v>
      </c>
      <c r="X243" s="44"/>
      <c r="Y243" s="44">
        <v>28706084</v>
      </c>
      <c r="Z243" s="44"/>
      <c r="AA243" s="44">
        <f>+'Stmt net assets'!Y244</f>
        <v>28972940</v>
      </c>
      <c r="AB243" s="44"/>
      <c r="AC243" s="44">
        <f>+Y243+'Stmt of activities-GA rev'!AC243-'Stmt of activities-GAexp'!W243-AA243</f>
        <v>0</v>
      </c>
    </row>
    <row r="244" spans="1:29" s="47" customFormat="1" ht="12.75" customHeight="1">
      <c r="A244" s="47" t="s">
        <v>275</v>
      </c>
      <c r="B244" s="51"/>
      <c r="C244" s="47" t="s">
        <v>92</v>
      </c>
      <c r="E244" s="44">
        <v>6802679</v>
      </c>
      <c r="F244" s="44"/>
      <c r="G244" s="44">
        <v>354037</v>
      </c>
      <c r="H244" s="44"/>
      <c r="I244" s="44">
        <v>907153</v>
      </c>
      <c r="J244" s="44"/>
      <c r="K244" s="44">
        <v>196964</v>
      </c>
      <c r="L244" s="44"/>
      <c r="M244" s="44">
        <v>3555249</v>
      </c>
      <c r="N244" s="44"/>
      <c r="O244" s="44">
        <v>1234548</v>
      </c>
      <c r="P244" s="44"/>
      <c r="Q244" s="44">
        <v>6062332</v>
      </c>
      <c r="R244" s="44"/>
      <c r="S244" s="44">
        <v>0</v>
      </c>
      <c r="T244" s="44"/>
      <c r="U244" s="44">
        <v>98529</v>
      </c>
      <c r="V244" s="44"/>
      <c r="W244" s="44">
        <f t="shared" si="5"/>
        <v>19211491</v>
      </c>
      <c r="X244" s="44"/>
      <c r="Y244" s="44">
        <v>100172314</v>
      </c>
      <c r="Z244" s="44"/>
      <c r="AA244" s="44">
        <f>+'Stmt net assets'!Y245</f>
        <v>99070914</v>
      </c>
      <c r="AB244" s="44"/>
      <c r="AC244" s="44">
        <f>+Y244+'Stmt of activities-GA rev'!AC244-'Stmt of activities-GAexp'!W244-AA244</f>
        <v>0</v>
      </c>
    </row>
    <row r="245" spans="1:29" s="47" customFormat="1" ht="12.75" customHeight="1">
      <c r="A245" s="47" t="s">
        <v>276</v>
      </c>
      <c r="B245" s="51"/>
      <c r="C245" s="47" t="s">
        <v>38</v>
      </c>
      <c r="E245" s="44">
        <v>2851634</v>
      </c>
      <c r="F245" s="44"/>
      <c r="G245" s="44">
        <v>46583</v>
      </c>
      <c r="H245" s="44"/>
      <c r="I245" s="44">
        <v>291389</v>
      </c>
      <c r="J245" s="44"/>
      <c r="K245" s="44">
        <v>291867</v>
      </c>
      <c r="L245" s="44"/>
      <c r="M245" s="44">
        <v>893727</v>
      </c>
      <c r="N245" s="44"/>
      <c r="O245" s="44">
        <v>0</v>
      </c>
      <c r="P245" s="44"/>
      <c r="Q245" s="44">
        <v>827303</v>
      </c>
      <c r="R245" s="44"/>
      <c r="S245" s="44">
        <v>0</v>
      </c>
      <c r="T245" s="44"/>
      <c r="U245" s="44">
        <v>75946</v>
      </c>
      <c r="V245" s="44"/>
      <c r="W245" s="44">
        <f t="shared" si="5"/>
        <v>5278449</v>
      </c>
      <c r="X245" s="44"/>
      <c r="Y245" s="44">
        <v>13371082</v>
      </c>
      <c r="Z245" s="44"/>
      <c r="AA245" s="44">
        <f>+'Stmt net assets'!Y246</f>
        <v>13275282</v>
      </c>
      <c r="AB245" s="44"/>
      <c r="AC245" s="44">
        <f>+Y245+'Stmt of activities-GA rev'!AC245-'Stmt of activities-GAexp'!W245-AA245</f>
        <v>0</v>
      </c>
    </row>
    <row r="246" spans="1:29" s="47" customFormat="1" ht="12.75" customHeight="1">
      <c r="A246" s="47" t="s">
        <v>277</v>
      </c>
      <c r="B246" s="51"/>
      <c r="C246" s="47" t="s">
        <v>92</v>
      </c>
      <c r="E246" s="44">
        <v>14372778</v>
      </c>
      <c r="F246" s="44"/>
      <c r="G246" s="44">
        <v>503104</v>
      </c>
      <c r="H246" s="44"/>
      <c r="I246" s="44">
        <v>2274300</v>
      </c>
      <c r="J246" s="44"/>
      <c r="K246" s="44">
        <v>964906</v>
      </c>
      <c r="L246" s="44"/>
      <c r="M246" s="44">
        <v>3360716</v>
      </c>
      <c r="N246" s="44"/>
      <c r="O246" s="44">
        <v>1699706</v>
      </c>
      <c r="P246" s="44"/>
      <c r="Q246" s="44">
        <v>7413446</v>
      </c>
      <c r="R246" s="44"/>
      <c r="S246" s="44">
        <v>0</v>
      </c>
      <c r="T246" s="44"/>
      <c r="U246" s="44">
        <v>705001</v>
      </c>
      <c r="V246" s="44"/>
      <c r="W246" s="44">
        <f t="shared" si="5"/>
        <v>31293957</v>
      </c>
      <c r="X246" s="44"/>
      <c r="Y246" s="44">
        <v>61928961</v>
      </c>
      <c r="Z246" s="44"/>
      <c r="AA246" s="44">
        <f>+'Stmt net assets'!Y247</f>
        <v>60341341</v>
      </c>
      <c r="AB246" s="44"/>
      <c r="AC246" s="44">
        <f>+Y246+'Stmt of activities-GA rev'!AC246-'Stmt of activities-GAexp'!W246-AA246</f>
        <v>0</v>
      </c>
    </row>
    <row r="247" spans="1:29" s="47" customFormat="1" ht="12.75" customHeight="1">
      <c r="A247" s="47" t="s">
        <v>278</v>
      </c>
      <c r="B247" s="51"/>
      <c r="C247" s="47" t="s">
        <v>92</v>
      </c>
      <c r="E247" s="44">
        <f>3237848+2055644</f>
        <v>5293492</v>
      </c>
      <c r="F247" s="44"/>
      <c r="G247" s="44">
        <v>0</v>
      </c>
      <c r="H247" s="44"/>
      <c r="I247" s="44">
        <v>269961</v>
      </c>
      <c r="J247" s="44"/>
      <c r="K247" s="44">
        <v>127987</v>
      </c>
      <c r="L247" s="44"/>
      <c r="M247" s="44">
        <v>1256169</v>
      </c>
      <c r="N247" s="44"/>
      <c r="O247" s="44">
        <v>0</v>
      </c>
      <c r="P247" s="44"/>
      <c r="Q247" s="44">
        <v>2864041</v>
      </c>
      <c r="R247" s="44"/>
      <c r="S247" s="44">
        <v>0</v>
      </c>
      <c r="T247" s="44"/>
      <c r="U247" s="44">
        <v>145549</v>
      </c>
      <c r="V247" s="44"/>
      <c r="W247" s="44">
        <f t="shared" si="5"/>
        <v>9957199</v>
      </c>
      <c r="X247" s="44"/>
      <c r="Y247" s="44">
        <v>9824412</v>
      </c>
      <c r="Z247" s="44"/>
      <c r="AA247" s="44">
        <f>+'Stmt net assets'!Y248</f>
        <v>9759308</v>
      </c>
      <c r="AB247" s="44"/>
      <c r="AC247" s="44">
        <f>+Y247+'Stmt of activities-GA rev'!AC247-'Stmt of activities-GAexp'!W247-AA247</f>
        <v>0</v>
      </c>
    </row>
    <row r="248" spans="1:29" s="47" customFormat="1" ht="12.75" customHeight="1">
      <c r="A248" s="47" t="s">
        <v>279</v>
      </c>
      <c r="B248" s="51"/>
      <c r="C248" s="47" t="s">
        <v>92</v>
      </c>
      <c r="E248" s="44">
        <v>5220142</v>
      </c>
      <c r="F248" s="44"/>
      <c r="G248" s="44">
        <v>115592</v>
      </c>
      <c r="H248" s="44"/>
      <c r="I248" s="44">
        <v>1036581</v>
      </c>
      <c r="J248" s="44"/>
      <c r="K248" s="44">
        <v>558029</v>
      </c>
      <c r="L248" s="44"/>
      <c r="M248" s="44">
        <v>2272806</v>
      </c>
      <c r="N248" s="44"/>
      <c r="O248" s="44">
        <v>998716</v>
      </c>
      <c r="P248" s="44"/>
      <c r="Q248" s="44">
        <v>1884478</v>
      </c>
      <c r="R248" s="44"/>
      <c r="S248" s="44">
        <v>0</v>
      </c>
      <c r="T248" s="44"/>
      <c r="U248" s="44">
        <v>133504</v>
      </c>
      <c r="V248" s="44"/>
      <c r="W248" s="44">
        <f t="shared" si="5"/>
        <v>12219848</v>
      </c>
      <c r="X248" s="44"/>
      <c r="Y248" s="44">
        <v>36956501</v>
      </c>
      <c r="Z248" s="44"/>
      <c r="AA248" s="44">
        <f>+'Stmt net assets'!Y249</f>
        <v>37308286</v>
      </c>
      <c r="AB248" s="44"/>
      <c r="AC248" s="44">
        <f>+Y248+'Stmt of activities-GA rev'!AC248-'Stmt of activities-GAexp'!W248-AA248</f>
        <v>0</v>
      </c>
    </row>
    <row r="249" spans="1:29" s="47" customFormat="1" ht="12.75" customHeight="1">
      <c r="A249" s="47" t="s">
        <v>280</v>
      </c>
      <c r="B249" s="51"/>
      <c r="C249" s="47" t="s">
        <v>281</v>
      </c>
      <c r="E249" s="44">
        <v>4990338</v>
      </c>
      <c r="F249" s="44"/>
      <c r="G249" s="44">
        <v>266596</v>
      </c>
      <c r="H249" s="44"/>
      <c r="I249" s="44">
        <v>544059</v>
      </c>
      <c r="J249" s="44"/>
      <c r="K249" s="44">
        <v>0</v>
      </c>
      <c r="L249" s="44"/>
      <c r="M249" s="44">
        <v>2719820</v>
      </c>
      <c r="N249" s="44"/>
      <c r="O249" s="44">
        <v>0</v>
      </c>
      <c r="P249" s="44"/>
      <c r="Q249" s="44">
        <v>7002694</v>
      </c>
      <c r="R249" s="44"/>
      <c r="S249" s="44">
        <v>0</v>
      </c>
      <c r="T249" s="44"/>
      <c r="U249" s="44">
        <v>266978</v>
      </c>
      <c r="V249" s="44"/>
      <c r="W249" s="44">
        <f t="shared" si="5"/>
        <v>15790485</v>
      </c>
      <c r="X249" s="44"/>
      <c r="Y249" s="44">
        <v>17913251</v>
      </c>
      <c r="Z249" s="44"/>
      <c r="AA249" s="44">
        <f>+'Stmt net assets'!Y250</f>
        <v>19046880</v>
      </c>
      <c r="AB249" s="44"/>
      <c r="AC249" s="44">
        <f>+Y249+'Stmt of activities-GA rev'!AC249-'Stmt of activities-GAexp'!W249-AA249</f>
        <v>0</v>
      </c>
    </row>
    <row r="250" spans="1:29" s="47" customFormat="1" ht="12.75" customHeight="1">
      <c r="A250" s="47" t="s">
        <v>282</v>
      </c>
      <c r="B250" s="51"/>
      <c r="C250" s="47" t="s">
        <v>199</v>
      </c>
      <c r="E250" s="44">
        <f>11080143+1225167</f>
        <v>12305310</v>
      </c>
      <c r="F250" s="44"/>
      <c r="G250" s="44">
        <v>148395</v>
      </c>
      <c r="H250" s="44"/>
      <c r="I250" s="44">
        <f>2135109+325516</f>
        <v>2460625</v>
      </c>
      <c r="J250" s="44"/>
      <c r="K250" s="44">
        <f>1560745+41007</f>
        <v>1601752</v>
      </c>
      <c r="L250" s="44"/>
      <c r="M250" s="44">
        <f>3025251+329082</f>
        <v>3354333</v>
      </c>
      <c r="N250" s="44"/>
      <c r="O250" s="44">
        <v>0</v>
      </c>
      <c r="P250" s="44"/>
      <c r="Q250" s="44">
        <f>3609621-3185723</f>
        <v>423898</v>
      </c>
      <c r="R250" s="44"/>
      <c r="S250" s="44">
        <f>462649-445926</f>
        <v>16723</v>
      </c>
      <c r="T250" s="44"/>
      <c r="U250" s="44">
        <v>204495</v>
      </c>
      <c r="V250" s="44"/>
      <c r="W250" s="44">
        <f t="shared" si="5"/>
        <v>20515531</v>
      </c>
      <c r="X250" s="44"/>
      <c r="Y250" s="44">
        <v>60331853</v>
      </c>
      <c r="Z250" s="44"/>
      <c r="AA250" s="44">
        <f>+'Stmt net assets'!Y251</f>
        <v>61279272</v>
      </c>
      <c r="AB250" s="44"/>
      <c r="AC250" s="44">
        <f>+Y250+'Stmt of activities-GA rev'!AC250-'Stmt of activities-GAexp'!W250-AA250</f>
        <v>0</v>
      </c>
    </row>
    <row r="251" spans="1:29" s="47" customFormat="1" ht="12.75" customHeight="1">
      <c r="A251" s="47" t="s">
        <v>283</v>
      </c>
      <c r="B251" s="51"/>
      <c r="C251" s="47" t="s">
        <v>43</v>
      </c>
      <c r="E251" s="44">
        <v>10337653</v>
      </c>
      <c r="F251" s="44"/>
      <c r="G251" s="44">
        <v>57774</v>
      </c>
      <c r="H251" s="44"/>
      <c r="I251" s="44">
        <v>4530271</v>
      </c>
      <c r="J251" s="44"/>
      <c r="K251" s="44">
        <v>666128</v>
      </c>
      <c r="L251" s="44"/>
      <c r="M251" s="44">
        <v>3548789</v>
      </c>
      <c r="N251" s="44"/>
      <c r="O251" s="44">
        <v>1845335</v>
      </c>
      <c r="P251" s="44"/>
      <c r="Q251" s="44">
        <v>5041193</v>
      </c>
      <c r="R251" s="44"/>
      <c r="S251" s="44">
        <v>46340</v>
      </c>
      <c r="T251" s="44"/>
      <c r="U251" s="44">
        <v>374098</v>
      </c>
      <c r="V251" s="44"/>
      <c r="W251" s="44">
        <f t="shared" si="5"/>
        <v>26447581</v>
      </c>
      <c r="X251" s="44"/>
      <c r="Y251" s="44">
        <v>47840505</v>
      </c>
      <c r="Z251" s="44"/>
      <c r="AA251" s="44">
        <f>+'Stmt net assets'!Y252</f>
        <v>45826378</v>
      </c>
      <c r="AB251" s="44"/>
      <c r="AC251" s="44">
        <f>+Y251+'Stmt of activities-GA rev'!AC251-'Stmt of activities-GAexp'!W251-AA251</f>
        <v>0</v>
      </c>
    </row>
    <row r="252" spans="1:29" s="47" customFormat="1" ht="12.75" customHeight="1">
      <c r="A252" s="47" t="s">
        <v>284</v>
      </c>
      <c r="B252" s="51"/>
      <c r="C252" s="47" t="s">
        <v>45</v>
      </c>
      <c r="E252" s="44">
        <v>2898740</v>
      </c>
      <c r="F252" s="44"/>
      <c r="G252" s="44">
        <v>66801</v>
      </c>
      <c r="H252" s="44"/>
      <c r="I252" s="44">
        <v>1556361</v>
      </c>
      <c r="J252" s="44"/>
      <c r="K252" s="44">
        <v>352675</v>
      </c>
      <c r="L252" s="44"/>
      <c r="M252" s="44">
        <v>1147098</v>
      </c>
      <c r="N252" s="44"/>
      <c r="O252" s="44">
        <v>556496</v>
      </c>
      <c r="P252" s="44"/>
      <c r="Q252" s="44">
        <v>3999232</v>
      </c>
      <c r="R252" s="44"/>
      <c r="S252" s="44">
        <v>0</v>
      </c>
      <c r="T252" s="44"/>
      <c r="U252" s="44">
        <v>410378</v>
      </c>
      <c r="V252" s="44"/>
      <c r="W252" s="44">
        <f t="shared" si="5"/>
        <v>10987781</v>
      </c>
      <c r="X252" s="44"/>
      <c r="Y252" s="44">
        <v>24396936</v>
      </c>
      <c r="Z252" s="44"/>
      <c r="AA252" s="44">
        <f>+'Stmt net assets'!Y253</f>
        <v>24423111</v>
      </c>
      <c r="AB252" s="44"/>
      <c r="AC252" s="44">
        <f>+Y252+'Stmt of activities-GA rev'!AC252-'Stmt of activities-GAexp'!W252-AA252</f>
        <v>0</v>
      </c>
    </row>
    <row r="253" spans="1:29" s="47" customFormat="1" ht="12.75" customHeight="1">
      <c r="A253" s="47" t="s">
        <v>285</v>
      </c>
      <c r="B253" s="51"/>
      <c r="C253" s="47" t="s">
        <v>30</v>
      </c>
      <c r="E253" s="44">
        <v>11984216</v>
      </c>
      <c r="F253" s="44"/>
      <c r="G253" s="44">
        <v>54605</v>
      </c>
      <c r="H253" s="44"/>
      <c r="I253" s="44">
        <v>406396</v>
      </c>
      <c r="J253" s="44"/>
      <c r="K253" s="44">
        <v>285954</v>
      </c>
      <c r="L253" s="44"/>
      <c r="M253" s="44">
        <v>1952667</v>
      </c>
      <c r="N253" s="44"/>
      <c r="O253" s="44">
        <v>0</v>
      </c>
      <c r="P253" s="44"/>
      <c r="Q253" s="44">
        <v>3474136</v>
      </c>
      <c r="R253" s="44"/>
      <c r="S253" s="44">
        <v>0</v>
      </c>
      <c r="T253" s="44"/>
      <c r="U253" s="44">
        <v>126203</v>
      </c>
      <c r="V253" s="44"/>
      <c r="W253" s="44">
        <f t="shared" si="5"/>
        <v>18284177</v>
      </c>
      <c r="X253" s="44"/>
      <c r="Y253" s="44">
        <v>40556669</v>
      </c>
      <c r="Z253" s="44"/>
      <c r="AA253" s="44">
        <f>+'Stmt net assets'!Y254</f>
        <v>40823950</v>
      </c>
      <c r="AB253" s="44"/>
      <c r="AC253" s="44">
        <f>+Y253+'Stmt of activities-GA rev'!AC253-'Stmt of activities-GAexp'!W253-AA253</f>
        <v>0</v>
      </c>
    </row>
    <row r="254" spans="1:29" s="47" customFormat="1" ht="12.75" customHeight="1">
      <c r="A254" s="47" t="s">
        <v>286</v>
      </c>
      <c r="B254" s="51"/>
      <c r="C254" s="47" t="s">
        <v>61</v>
      </c>
      <c r="E254" s="44">
        <v>37165318</v>
      </c>
      <c r="F254" s="44"/>
      <c r="G254" s="44">
        <v>2599138</v>
      </c>
      <c r="H254" s="44"/>
      <c r="I254" s="44">
        <v>3124217</v>
      </c>
      <c r="J254" s="44"/>
      <c r="K254" s="44">
        <v>6369959</v>
      </c>
      <c r="L254" s="44"/>
      <c r="M254" s="44">
        <v>8569509</v>
      </c>
      <c r="N254" s="44"/>
      <c r="O254" s="44">
        <v>3136676</v>
      </c>
      <c r="P254" s="44"/>
      <c r="Q254" s="44">
        <v>12087736</v>
      </c>
      <c r="R254" s="44"/>
      <c r="S254" s="44">
        <v>0</v>
      </c>
      <c r="T254" s="44"/>
      <c r="U254" s="44">
        <v>2127644</v>
      </c>
      <c r="V254" s="44"/>
      <c r="W254" s="44">
        <f t="shared" si="5"/>
        <v>75180197</v>
      </c>
      <c r="X254" s="44"/>
      <c r="Y254" s="44">
        <v>72059048</v>
      </c>
      <c r="Z254" s="44"/>
      <c r="AA254" s="44">
        <f>+'Stmt net assets'!Y255</f>
        <v>76170913</v>
      </c>
      <c r="AB254" s="44"/>
      <c r="AC254" s="44">
        <f>+Y254+'Stmt of activities-GA rev'!AC254-'Stmt of activities-GAexp'!W254-AA254</f>
        <v>0</v>
      </c>
    </row>
    <row r="255" spans="1:29" s="47" customFormat="1" ht="12.75" customHeight="1">
      <c r="A255" s="47" t="s">
        <v>287</v>
      </c>
      <c r="B255" s="51"/>
      <c r="C255" s="47" t="s">
        <v>288</v>
      </c>
      <c r="E255" s="44">
        <v>13574458</v>
      </c>
      <c r="F255" s="44"/>
      <c r="G255" s="44">
        <v>2070324</v>
      </c>
      <c r="H255" s="44"/>
      <c r="I255" s="44">
        <v>1187028</v>
      </c>
      <c r="J255" s="44"/>
      <c r="K255" s="44">
        <v>1124071</v>
      </c>
      <c r="L255" s="44"/>
      <c r="M255" s="44">
        <v>3219173</v>
      </c>
      <c r="N255" s="44"/>
      <c r="O255" s="44">
        <v>0</v>
      </c>
      <c r="P255" s="44"/>
      <c r="Q255" s="44">
        <v>3650367</v>
      </c>
      <c r="R255" s="44"/>
      <c r="S255" s="44">
        <v>0</v>
      </c>
      <c r="T255" s="44"/>
      <c r="U255" s="44">
        <v>256923</v>
      </c>
      <c r="V255" s="44"/>
      <c r="W255" s="44">
        <f t="shared" si="5"/>
        <v>25082344</v>
      </c>
      <c r="X255" s="44"/>
      <c r="Y255" s="44">
        <v>19873708</v>
      </c>
      <c r="Z255" s="44"/>
      <c r="AA255" s="44">
        <f>+'Stmt net assets'!Y256</f>
        <v>19906919</v>
      </c>
      <c r="AB255" s="44"/>
      <c r="AC255" s="44">
        <f>+Y255+'Stmt of activities-GA rev'!AC255-'Stmt of activities-GAexp'!W255-AA255</f>
        <v>0</v>
      </c>
    </row>
    <row r="256" spans="1:29" s="47" customFormat="1" ht="12.75" customHeight="1">
      <c r="A256" s="49"/>
      <c r="B256" s="51"/>
      <c r="C256" s="49"/>
    </row>
    <row r="257" spans="2:2" s="47" customFormat="1" ht="12.75" customHeight="1">
      <c r="B257" s="51"/>
    </row>
    <row r="258" spans="2:2" s="47" customFormat="1" ht="12.75" customHeight="1">
      <c r="B258" s="51"/>
    </row>
    <row r="259" spans="2:2" s="47" customFormat="1" ht="12.75" customHeight="1">
      <c r="B259" s="51"/>
    </row>
    <row r="260" spans="2:2" s="47" customFormat="1" ht="12.75" customHeight="1">
      <c r="B260" s="51"/>
    </row>
    <row r="261" spans="2:2" s="47" customFormat="1" ht="12.75" customHeight="1">
      <c r="B261" s="51"/>
    </row>
  </sheetData>
  <mergeCells count="1">
    <mergeCell ref="E5:P5"/>
  </mergeCells>
  <phoneticPr fontId="4" type="noConversion"/>
  <printOptions horizontalCentered="1"/>
  <pageMargins left="0.75" right="0.75" top="0.5" bottom="0.5" header="0" footer="0.25"/>
  <pageSetup scale="83" firstPageNumber="22" pageOrder="overThenDown" orientation="portrait" useFirstPageNumber="1" r:id="rId1"/>
  <headerFooter alignWithMargins="0">
    <oddFooter>&amp;C&amp;"Times New Roman,Regular"&amp;11&amp;P</oddFooter>
  </headerFooter>
  <colBreaks count="1" manualBreakCount="1">
    <brk id="14" min="9" max="2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V325"/>
  <sheetViews>
    <sheetView view="pageBreakPreview" zoomScale="75" zoomScaleNormal="100" zoomScaleSheetLayoutView="75" workbookViewId="0">
      <pane xSplit="3" ySplit="8" topLeftCell="D201" activePane="bottomRight" state="frozen"/>
      <selection pane="topRight" activeCell="D1" sqref="D1"/>
      <selection pane="bottomLeft" activeCell="A9" sqref="A9"/>
      <selection pane="bottomRight" activeCell="A5" sqref="A5"/>
    </sheetView>
  </sheetViews>
  <sheetFormatPr defaultColWidth="9.140625" defaultRowHeight="12.75" customHeight="1"/>
  <cols>
    <col min="1" max="1" width="15.28515625" style="2" customWidth="1"/>
    <col min="2" max="2" width="1.7109375" customWidth="1"/>
    <col min="3" max="3" width="11" style="2" customWidth="1"/>
    <col min="4" max="4" width="1.7109375" style="2" customWidth="1"/>
    <col min="5" max="5" width="11.7109375" style="2" customWidth="1"/>
    <col min="6" max="6" width="1.7109375" style="2" customWidth="1"/>
    <col min="7" max="7" width="11.7109375" style="2" customWidth="1"/>
    <col min="8" max="8" width="1.7109375" style="2" customWidth="1"/>
    <col min="9" max="9" width="11.7109375" style="2" customWidth="1"/>
    <col min="10" max="10" width="1.7109375" style="2" customWidth="1"/>
    <col min="11" max="11" width="11.7109375" style="2" customWidth="1"/>
    <col min="12" max="12" width="1.7109375" style="2" customWidth="1"/>
    <col min="13" max="13" width="11.7109375" style="2" customWidth="1"/>
    <col min="14" max="14" width="1.7109375" style="2" customWidth="1"/>
    <col min="15" max="15" width="11.7109375" style="2" customWidth="1"/>
    <col min="16" max="16" width="1.7109375" style="2" customWidth="1"/>
    <col min="17" max="17" width="11.7109375" style="2" customWidth="1"/>
    <col min="18" max="18" width="1.7109375" style="2" customWidth="1"/>
    <col min="19" max="19" width="11.7109375" style="2" customWidth="1"/>
    <col min="20" max="20" width="1.7109375" style="2" customWidth="1"/>
    <col min="21" max="21" width="10.7109375" style="2" hidden="1" customWidth="1"/>
    <col min="22" max="22" width="10" style="2" customWidth="1"/>
    <col min="23" max="16384" width="9.140625" style="2"/>
  </cols>
  <sheetData>
    <row r="1" spans="1:22" ht="12.75" customHeight="1">
      <c r="A1" s="20" t="s">
        <v>416</v>
      </c>
      <c r="C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</row>
    <row r="2" spans="1:22" ht="12.75" customHeight="1">
      <c r="A2" s="20" t="s">
        <v>500</v>
      </c>
      <c r="C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</row>
    <row r="3" spans="1:22" ht="12.75" customHeight="1">
      <c r="A3" s="22" t="s">
        <v>289</v>
      </c>
      <c r="C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2" ht="12.75" customHeight="1">
      <c r="A4" s="22" t="s">
        <v>484</v>
      </c>
      <c r="C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2" ht="12.75" customHeight="1">
      <c r="O5" s="6" t="s">
        <v>318</v>
      </c>
      <c r="P5" s="6"/>
      <c r="Q5" s="6" t="s">
        <v>318</v>
      </c>
    </row>
    <row r="6" spans="1:22" ht="12.75" customHeight="1">
      <c r="A6" s="5"/>
      <c r="C6" s="5"/>
      <c r="D6" s="3"/>
      <c r="E6" s="6"/>
      <c r="F6" s="6"/>
      <c r="G6" s="6"/>
      <c r="H6" s="6"/>
      <c r="I6" s="6"/>
      <c r="J6" s="6"/>
      <c r="K6" s="6"/>
      <c r="L6" s="6"/>
      <c r="M6" s="6" t="s">
        <v>317</v>
      </c>
      <c r="N6" s="6"/>
      <c r="O6" s="8" t="s">
        <v>437</v>
      </c>
      <c r="P6" s="6"/>
      <c r="Q6" s="6" t="s">
        <v>321</v>
      </c>
      <c r="R6" s="6"/>
      <c r="S6" s="6" t="s">
        <v>6</v>
      </c>
      <c r="T6" s="5"/>
    </row>
    <row r="7" spans="1:22" ht="12.75" customHeight="1">
      <c r="A7" s="5"/>
      <c r="C7" s="5"/>
      <c r="D7" s="5"/>
      <c r="E7" s="6" t="s">
        <v>319</v>
      </c>
      <c r="F7" s="6"/>
      <c r="G7" s="6" t="s">
        <v>6</v>
      </c>
      <c r="H7" s="6"/>
      <c r="I7" s="6" t="s">
        <v>5</v>
      </c>
      <c r="J7" s="6"/>
      <c r="K7" s="6" t="s">
        <v>6</v>
      </c>
      <c r="L7" s="6"/>
      <c r="M7" s="6" t="s">
        <v>320</v>
      </c>
      <c r="N7" s="6"/>
      <c r="O7" s="3" t="s">
        <v>502</v>
      </c>
      <c r="P7" s="3"/>
      <c r="Q7" s="3" t="s">
        <v>503</v>
      </c>
      <c r="R7" s="6"/>
      <c r="S7" s="6" t="s">
        <v>320</v>
      </c>
      <c r="T7" s="5"/>
      <c r="V7" s="3" t="s">
        <v>428</v>
      </c>
    </row>
    <row r="8" spans="1:22" s="44" customFormat="1" ht="12.75" customHeight="1">
      <c r="A8" s="78" t="s">
        <v>8</v>
      </c>
      <c r="B8" s="51"/>
      <c r="C8" s="78" t="s">
        <v>9</v>
      </c>
      <c r="D8" s="35"/>
      <c r="E8" s="78" t="s">
        <v>322</v>
      </c>
      <c r="F8" s="8"/>
      <c r="G8" s="78" t="s">
        <v>0</v>
      </c>
      <c r="H8" s="8"/>
      <c r="I8" s="78" t="s">
        <v>323</v>
      </c>
      <c r="J8" s="8"/>
      <c r="K8" s="78" t="s">
        <v>1</v>
      </c>
      <c r="L8" s="8"/>
      <c r="M8" s="78" t="s">
        <v>324</v>
      </c>
      <c r="N8" s="8"/>
      <c r="O8" s="78" t="s">
        <v>325</v>
      </c>
      <c r="P8" s="8"/>
      <c r="Q8" s="78" t="s">
        <v>325</v>
      </c>
      <c r="R8" s="8"/>
      <c r="S8" s="78" t="s">
        <v>324</v>
      </c>
      <c r="T8" s="35"/>
      <c r="V8" s="104" t="s">
        <v>430</v>
      </c>
    </row>
    <row r="9" spans="1:22" s="44" customFormat="1" ht="12.75" customHeight="1">
      <c r="A9" s="8"/>
      <c r="B9" s="51"/>
      <c r="C9" s="8"/>
      <c r="D9" s="35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35"/>
    </row>
    <row r="10" spans="1:22" s="46" customFormat="1" ht="12.75" customHeight="1">
      <c r="A10" s="44" t="s">
        <v>12</v>
      </c>
      <c r="B10" s="51"/>
      <c r="C10" s="44" t="s">
        <v>13</v>
      </c>
      <c r="D10" s="35"/>
      <c r="E10" s="94">
        <v>872883</v>
      </c>
      <c r="F10" s="94"/>
      <c r="G10" s="94">
        <v>55138866</v>
      </c>
      <c r="H10" s="94"/>
      <c r="I10" s="94">
        <v>35518345</v>
      </c>
      <c r="J10" s="94"/>
      <c r="K10" s="94">
        <v>51193318</v>
      </c>
      <c r="L10" s="94"/>
      <c r="M10" s="94">
        <f>1681693+495456</f>
        <v>2177149</v>
      </c>
      <c r="N10" s="94"/>
      <c r="O10" s="94">
        <v>210765</v>
      </c>
      <c r="P10" s="94"/>
      <c r="Q10" s="94">
        <v>1557634</v>
      </c>
      <c r="R10" s="94"/>
      <c r="S10" s="94">
        <f t="shared" ref="S10:S72" si="0">+Q10+O10+M10</f>
        <v>3945548</v>
      </c>
      <c r="T10" s="45"/>
      <c r="U10" s="46">
        <f t="shared" ref="U10:U72" si="1">+G10-K10-S10</f>
        <v>0</v>
      </c>
      <c r="V10" s="44">
        <f t="shared" ref="V10:V72" si="2">+G10-K10-S10</f>
        <v>0</v>
      </c>
    </row>
    <row r="11" spans="1:22" s="44" customFormat="1" ht="12.75" customHeight="1">
      <c r="A11" s="44" t="s">
        <v>14</v>
      </c>
      <c r="B11" s="65"/>
      <c r="C11" s="44" t="s">
        <v>15</v>
      </c>
      <c r="D11" s="35"/>
      <c r="E11" s="45">
        <v>1356683</v>
      </c>
      <c r="F11" s="45"/>
      <c r="G11" s="45">
        <v>6063568</v>
      </c>
      <c r="H11" s="45"/>
      <c r="I11" s="45">
        <v>2071353</v>
      </c>
      <c r="J11" s="45"/>
      <c r="K11" s="45">
        <v>3746552</v>
      </c>
      <c r="L11" s="45"/>
      <c r="M11" s="45">
        <f>11650+15736+12401</f>
        <v>39787</v>
      </c>
      <c r="N11" s="45"/>
      <c r="O11" s="45">
        <v>0</v>
      </c>
      <c r="P11" s="45"/>
      <c r="Q11" s="45">
        <v>2277229</v>
      </c>
      <c r="R11" s="45"/>
      <c r="S11" s="45">
        <f>+Q11+O11+M11</f>
        <v>2317016</v>
      </c>
      <c r="T11" s="45"/>
      <c r="U11" s="44">
        <f t="shared" si="1"/>
        <v>0</v>
      </c>
      <c r="V11" s="44">
        <f t="shared" si="2"/>
        <v>0</v>
      </c>
    </row>
    <row r="12" spans="1:22" s="44" customFormat="1" ht="12.75" customHeight="1">
      <c r="A12" s="44" t="s">
        <v>16</v>
      </c>
      <c r="B12" s="51"/>
      <c r="C12" s="44" t="s">
        <v>17</v>
      </c>
      <c r="D12" s="35"/>
      <c r="E12" s="45">
        <v>1732798</v>
      </c>
      <c r="F12" s="45"/>
      <c r="G12" s="45">
        <v>4138052</v>
      </c>
      <c r="H12" s="45"/>
      <c r="I12" s="45">
        <v>1556221</v>
      </c>
      <c r="J12" s="45"/>
      <c r="K12" s="45">
        <v>1855654</v>
      </c>
      <c r="L12" s="45"/>
      <c r="M12" s="45">
        <f>58315+42549</f>
        <v>100864</v>
      </c>
      <c r="N12" s="45"/>
      <c r="O12" s="45">
        <v>0</v>
      </c>
      <c r="P12" s="45"/>
      <c r="Q12" s="45">
        <v>2181534</v>
      </c>
      <c r="R12" s="45"/>
      <c r="S12" s="45">
        <f t="shared" si="0"/>
        <v>2282398</v>
      </c>
      <c r="T12" s="45"/>
      <c r="U12" s="44">
        <f t="shared" si="1"/>
        <v>0</v>
      </c>
      <c r="V12" s="44">
        <f t="shared" si="2"/>
        <v>0</v>
      </c>
    </row>
    <row r="13" spans="1:22" s="44" customFormat="1" ht="12.75" customHeight="1">
      <c r="A13" s="44" t="s">
        <v>18</v>
      </c>
      <c r="B13" s="51"/>
      <c r="C13" s="44" t="s">
        <v>18</v>
      </c>
      <c r="D13" s="35"/>
      <c r="E13" s="45">
        <v>1093442</v>
      </c>
      <c r="F13" s="45"/>
      <c r="G13" s="45">
        <v>4195003</v>
      </c>
      <c r="H13" s="45"/>
      <c r="I13" s="45">
        <v>1784691</v>
      </c>
      <c r="J13" s="45"/>
      <c r="K13" s="45">
        <v>2346815</v>
      </c>
      <c r="L13" s="45"/>
      <c r="M13" s="45">
        <v>19913</v>
      </c>
      <c r="N13" s="45"/>
      <c r="O13" s="45">
        <v>0</v>
      </c>
      <c r="P13" s="45"/>
      <c r="Q13" s="45">
        <v>1828275</v>
      </c>
      <c r="R13" s="45"/>
      <c r="S13" s="45">
        <f t="shared" si="0"/>
        <v>1848188</v>
      </c>
      <c r="T13" s="45"/>
      <c r="U13" s="44">
        <f t="shared" si="1"/>
        <v>0</v>
      </c>
      <c r="V13" s="44">
        <f t="shared" si="2"/>
        <v>0</v>
      </c>
    </row>
    <row r="14" spans="1:22" s="44" customFormat="1" ht="12.75" customHeight="1">
      <c r="A14" s="44" t="s">
        <v>19</v>
      </c>
      <c r="B14" s="51"/>
      <c r="C14" s="44" t="s">
        <v>19</v>
      </c>
      <c r="D14" s="35"/>
      <c r="E14" s="45">
        <f>106938+144669</f>
        <v>251607</v>
      </c>
      <c r="F14" s="45"/>
      <c r="G14" s="45">
        <v>3923828</v>
      </c>
      <c r="H14" s="45"/>
      <c r="I14" s="45">
        <v>3054356</v>
      </c>
      <c r="J14" s="45"/>
      <c r="K14" s="45">
        <v>3327045</v>
      </c>
      <c r="L14" s="45"/>
      <c r="M14" s="45">
        <f>13543+11830</f>
        <v>25373</v>
      </c>
      <c r="N14" s="45"/>
      <c r="O14" s="45">
        <v>0</v>
      </c>
      <c r="P14" s="45"/>
      <c r="Q14" s="45">
        <v>571410</v>
      </c>
      <c r="R14" s="45"/>
      <c r="S14" s="45">
        <f t="shared" si="0"/>
        <v>596783</v>
      </c>
      <c r="T14" s="45"/>
      <c r="U14" s="44">
        <f t="shared" si="1"/>
        <v>0</v>
      </c>
      <c r="V14" s="44">
        <f t="shared" si="2"/>
        <v>0</v>
      </c>
    </row>
    <row r="15" spans="1:22" s="44" customFormat="1" ht="12.75" customHeight="1">
      <c r="A15" s="44" t="s">
        <v>20</v>
      </c>
      <c r="B15" s="51"/>
      <c r="C15" s="44" t="s">
        <v>20</v>
      </c>
      <c r="D15" s="35"/>
      <c r="E15" s="45">
        <f>1176384+58131</f>
        <v>1234515</v>
      </c>
      <c r="F15" s="45"/>
      <c r="G15" s="45">
        <v>3102708</v>
      </c>
      <c r="H15" s="45"/>
      <c r="I15" s="45">
        <v>971847</v>
      </c>
      <c r="J15" s="45"/>
      <c r="K15" s="45">
        <v>1406937</v>
      </c>
      <c r="L15" s="45"/>
      <c r="M15" s="45">
        <v>267476</v>
      </c>
      <c r="N15" s="45"/>
      <c r="O15" s="45">
        <v>0</v>
      </c>
      <c r="P15" s="45"/>
      <c r="Q15" s="45">
        <v>1428295</v>
      </c>
      <c r="R15" s="45"/>
      <c r="S15" s="45">
        <f t="shared" si="0"/>
        <v>1695771</v>
      </c>
      <c r="T15" s="45"/>
      <c r="U15" s="44">
        <f t="shared" si="1"/>
        <v>0</v>
      </c>
      <c r="V15" s="44">
        <f t="shared" si="2"/>
        <v>0</v>
      </c>
    </row>
    <row r="16" spans="1:22" s="44" customFormat="1" ht="12.75" customHeight="1">
      <c r="A16" s="44" t="s">
        <v>21</v>
      </c>
      <c r="C16" s="44" t="s">
        <v>22</v>
      </c>
      <c r="D16" s="35"/>
      <c r="E16" s="45">
        <v>5980976</v>
      </c>
      <c r="F16" s="45"/>
      <c r="G16" s="45">
        <v>10921575</v>
      </c>
      <c r="H16" s="45"/>
      <c r="I16" s="45">
        <v>1960952</v>
      </c>
      <c r="J16" s="45"/>
      <c r="K16" s="45">
        <v>4354818</v>
      </c>
      <c r="L16" s="45"/>
      <c r="M16" s="45">
        <f>156342+30553+38007</f>
        <v>224902</v>
      </c>
      <c r="N16" s="45"/>
      <c r="O16" s="45">
        <v>0</v>
      </c>
      <c r="P16" s="45"/>
      <c r="Q16" s="45">
        <v>6341855</v>
      </c>
      <c r="R16" s="45"/>
      <c r="S16" s="45">
        <f t="shared" si="0"/>
        <v>6566757</v>
      </c>
      <c r="T16" s="45"/>
      <c r="U16" s="44">
        <f t="shared" si="1"/>
        <v>0</v>
      </c>
      <c r="V16" s="44">
        <f t="shared" si="2"/>
        <v>0</v>
      </c>
    </row>
    <row r="17" spans="1:22" s="44" customFormat="1" ht="12.75" customHeight="1">
      <c r="A17" s="44" t="s">
        <v>23</v>
      </c>
      <c r="B17" s="51"/>
      <c r="C17" s="44" t="s">
        <v>17</v>
      </c>
      <c r="D17" s="35"/>
      <c r="E17" s="45">
        <v>4574765</v>
      </c>
      <c r="F17" s="45"/>
      <c r="G17" s="45">
        <v>10501104</v>
      </c>
      <c r="H17" s="45"/>
      <c r="I17" s="45">
        <v>2540326</v>
      </c>
      <c r="J17" s="45"/>
      <c r="K17" s="45">
        <v>2672932</v>
      </c>
      <c r="L17" s="45"/>
      <c r="M17" s="45">
        <v>150647</v>
      </c>
      <c r="N17" s="45"/>
      <c r="O17" s="45">
        <v>0</v>
      </c>
      <c r="P17" s="45"/>
      <c r="Q17" s="45">
        <v>7677525</v>
      </c>
      <c r="R17" s="45"/>
      <c r="S17" s="45">
        <f t="shared" si="0"/>
        <v>7828172</v>
      </c>
      <c r="T17" s="45"/>
      <c r="U17" s="44">
        <f t="shared" si="1"/>
        <v>0</v>
      </c>
      <c r="V17" s="44">
        <f t="shared" si="2"/>
        <v>0</v>
      </c>
    </row>
    <row r="18" spans="1:22" s="44" customFormat="1" ht="12.75" customHeight="1">
      <c r="A18" s="44" t="s">
        <v>24</v>
      </c>
      <c r="B18" s="51"/>
      <c r="C18" s="44" t="s">
        <v>17</v>
      </c>
      <c r="D18" s="35"/>
      <c r="E18" s="45">
        <v>3300955</v>
      </c>
      <c r="F18" s="45"/>
      <c r="G18" s="45">
        <v>8469318</v>
      </c>
      <c r="H18" s="45"/>
      <c r="I18" s="45">
        <v>4541822</v>
      </c>
      <c r="J18" s="45"/>
      <c r="K18" s="45">
        <v>5027192</v>
      </c>
      <c r="L18" s="45"/>
      <c r="M18" s="45">
        <f>59717+534720+260041</f>
        <v>854478</v>
      </c>
      <c r="N18" s="45"/>
      <c r="O18" s="45">
        <v>0</v>
      </c>
      <c r="P18" s="45"/>
      <c r="Q18" s="45">
        <v>2587648</v>
      </c>
      <c r="R18" s="45"/>
      <c r="S18" s="45">
        <f t="shared" si="0"/>
        <v>3442126</v>
      </c>
      <c r="T18" s="45"/>
      <c r="U18" s="44">
        <f t="shared" si="1"/>
        <v>0</v>
      </c>
      <c r="V18" s="44">
        <f t="shared" si="2"/>
        <v>0</v>
      </c>
    </row>
    <row r="19" spans="1:22" s="44" customFormat="1" ht="12.75" customHeight="1">
      <c r="A19" s="44" t="s">
        <v>25</v>
      </c>
      <c r="C19" s="44" t="s">
        <v>13</v>
      </c>
      <c r="D19" s="35"/>
      <c r="E19" s="45">
        <f>480861+256950</f>
        <v>737811</v>
      </c>
      <c r="F19" s="45"/>
      <c r="G19" s="45">
        <v>5095215</v>
      </c>
      <c r="H19" s="45"/>
      <c r="I19" s="45">
        <v>1002481</v>
      </c>
      <c r="J19" s="45"/>
      <c r="K19" s="45">
        <v>2960511</v>
      </c>
      <c r="L19" s="45"/>
      <c r="M19" s="45">
        <f>352434+58117+1777</f>
        <v>412328</v>
      </c>
      <c r="N19" s="45"/>
      <c r="O19" s="45">
        <v>0</v>
      </c>
      <c r="P19" s="45"/>
      <c r="Q19" s="45">
        <v>1722376</v>
      </c>
      <c r="R19" s="45"/>
      <c r="S19" s="45">
        <f t="shared" si="0"/>
        <v>2134704</v>
      </c>
      <c r="T19" s="45"/>
      <c r="U19" s="44">
        <f t="shared" si="1"/>
        <v>0</v>
      </c>
      <c r="V19" s="44">
        <f>+G19-K19-S19</f>
        <v>0</v>
      </c>
    </row>
    <row r="20" spans="1:22" s="44" customFormat="1" ht="12.75" customHeight="1">
      <c r="A20" s="44" t="s">
        <v>26</v>
      </c>
      <c r="B20" s="51"/>
      <c r="C20" s="44" t="s">
        <v>27</v>
      </c>
      <c r="D20" s="35"/>
      <c r="E20" s="45">
        <v>1762611</v>
      </c>
      <c r="F20" s="45"/>
      <c r="G20" s="45">
        <v>8342865</v>
      </c>
      <c r="H20" s="45"/>
      <c r="I20" s="45">
        <f>1581785+3585366</f>
        <v>5167151</v>
      </c>
      <c r="J20" s="45"/>
      <c r="K20" s="45">
        <v>5343331</v>
      </c>
      <c r="L20" s="45"/>
      <c r="M20" s="45">
        <v>34512</v>
      </c>
      <c r="N20" s="45"/>
      <c r="O20" s="45">
        <v>609109</v>
      </c>
      <c r="P20" s="45"/>
      <c r="Q20" s="45">
        <v>2355913</v>
      </c>
      <c r="R20" s="45"/>
      <c r="S20" s="45">
        <f t="shared" si="0"/>
        <v>2999534</v>
      </c>
      <c r="T20" s="45"/>
      <c r="U20" s="44">
        <f t="shared" si="1"/>
        <v>0</v>
      </c>
      <c r="V20" s="44">
        <f t="shared" si="2"/>
        <v>0</v>
      </c>
    </row>
    <row r="21" spans="1:22" s="44" customFormat="1" ht="12.75" customHeight="1">
      <c r="A21" s="44" t="s">
        <v>28</v>
      </c>
      <c r="B21" s="51"/>
      <c r="C21" s="44" t="s">
        <v>27</v>
      </c>
      <c r="D21" s="35"/>
      <c r="E21" s="45">
        <f>18948764+2501+13504</f>
        <v>18964769</v>
      </c>
      <c r="F21" s="45"/>
      <c r="G21" s="45">
        <v>28003484</v>
      </c>
      <c r="H21" s="45"/>
      <c r="I21" s="45">
        <v>4487556</v>
      </c>
      <c r="J21" s="45"/>
      <c r="K21" s="45">
        <v>6505253</v>
      </c>
      <c r="L21" s="45"/>
      <c r="M21" s="45">
        <f>973241+13504</f>
        <v>986745</v>
      </c>
      <c r="N21" s="45"/>
      <c r="O21" s="45">
        <v>0</v>
      </c>
      <c r="P21" s="45"/>
      <c r="Q21" s="45">
        <v>20511486</v>
      </c>
      <c r="R21" s="45"/>
      <c r="S21" s="45">
        <f t="shared" si="0"/>
        <v>21498231</v>
      </c>
      <c r="T21" s="45"/>
      <c r="U21" s="44">
        <f t="shared" si="1"/>
        <v>0</v>
      </c>
      <c r="V21" s="44">
        <f t="shared" si="2"/>
        <v>0</v>
      </c>
    </row>
    <row r="22" spans="1:22" s="44" customFormat="1" ht="12.75" customHeight="1">
      <c r="A22" s="44" t="s">
        <v>29</v>
      </c>
      <c r="B22" s="51"/>
      <c r="C22" s="44" t="s">
        <v>30</v>
      </c>
      <c r="D22" s="35"/>
      <c r="E22" s="45">
        <v>2446930</v>
      </c>
      <c r="F22" s="45"/>
      <c r="G22" s="45">
        <v>5455301</v>
      </c>
      <c r="H22" s="45"/>
      <c r="I22" s="45">
        <v>2167643</v>
      </c>
      <c r="J22" s="45"/>
      <c r="K22" s="45">
        <v>2323288</v>
      </c>
      <c r="L22" s="45"/>
      <c r="M22" s="45">
        <v>50909</v>
      </c>
      <c r="N22" s="45"/>
      <c r="O22" s="45">
        <v>0</v>
      </c>
      <c r="P22" s="45"/>
      <c r="Q22" s="45">
        <v>3081104</v>
      </c>
      <c r="R22" s="45"/>
      <c r="S22" s="45">
        <f t="shared" si="0"/>
        <v>3132013</v>
      </c>
      <c r="T22" s="45"/>
      <c r="U22" s="44">
        <f t="shared" si="1"/>
        <v>0</v>
      </c>
      <c r="V22" s="44">
        <f t="shared" si="2"/>
        <v>0</v>
      </c>
    </row>
    <row r="23" spans="1:22" s="44" customFormat="1" ht="12.75" customHeight="1">
      <c r="A23" s="44" t="s">
        <v>31</v>
      </c>
      <c r="B23" s="51"/>
      <c r="C23" s="44" t="s">
        <v>27</v>
      </c>
      <c r="D23" s="35"/>
      <c r="E23" s="45">
        <v>7199742</v>
      </c>
      <c r="F23" s="45"/>
      <c r="G23" s="45">
        <v>13911840</v>
      </c>
      <c r="H23" s="45"/>
      <c r="I23" s="45">
        <v>4599730</v>
      </c>
      <c r="J23" s="45"/>
      <c r="K23" s="45">
        <v>5246625</v>
      </c>
      <c r="L23" s="45"/>
      <c r="M23" s="45">
        <f>166953+517</f>
        <v>167470</v>
      </c>
      <c r="N23" s="45"/>
      <c r="O23" s="45">
        <v>66615</v>
      </c>
      <c r="P23" s="45"/>
      <c r="Q23" s="45">
        <v>8431130</v>
      </c>
      <c r="R23" s="45"/>
      <c r="S23" s="45">
        <f t="shared" si="0"/>
        <v>8665215</v>
      </c>
      <c r="T23" s="45"/>
      <c r="U23" s="44">
        <f t="shared" si="1"/>
        <v>0</v>
      </c>
      <c r="V23" s="44">
        <f t="shared" si="2"/>
        <v>0</v>
      </c>
    </row>
    <row r="24" spans="1:22" s="44" customFormat="1" ht="12.75" customHeight="1">
      <c r="A24" s="44" t="s">
        <v>32</v>
      </c>
      <c r="B24" s="51"/>
      <c r="C24" s="44" t="s">
        <v>27</v>
      </c>
      <c r="D24" s="35"/>
      <c r="E24" s="45">
        <v>3789126</v>
      </c>
      <c r="F24" s="45"/>
      <c r="G24" s="45">
        <v>7654533</v>
      </c>
      <c r="H24" s="45"/>
      <c r="I24" s="45">
        <v>1978468</v>
      </c>
      <c r="J24" s="45"/>
      <c r="K24" s="45">
        <v>2584473</v>
      </c>
      <c r="L24" s="45"/>
      <c r="M24" s="45">
        <f>39340+19290+53024</f>
        <v>111654</v>
      </c>
      <c r="N24" s="45"/>
      <c r="O24" s="45">
        <v>0</v>
      </c>
      <c r="P24" s="45"/>
      <c r="Q24" s="45">
        <v>4958406</v>
      </c>
      <c r="R24" s="45"/>
      <c r="S24" s="45">
        <f t="shared" si="0"/>
        <v>5070060</v>
      </c>
      <c r="T24" s="45"/>
      <c r="U24" s="44">
        <f t="shared" si="1"/>
        <v>0</v>
      </c>
      <c r="V24" s="44">
        <f t="shared" si="2"/>
        <v>0</v>
      </c>
    </row>
    <row r="25" spans="1:22" s="44" customFormat="1" ht="12.75" customHeight="1">
      <c r="A25" s="44" t="s">
        <v>34</v>
      </c>
      <c r="B25" s="51"/>
      <c r="C25" s="44" t="s">
        <v>30</v>
      </c>
      <c r="D25" s="35"/>
      <c r="E25" s="45">
        <v>932054</v>
      </c>
      <c r="F25" s="45"/>
      <c r="G25" s="45">
        <v>1689412</v>
      </c>
      <c r="H25" s="45"/>
      <c r="I25" s="45">
        <v>679731</v>
      </c>
      <c r="J25" s="45"/>
      <c r="K25" s="45">
        <v>702693</v>
      </c>
      <c r="L25" s="45"/>
      <c r="M25" s="45">
        <f>4894+12176</f>
        <v>17070</v>
      </c>
      <c r="N25" s="45"/>
      <c r="O25" s="45">
        <v>0</v>
      </c>
      <c r="P25" s="45"/>
      <c r="Q25" s="45">
        <v>969649</v>
      </c>
      <c r="R25" s="151"/>
      <c r="S25" s="151">
        <f t="shared" si="0"/>
        <v>986719</v>
      </c>
      <c r="T25" s="45"/>
      <c r="U25" s="44">
        <f t="shared" si="1"/>
        <v>0</v>
      </c>
      <c r="V25" s="44">
        <f t="shared" si="2"/>
        <v>0</v>
      </c>
    </row>
    <row r="26" spans="1:22" s="44" customFormat="1" ht="12.75" customHeight="1">
      <c r="A26" s="44" t="s">
        <v>35</v>
      </c>
      <c r="B26" s="51"/>
      <c r="C26" s="44" t="s">
        <v>36</v>
      </c>
      <c r="D26" s="35"/>
      <c r="E26" s="45">
        <v>2899917</v>
      </c>
      <c r="F26" s="45"/>
      <c r="G26" s="45">
        <v>4682211</v>
      </c>
      <c r="H26" s="45"/>
      <c r="I26" s="45">
        <v>678291</v>
      </c>
      <c r="J26" s="45"/>
      <c r="K26" s="45">
        <v>1603734</v>
      </c>
      <c r="L26" s="45"/>
      <c r="M26" s="45">
        <f>181041+16428</f>
        <v>197469</v>
      </c>
      <c r="N26" s="45"/>
      <c r="O26" s="45">
        <v>0</v>
      </c>
      <c r="P26" s="45"/>
      <c r="Q26" s="45">
        <v>2881008</v>
      </c>
      <c r="R26" s="45"/>
      <c r="S26" s="45">
        <f t="shared" si="0"/>
        <v>3078477</v>
      </c>
      <c r="T26" s="45"/>
      <c r="U26" s="44">
        <f t="shared" si="1"/>
        <v>0</v>
      </c>
      <c r="V26" s="44">
        <f t="shared" si="2"/>
        <v>0</v>
      </c>
    </row>
    <row r="27" spans="1:22" s="44" customFormat="1" ht="12.75" customHeight="1">
      <c r="A27" s="44" t="s">
        <v>37</v>
      </c>
      <c r="B27" s="51"/>
      <c r="C27" s="44" t="s">
        <v>38</v>
      </c>
      <c r="D27" s="35"/>
      <c r="E27" s="45">
        <f>929939+495</f>
        <v>930434</v>
      </c>
      <c r="F27" s="45"/>
      <c r="G27" s="45">
        <v>2357340</v>
      </c>
      <c r="H27" s="45"/>
      <c r="I27" s="45">
        <v>1241818</v>
      </c>
      <c r="J27" s="45"/>
      <c r="K27" s="45">
        <v>1534201</v>
      </c>
      <c r="L27" s="45"/>
      <c r="M27" s="45">
        <v>7943</v>
      </c>
      <c r="N27" s="45"/>
      <c r="O27" s="45">
        <v>0</v>
      </c>
      <c r="P27" s="45"/>
      <c r="Q27" s="45">
        <v>815196</v>
      </c>
      <c r="R27" s="45"/>
      <c r="S27" s="45">
        <f t="shared" si="0"/>
        <v>823139</v>
      </c>
      <c r="T27" s="45"/>
      <c r="U27" s="44">
        <f t="shared" si="1"/>
        <v>0</v>
      </c>
      <c r="V27" s="44">
        <f t="shared" si="2"/>
        <v>0</v>
      </c>
    </row>
    <row r="28" spans="1:22" s="44" customFormat="1" ht="12.75" customHeight="1">
      <c r="A28" s="44" t="s">
        <v>39</v>
      </c>
      <c r="C28" s="44" t="s">
        <v>40</v>
      </c>
      <c r="D28" s="35"/>
      <c r="E28" s="45">
        <f>1319141+3622+7930</f>
        <v>1330693</v>
      </c>
      <c r="F28" s="45"/>
      <c r="G28" s="45">
        <v>2322914</v>
      </c>
      <c r="H28" s="45"/>
      <c r="I28" s="45">
        <v>641164</v>
      </c>
      <c r="J28" s="45"/>
      <c r="K28" s="45">
        <v>706870</v>
      </c>
      <c r="L28" s="45"/>
      <c r="M28" s="45">
        <f>26425+7930+51602</f>
        <v>85957</v>
      </c>
      <c r="N28" s="45"/>
      <c r="O28" s="45">
        <v>2207</v>
      </c>
      <c r="P28" s="45"/>
      <c r="Q28" s="45">
        <v>1527880</v>
      </c>
      <c r="R28" s="45"/>
      <c r="S28" s="45">
        <f t="shared" si="0"/>
        <v>1616044</v>
      </c>
      <c r="T28" s="45"/>
      <c r="U28" s="44">
        <f t="shared" si="1"/>
        <v>0</v>
      </c>
      <c r="V28" s="44">
        <f t="shared" si="2"/>
        <v>0</v>
      </c>
    </row>
    <row r="29" spans="1:22" s="44" customFormat="1" ht="12.75" customHeight="1">
      <c r="A29" s="44" t="s">
        <v>41</v>
      </c>
      <c r="B29" s="51"/>
      <c r="C29" s="44" t="s">
        <v>27</v>
      </c>
      <c r="D29" s="35"/>
      <c r="E29" s="45">
        <v>2061750</v>
      </c>
      <c r="F29" s="45"/>
      <c r="G29" s="45">
        <v>7038948</v>
      </c>
      <c r="H29" s="45"/>
      <c r="I29" s="45">
        <v>2777083</v>
      </c>
      <c r="J29" s="45"/>
      <c r="K29" s="45">
        <v>3415401</v>
      </c>
      <c r="L29" s="45"/>
      <c r="M29" s="45">
        <f>9796+150000</f>
        <v>159796</v>
      </c>
      <c r="N29" s="45"/>
      <c r="O29" s="45">
        <v>0</v>
      </c>
      <c r="P29" s="45"/>
      <c r="Q29" s="45">
        <v>3463751</v>
      </c>
      <c r="R29" s="45"/>
      <c r="S29" s="45">
        <f t="shared" si="0"/>
        <v>3623547</v>
      </c>
      <c r="T29" s="45"/>
      <c r="U29" s="44">
        <f t="shared" si="1"/>
        <v>0</v>
      </c>
      <c r="V29" s="44">
        <f t="shared" si="2"/>
        <v>0</v>
      </c>
    </row>
    <row r="30" spans="1:22" s="44" customFormat="1" ht="12.75" customHeight="1">
      <c r="A30" s="44" t="s">
        <v>42</v>
      </c>
      <c r="B30" s="51"/>
      <c r="C30" s="44" t="s">
        <v>43</v>
      </c>
      <c r="D30" s="35"/>
      <c r="E30" s="45">
        <f>5854676+1973</f>
        <v>5856649</v>
      </c>
      <c r="F30" s="45"/>
      <c r="G30" s="45">
        <v>9033470</v>
      </c>
      <c r="H30" s="45"/>
      <c r="I30" s="45">
        <v>1621457</v>
      </c>
      <c r="J30" s="45"/>
      <c r="K30" s="45">
        <v>2442780</v>
      </c>
      <c r="L30" s="45"/>
      <c r="M30" s="45">
        <v>3451465</v>
      </c>
      <c r="N30" s="45"/>
      <c r="O30" s="45">
        <v>1000000</v>
      </c>
      <c r="P30" s="45"/>
      <c r="Q30" s="45">
        <v>2139225</v>
      </c>
      <c r="R30" s="45"/>
      <c r="S30" s="45">
        <f t="shared" si="0"/>
        <v>6590690</v>
      </c>
      <c r="T30" s="45"/>
      <c r="U30" s="44">
        <f t="shared" si="1"/>
        <v>0</v>
      </c>
      <c r="V30" s="44">
        <f t="shared" si="2"/>
        <v>0</v>
      </c>
    </row>
    <row r="31" spans="1:22" s="44" customFormat="1" ht="12.75" customHeight="1">
      <c r="A31" s="44" t="s">
        <v>44</v>
      </c>
      <c r="B31" s="51"/>
      <c r="C31" s="44" t="s">
        <v>45</v>
      </c>
      <c r="D31" s="35"/>
      <c r="E31" s="45">
        <v>14918407</v>
      </c>
      <c r="F31" s="45"/>
      <c r="G31" s="45">
        <v>24212801</v>
      </c>
      <c r="H31" s="45"/>
      <c r="I31" s="45">
        <v>5184902</v>
      </c>
      <c r="J31" s="45"/>
      <c r="K31" s="45">
        <v>7318261</v>
      </c>
      <c r="L31" s="45"/>
      <c r="M31" s="45">
        <f>763346+61858+30297</f>
        <v>855501</v>
      </c>
      <c r="N31" s="45"/>
      <c r="O31" s="45">
        <v>0</v>
      </c>
      <c r="P31" s="45"/>
      <c r="Q31" s="45">
        <v>16039039</v>
      </c>
      <c r="R31" s="45"/>
      <c r="S31" s="45">
        <f t="shared" si="0"/>
        <v>16894540</v>
      </c>
      <c r="T31" s="45"/>
      <c r="U31" s="44">
        <f t="shared" si="1"/>
        <v>0</v>
      </c>
      <c r="V31" s="44">
        <f t="shared" si="2"/>
        <v>0</v>
      </c>
    </row>
    <row r="32" spans="1:22" s="44" customFormat="1" ht="12.75" customHeight="1">
      <c r="A32" s="44" t="s">
        <v>46</v>
      </c>
      <c r="B32" s="51"/>
      <c r="C32" s="44" t="s">
        <v>47</v>
      </c>
      <c r="D32" s="35"/>
      <c r="E32" s="45">
        <v>2120944</v>
      </c>
      <c r="F32" s="45"/>
      <c r="G32" s="45">
        <v>7463318</v>
      </c>
      <c r="H32" s="45"/>
      <c r="I32" s="45">
        <v>3944729</v>
      </c>
      <c r="J32" s="45"/>
      <c r="K32" s="45">
        <v>4928890</v>
      </c>
      <c r="L32" s="45"/>
      <c r="M32" s="45">
        <f>115900+47055+180138</f>
        <v>343093</v>
      </c>
      <c r="N32" s="45"/>
      <c r="O32" s="45">
        <v>0</v>
      </c>
      <c r="P32" s="45"/>
      <c r="Q32" s="45">
        <v>2191335</v>
      </c>
      <c r="R32" s="45"/>
      <c r="S32" s="45">
        <f t="shared" si="0"/>
        <v>2534428</v>
      </c>
      <c r="T32" s="45"/>
      <c r="U32" s="44">
        <f t="shared" si="1"/>
        <v>0</v>
      </c>
      <c r="V32" s="44">
        <f t="shared" si="2"/>
        <v>0</v>
      </c>
    </row>
    <row r="33" spans="1:22" s="44" customFormat="1" ht="12.75" customHeight="1">
      <c r="A33" s="44" t="s">
        <v>48</v>
      </c>
      <c r="C33" s="44" t="s">
        <v>27</v>
      </c>
      <c r="D33" s="35"/>
      <c r="E33" s="45">
        <f>5309334+22949</f>
        <v>5332283</v>
      </c>
      <c r="F33" s="45"/>
      <c r="G33" s="45">
        <v>10684782</v>
      </c>
      <c r="H33" s="45"/>
      <c r="I33" s="45">
        <v>3672718</v>
      </c>
      <c r="J33" s="45"/>
      <c r="K33" s="45">
        <v>4405194</v>
      </c>
      <c r="L33" s="45"/>
      <c r="M33" s="45">
        <v>347389</v>
      </c>
      <c r="N33" s="45"/>
      <c r="O33" s="45">
        <v>0</v>
      </c>
      <c r="P33" s="45"/>
      <c r="Q33" s="45">
        <v>5932199</v>
      </c>
      <c r="R33" s="45"/>
      <c r="S33" s="45">
        <f t="shared" si="0"/>
        <v>6279588</v>
      </c>
      <c r="T33" s="45"/>
      <c r="U33" s="44">
        <f t="shared" si="1"/>
        <v>0</v>
      </c>
      <c r="V33" s="44">
        <f t="shared" si="2"/>
        <v>0</v>
      </c>
    </row>
    <row r="34" spans="1:22" s="44" customFormat="1" ht="12.75" customHeight="1">
      <c r="A34" s="44" t="s">
        <v>49</v>
      </c>
      <c r="C34" s="44" t="s">
        <v>27</v>
      </c>
      <c r="D34" s="35"/>
      <c r="E34" s="45">
        <v>1156166</v>
      </c>
      <c r="F34" s="45"/>
      <c r="G34" s="45">
        <v>4929611</v>
      </c>
      <c r="H34" s="45"/>
      <c r="I34" s="45">
        <v>2447812</v>
      </c>
      <c r="J34" s="45"/>
      <c r="K34" s="45">
        <v>2851773</v>
      </c>
      <c r="L34" s="45"/>
      <c r="M34" s="45">
        <v>78470</v>
      </c>
      <c r="N34" s="45"/>
      <c r="O34" s="45">
        <v>0</v>
      </c>
      <c r="P34" s="45"/>
      <c r="Q34" s="45">
        <v>1999368</v>
      </c>
      <c r="R34" s="45"/>
      <c r="S34" s="45">
        <f t="shared" si="0"/>
        <v>2077838</v>
      </c>
      <c r="T34" s="45"/>
      <c r="U34" s="44">
        <f t="shared" si="1"/>
        <v>0</v>
      </c>
      <c r="V34" s="44">
        <f t="shared" si="2"/>
        <v>0</v>
      </c>
    </row>
    <row r="35" spans="1:22" s="44" customFormat="1" ht="12.75" customHeight="1">
      <c r="A35" s="44" t="s">
        <v>50</v>
      </c>
      <c r="B35" s="51"/>
      <c r="C35" s="44" t="s">
        <v>27</v>
      </c>
      <c r="D35" s="35"/>
      <c r="E35" s="45">
        <v>2731185</v>
      </c>
      <c r="F35" s="45"/>
      <c r="G35" s="45">
        <v>8495285</v>
      </c>
      <c r="H35" s="45"/>
      <c r="I35" s="45">
        <v>3359313</v>
      </c>
      <c r="J35" s="45"/>
      <c r="K35" s="45">
        <v>4468583</v>
      </c>
      <c r="L35" s="45"/>
      <c r="M35" s="45">
        <f>333811+122273+125579</f>
        <v>581663</v>
      </c>
      <c r="N35" s="45"/>
      <c r="O35" s="45">
        <v>0</v>
      </c>
      <c r="P35" s="45"/>
      <c r="Q35" s="45">
        <v>3445039</v>
      </c>
      <c r="R35" s="45"/>
      <c r="S35" s="45">
        <f t="shared" si="0"/>
        <v>4026702</v>
      </c>
      <c r="T35" s="45"/>
      <c r="U35" s="44">
        <f t="shared" si="1"/>
        <v>0</v>
      </c>
      <c r="V35" s="44">
        <f t="shared" si="2"/>
        <v>0</v>
      </c>
    </row>
    <row r="36" spans="1:22" s="44" customFormat="1" ht="12.75" customHeight="1">
      <c r="A36" s="44" t="s">
        <v>51</v>
      </c>
      <c r="B36" s="51"/>
      <c r="C36" s="44" t="s">
        <v>27</v>
      </c>
      <c r="D36" s="35"/>
      <c r="E36" s="45">
        <f>1079008+116676+1048011+2785074</f>
        <v>5028769</v>
      </c>
      <c r="F36" s="45"/>
      <c r="G36" s="45">
        <v>8917368</v>
      </c>
      <c r="H36" s="45"/>
      <c r="I36" s="45">
        <v>1695824</v>
      </c>
      <c r="J36" s="45"/>
      <c r="K36" s="45">
        <v>3077571</v>
      </c>
      <c r="L36" s="45"/>
      <c r="M36" s="45">
        <f>106786+3833085</f>
        <v>3939871</v>
      </c>
      <c r="N36" s="45"/>
      <c r="O36" s="45">
        <v>0</v>
      </c>
      <c r="P36" s="45"/>
      <c r="Q36" s="45">
        <v>1899926</v>
      </c>
      <c r="R36" s="45"/>
      <c r="S36" s="45">
        <f t="shared" si="0"/>
        <v>5839797</v>
      </c>
      <c r="T36" s="45"/>
      <c r="U36" s="44">
        <f t="shared" si="1"/>
        <v>0</v>
      </c>
      <c r="V36" s="44">
        <f t="shared" si="2"/>
        <v>0</v>
      </c>
    </row>
    <row r="37" spans="1:22" s="44" customFormat="1" ht="12.75" customHeight="1">
      <c r="A37" s="44" t="s">
        <v>462</v>
      </c>
      <c r="B37" s="51"/>
      <c r="C37" s="44" t="s">
        <v>66</v>
      </c>
      <c r="D37" s="35"/>
      <c r="E37" s="45">
        <v>738689</v>
      </c>
      <c r="F37" s="45"/>
      <c r="G37" s="45">
        <v>1806561</v>
      </c>
      <c r="H37" s="45"/>
      <c r="I37" s="45">
        <v>538666</v>
      </c>
      <c r="J37" s="45"/>
      <c r="K37" s="45">
        <v>784432</v>
      </c>
      <c r="L37" s="45"/>
      <c r="M37" s="45">
        <f>922+31215+17003</f>
        <v>49140</v>
      </c>
      <c r="N37" s="45"/>
      <c r="O37" s="45">
        <v>0</v>
      </c>
      <c r="P37" s="45"/>
      <c r="Q37" s="45">
        <v>972989</v>
      </c>
      <c r="R37" s="45"/>
      <c r="S37" s="45">
        <f t="shared" si="0"/>
        <v>1022129</v>
      </c>
      <c r="T37" s="45"/>
      <c r="U37" s="44">
        <f t="shared" si="1"/>
        <v>0</v>
      </c>
      <c r="V37" s="44">
        <f t="shared" si="2"/>
        <v>0</v>
      </c>
    </row>
    <row r="38" spans="1:22" s="44" customFormat="1" ht="12.75" customHeight="1">
      <c r="A38" s="44" t="s">
        <v>52</v>
      </c>
      <c r="B38" s="51"/>
      <c r="C38" s="44" t="s">
        <v>53</v>
      </c>
      <c r="D38" s="35"/>
      <c r="E38" s="45">
        <f>1282784+3960</f>
        <v>1286744</v>
      </c>
      <c r="F38" s="45"/>
      <c r="G38" s="45">
        <v>5569801</v>
      </c>
      <c r="H38" s="45"/>
      <c r="I38" s="45">
        <v>2263042</v>
      </c>
      <c r="J38" s="45"/>
      <c r="K38" s="45">
        <v>2595277</v>
      </c>
      <c r="L38" s="45"/>
      <c r="M38" s="45">
        <f>189137+15424+1411286</f>
        <v>1615847</v>
      </c>
      <c r="N38" s="45"/>
      <c r="O38" s="45">
        <v>0</v>
      </c>
      <c r="P38" s="45"/>
      <c r="Q38" s="45">
        <v>1358677</v>
      </c>
      <c r="R38" s="45"/>
      <c r="S38" s="45">
        <f t="shared" si="0"/>
        <v>2974524</v>
      </c>
      <c r="T38" s="45"/>
      <c r="U38" s="44">
        <f t="shared" si="1"/>
        <v>0</v>
      </c>
      <c r="V38" s="44">
        <f t="shared" si="2"/>
        <v>0</v>
      </c>
    </row>
    <row r="39" spans="1:22" s="44" customFormat="1" ht="12.75" customHeight="1">
      <c r="A39" s="44" t="s">
        <v>54</v>
      </c>
      <c r="B39" s="51"/>
      <c r="C39" s="44" t="s">
        <v>55</v>
      </c>
      <c r="D39" s="35"/>
      <c r="E39" s="45">
        <v>1551204</v>
      </c>
      <c r="F39" s="45"/>
      <c r="G39" s="45">
        <v>2602493</v>
      </c>
      <c r="H39" s="45"/>
      <c r="I39" s="45">
        <v>650665</v>
      </c>
      <c r="J39" s="45"/>
      <c r="K39" s="45">
        <v>864164</v>
      </c>
      <c r="L39" s="45"/>
      <c r="M39" s="45">
        <f>143958+25076</f>
        <v>169034</v>
      </c>
      <c r="N39" s="45"/>
      <c r="O39" s="45">
        <v>0</v>
      </c>
      <c r="P39" s="45"/>
      <c r="Q39" s="45">
        <v>1569295</v>
      </c>
      <c r="R39" s="45"/>
      <c r="S39" s="45">
        <f t="shared" si="0"/>
        <v>1738329</v>
      </c>
      <c r="T39" s="45"/>
      <c r="U39" s="44">
        <f t="shared" si="1"/>
        <v>0</v>
      </c>
      <c r="V39" s="44">
        <f t="shared" si="2"/>
        <v>0</v>
      </c>
    </row>
    <row r="40" spans="1:22" s="44" customFormat="1" ht="12.75" customHeight="1">
      <c r="A40" s="44" t="s">
        <v>56</v>
      </c>
      <c r="B40" s="51"/>
      <c r="C40" s="44" t="s">
        <v>57</v>
      </c>
      <c r="D40" s="35"/>
      <c r="E40" s="45">
        <v>1376256</v>
      </c>
      <c r="F40" s="45"/>
      <c r="G40" s="45">
        <v>3445879</v>
      </c>
      <c r="H40" s="45"/>
      <c r="I40" s="45">
        <v>1330906</v>
      </c>
      <c r="J40" s="45"/>
      <c r="K40" s="45">
        <v>1728537</v>
      </c>
      <c r="L40" s="45"/>
      <c r="M40" s="45">
        <v>36644</v>
      </c>
      <c r="N40" s="45"/>
      <c r="O40" s="45">
        <v>67798</v>
      </c>
      <c r="P40" s="45"/>
      <c r="Q40" s="45">
        <v>1612900</v>
      </c>
      <c r="R40" s="45"/>
      <c r="S40" s="45">
        <f t="shared" si="0"/>
        <v>1717342</v>
      </c>
      <c r="T40" s="45"/>
      <c r="U40" s="44">
        <f t="shared" si="1"/>
        <v>0</v>
      </c>
      <c r="V40" s="44">
        <f t="shared" si="2"/>
        <v>0</v>
      </c>
    </row>
    <row r="41" spans="1:22" s="44" customFormat="1" ht="12.75" customHeight="1">
      <c r="A41" s="44" t="s">
        <v>58</v>
      </c>
      <c r="B41" s="51"/>
      <c r="C41" s="44" t="s">
        <v>59</v>
      </c>
      <c r="D41" s="35"/>
      <c r="E41" s="45">
        <v>353399</v>
      </c>
      <c r="F41" s="45"/>
      <c r="G41" s="45">
        <v>2055526</v>
      </c>
      <c r="H41" s="45"/>
      <c r="I41" s="45">
        <v>792401</v>
      </c>
      <c r="J41" s="45"/>
      <c r="K41" s="45">
        <v>1043319</v>
      </c>
      <c r="L41" s="45"/>
      <c r="M41" s="45">
        <v>9777</v>
      </c>
      <c r="N41" s="45"/>
      <c r="O41" s="45">
        <v>0</v>
      </c>
      <c r="P41" s="45"/>
      <c r="Q41" s="45">
        <v>1002430</v>
      </c>
      <c r="R41" s="45"/>
      <c r="S41" s="45">
        <f t="shared" si="0"/>
        <v>1012207</v>
      </c>
      <c r="T41" s="45"/>
      <c r="U41" s="44">
        <f t="shared" si="1"/>
        <v>0</v>
      </c>
      <c r="V41" s="44">
        <f t="shared" si="2"/>
        <v>0</v>
      </c>
    </row>
    <row r="42" spans="1:22" s="44" customFormat="1" ht="12.75" customHeight="1">
      <c r="A42" s="44" t="s">
        <v>476</v>
      </c>
      <c r="B42" s="51"/>
      <c r="C42" s="44" t="s">
        <v>15</v>
      </c>
      <c r="D42" s="35"/>
      <c r="E42" s="45">
        <v>48093</v>
      </c>
      <c r="F42" s="45"/>
      <c r="G42" s="45">
        <v>815033</v>
      </c>
      <c r="H42" s="45"/>
      <c r="I42" s="45">
        <v>555209</v>
      </c>
      <c r="J42" s="45"/>
      <c r="K42" s="45">
        <v>583241</v>
      </c>
      <c r="L42" s="45"/>
      <c r="M42" s="45">
        <v>31342</v>
      </c>
      <c r="N42" s="45"/>
      <c r="O42" s="45">
        <v>0</v>
      </c>
      <c r="P42" s="45"/>
      <c r="Q42" s="45">
        <v>200450</v>
      </c>
      <c r="R42" s="45"/>
      <c r="S42" s="45">
        <f>+Q42+O42+M42</f>
        <v>231792</v>
      </c>
      <c r="T42" s="45"/>
      <c r="U42" s="44">
        <f>+G42-K42-S42</f>
        <v>0</v>
      </c>
      <c r="V42" s="44">
        <f>+G42-K42-S42</f>
        <v>0</v>
      </c>
    </row>
    <row r="43" spans="1:22" s="44" customFormat="1" ht="12.75" customHeight="1">
      <c r="A43" s="44" t="s">
        <v>60</v>
      </c>
      <c r="B43" s="51"/>
      <c r="C43" s="44" t="s">
        <v>61</v>
      </c>
      <c r="D43" s="35"/>
      <c r="E43" s="45">
        <f>821003+295763</f>
        <v>1116766</v>
      </c>
      <c r="F43" s="45"/>
      <c r="G43" s="45">
        <v>2894958</v>
      </c>
      <c r="H43" s="45"/>
      <c r="I43" s="45">
        <v>439828</v>
      </c>
      <c r="J43" s="45"/>
      <c r="K43" s="45">
        <v>710143</v>
      </c>
      <c r="L43" s="45"/>
      <c r="M43" s="45">
        <f>43863+65096+2259</f>
        <v>111218</v>
      </c>
      <c r="N43" s="45"/>
      <c r="O43" s="45">
        <v>0</v>
      </c>
      <c r="P43" s="45"/>
      <c r="Q43" s="45">
        <v>2073597</v>
      </c>
      <c r="R43" s="45"/>
      <c r="S43" s="45">
        <f t="shared" si="0"/>
        <v>2184815</v>
      </c>
      <c r="T43" s="45"/>
      <c r="U43" s="44">
        <f t="shared" si="1"/>
        <v>0</v>
      </c>
      <c r="V43" s="44">
        <f t="shared" si="2"/>
        <v>0</v>
      </c>
    </row>
    <row r="44" spans="1:22" s="44" customFormat="1" ht="12.75" customHeight="1">
      <c r="A44" s="44" t="s">
        <v>62</v>
      </c>
      <c r="B44" s="51"/>
      <c r="C44" s="44" t="s">
        <v>15</v>
      </c>
      <c r="D44" s="35"/>
      <c r="E44" s="45">
        <f>1792443</f>
        <v>1792443</v>
      </c>
      <c r="F44" s="45"/>
      <c r="G44" s="45">
        <v>17052415</v>
      </c>
      <c r="H44" s="45"/>
      <c r="I44" s="45">
        <v>8527976</v>
      </c>
      <c r="J44" s="45"/>
      <c r="K44" s="45">
        <v>12379804</v>
      </c>
      <c r="L44" s="45"/>
      <c r="M44" s="45">
        <f>176964+340991</f>
        <v>517955</v>
      </c>
      <c r="N44" s="45"/>
      <c r="O44" s="45">
        <v>0</v>
      </c>
      <c r="P44" s="45"/>
      <c r="Q44" s="45">
        <v>4154656</v>
      </c>
      <c r="R44" s="45"/>
      <c r="S44" s="45">
        <f t="shared" si="0"/>
        <v>4672611</v>
      </c>
      <c r="T44" s="45"/>
      <c r="U44" s="44">
        <f t="shared" si="1"/>
        <v>0</v>
      </c>
      <c r="V44" s="44">
        <f t="shared" si="2"/>
        <v>0</v>
      </c>
    </row>
    <row r="45" spans="1:22" s="44" customFormat="1" ht="12.75" customHeight="1">
      <c r="A45" s="44" t="s">
        <v>485</v>
      </c>
      <c r="B45" s="51"/>
      <c r="C45" s="44" t="s">
        <v>111</v>
      </c>
      <c r="D45" s="35"/>
      <c r="E45" s="45">
        <v>468332</v>
      </c>
      <c r="F45" s="45"/>
      <c r="G45" s="45">
        <v>833870</v>
      </c>
      <c r="H45" s="45"/>
      <c r="I45" s="45">
        <v>123599</v>
      </c>
      <c r="J45" s="45"/>
      <c r="K45" s="45">
        <v>221795</v>
      </c>
      <c r="L45" s="45"/>
      <c r="M45" s="45">
        <f>7441+21824+9870</f>
        <v>39135</v>
      </c>
      <c r="N45" s="45"/>
      <c r="O45" s="45">
        <v>0</v>
      </c>
      <c r="P45" s="45"/>
      <c r="Q45" s="45">
        <v>572940</v>
      </c>
      <c r="R45" s="45"/>
      <c r="S45" s="45">
        <f>+Q45+O45+M45</f>
        <v>612075</v>
      </c>
      <c r="T45" s="45"/>
      <c r="U45" s="44">
        <f>+G45-K45-S45</f>
        <v>0</v>
      </c>
      <c r="V45" s="44">
        <f>+G45-K45-S45</f>
        <v>0</v>
      </c>
    </row>
    <row r="46" spans="1:22" s="44" customFormat="1" ht="12.75" customHeight="1">
      <c r="A46" s="44" t="s">
        <v>63</v>
      </c>
      <c r="B46" s="51"/>
      <c r="C46" s="44" t="s">
        <v>64</v>
      </c>
      <c r="D46" s="35"/>
      <c r="E46" s="45">
        <v>669859</v>
      </c>
      <c r="F46" s="45"/>
      <c r="G46" s="45">
        <v>1984518</v>
      </c>
      <c r="H46" s="45"/>
      <c r="I46" s="45">
        <v>833796</v>
      </c>
      <c r="J46" s="45"/>
      <c r="K46" s="45">
        <v>1272338</v>
      </c>
      <c r="L46" s="45"/>
      <c r="M46" s="45">
        <f>136125+9771</f>
        <v>145896</v>
      </c>
      <c r="N46" s="45"/>
      <c r="O46" s="45">
        <v>0</v>
      </c>
      <c r="P46" s="45"/>
      <c r="Q46" s="45">
        <v>566284</v>
      </c>
      <c r="R46" s="45"/>
      <c r="S46" s="45">
        <f t="shared" si="0"/>
        <v>712180</v>
      </c>
      <c r="T46" s="45"/>
      <c r="U46" s="44">
        <f t="shared" si="1"/>
        <v>0</v>
      </c>
      <c r="V46" s="44">
        <f t="shared" si="2"/>
        <v>0</v>
      </c>
    </row>
    <row r="47" spans="1:22" s="44" customFormat="1" ht="12.75" customHeight="1">
      <c r="A47" s="44" t="s">
        <v>65</v>
      </c>
      <c r="B47" s="51"/>
      <c r="C47" s="44" t="s">
        <v>66</v>
      </c>
      <c r="D47" s="35"/>
      <c r="E47" s="45">
        <v>10083739</v>
      </c>
      <c r="F47" s="45"/>
      <c r="G47" s="45">
        <v>14927994</v>
      </c>
      <c r="H47" s="45"/>
      <c r="I47" s="45">
        <v>2979826</v>
      </c>
      <c r="J47" s="45"/>
      <c r="K47" s="45">
        <v>3989213</v>
      </c>
      <c r="L47" s="45"/>
      <c r="M47" s="45">
        <f>141858+85150</f>
        <v>227008</v>
      </c>
      <c r="N47" s="45"/>
      <c r="O47" s="45">
        <v>0</v>
      </c>
      <c r="P47" s="45"/>
      <c r="Q47" s="45">
        <v>10711773</v>
      </c>
      <c r="R47" s="45"/>
      <c r="S47" s="45">
        <f>+Q47+O47+M47</f>
        <v>10938781</v>
      </c>
      <c r="T47" s="45"/>
      <c r="U47" s="44">
        <f>+G47-K47-S47</f>
        <v>0</v>
      </c>
      <c r="V47" s="44">
        <f>+G47-K47-S47</f>
        <v>0</v>
      </c>
    </row>
    <row r="48" spans="1:22" s="44" customFormat="1" ht="12.75" customHeight="1">
      <c r="A48" s="44" t="s">
        <v>67</v>
      </c>
      <c r="B48" s="51"/>
      <c r="C48" s="44" t="s">
        <v>375</v>
      </c>
      <c r="D48" s="35"/>
      <c r="E48" s="45">
        <v>1655847</v>
      </c>
      <c r="F48" s="45"/>
      <c r="G48" s="45">
        <v>3623905</v>
      </c>
      <c r="H48" s="45"/>
      <c r="I48" s="45">
        <v>1051922</v>
      </c>
      <c r="J48" s="45"/>
      <c r="K48" s="45">
        <v>1398712</v>
      </c>
      <c r="L48" s="45"/>
      <c r="M48" s="45">
        <f>133307+312935</f>
        <v>446242</v>
      </c>
      <c r="N48" s="45"/>
      <c r="O48" s="45">
        <v>0</v>
      </c>
      <c r="P48" s="45"/>
      <c r="Q48" s="45">
        <v>1778951</v>
      </c>
      <c r="R48" s="45"/>
      <c r="S48" s="45">
        <f t="shared" ref="S48:S53" si="3">+Q48+O48+M48</f>
        <v>2225193</v>
      </c>
      <c r="T48" s="45"/>
      <c r="U48" s="44">
        <f t="shared" ref="U48:U57" si="4">+G48-K48-S48</f>
        <v>0</v>
      </c>
      <c r="V48" s="44">
        <f t="shared" ref="V48:V57" si="5">+G48-K48-S48</f>
        <v>0</v>
      </c>
    </row>
    <row r="49" spans="1:22" s="44" customFormat="1" ht="12.75" customHeight="1">
      <c r="A49" s="44" t="s">
        <v>68</v>
      </c>
      <c r="B49" s="51"/>
      <c r="C49" s="44" t="s">
        <v>45</v>
      </c>
      <c r="D49" s="35"/>
      <c r="E49" s="45">
        <v>317948</v>
      </c>
      <c r="F49" s="45"/>
      <c r="G49" s="45">
        <v>3212015</v>
      </c>
      <c r="H49" s="45"/>
      <c r="I49" s="45">
        <v>2390524</v>
      </c>
      <c r="J49" s="45"/>
      <c r="K49" s="45">
        <v>2686688</v>
      </c>
      <c r="L49" s="45"/>
      <c r="M49" s="45">
        <f>17302+11643+9586</f>
        <v>38531</v>
      </c>
      <c r="N49" s="45"/>
      <c r="O49" s="45">
        <v>0</v>
      </c>
      <c r="P49" s="45"/>
      <c r="Q49" s="45">
        <v>486796</v>
      </c>
      <c r="R49" s="45"/>
      <c r="S49" s="45">
        <f t="shared" si="3"/>
        <v>525327</v>
      </c>
      <c r="T49" s="45"/>
      <c r="U49" s="44">
        <f t="shared" si="4"/>
        <v>0</v>
      </c>
      <c r="V49" s="44">
        <f t="shared" si="5"/>
        <v>0</v>
      </c>
    </row>
    <row r="50" spans="1:22" s="44" customFormat="1" ht="12.75" customHeight="1">
      <c r="A50" s="44" t="s">
        <v>69</v>
      </c>
      <c r="B50" s="51"/>
      <c r="C50" s="44" t="s">
        <v>70</v>
      </c>
      <c r="D50" s="35"/>
      <c r="E50" s="45">
        <v>3624385</v>
      </c>
      <c r="F50" s="45"/>
      <c r="G50" s="45">
        <v>6998772</v>
      </c>
      <c r="H50" s="45"/>
      <c r="I50" s="45">
        <v>1492844</v>
      </c>
      <c r="J50" s="45"/>
      <c r="K50" s="45">
        <v>4624154</v>
      </c>
      <c r="L50" s="45"/>
      <c r="M50" s="45">
        <v>141640</v>
      </c>
      <c r="N50" s="45"/>
      <c r="O50" s="45">
        <v>0</v>
      </c>
      <c r="P50" s="45"/>
      <c r="Q50" s="45">
        <v>2232978</v>
      </c>
      <c r="R50" s="45"/>
      <c r="S50" s="45">
        <f t="shared" si="3"/>
        <v>2374618</v>
      </c>
      <c r="T50" s="45"/>
      <c r="U50" s="44">
        <f t="shared" si="4"/>
        <v>0</v>
      </c>
      <c r="V50" s="44">
        <f t="shared" si="5"/>
        <v>0</v>
      </c>
    </row>
    <row r="51" spans="1:22" s="44" customFormat="1" ht="12.75" customHeight="1">
      <c r="A51" s="46" t="s">
        <v>71</v>
      </c>
      <c r="B51" s="46"/>
      <c r="C51" s="46" t="s">
        <v>45</v>
      </c>
      <c r="D51" s="64"/>
      <c r="E51" s="45">
        <f>28000+81664000+158000</f>
        <v>81850000</v>
      </c>
      <c r="F51" s="45"/>
      <c r="G51" s="45">
        <v>174969000</v>
      </c>
      <c r="H51" s="45"/>
      <c r="I51" s="45">
        <v>51628000</v>
      </c>
      <c r="J51" s="45"/>
      <c r="K51" s="45">
        <v>84490000</v>
      </c>
      <c r="L51" s="45"/>
      <c r="M51" s="45">
        <f>5790000+83189000</f>
        <v>88979000</v>
      </c>
      <c r="N51" s="45"/>
      <c r="O51" s="45">
        <v>1500000</v>
      </c>
      <c r="P51" s="45"/>
      <c r="Q51" s="45">
        <v>0</v>
      </c>
      <c r="R51" s="45"/>
      <c r="S51" s="45">
        <f t="shared" si="3"/>
        <v>90479000</v>
      </c>
      <c r="T51" s="45"/>
      <c r="U51" s="44">
        <f t="shared" si="4"/>
        <v>0</v>
      </c>
      <c r="V51" s="44">
        <f>+G51-K51-S51</f>
        <v>0</v>
      </c>
    </row>
    <row r="52" spans="1:22" s="44" customFormat="1" ht="12.75" customHeight="1">
      <c r="A52" s="44" t="s">
        <v>463</v>
      </c>
      <c r="C52" s="44" t="s">
        <v>464</v>
      </c>
      <c r="D52" s="35"/>
      <c r="E52" s="45">
        <v>1135562</v>
      </c>
      <c r="F52" s="45"/>
      <c r="G52" s="45">
        <v>2815139</v>
      </c>
      <c r="H52" s="45"/>
      <c r="I52" s="45">
        <v>1454589</v>
      </c>
      <c r="J52" s="45"/>
      <c r="K52" s="45">
        <v>1795904</v>
      </c>
      <c r="L52" s="45"/>
      <c r="M52" s="45">
        <v>76334</v>
      </c>
      <c r="N52" s="45"/>
      <c r="O52" s="45">
        <v>0</v>
      </c>
      <c r="P52" s="45"/>
      <c r="Q52" s="45">
        <v>942901</v>
      </c>
      <c r="R52" s="45"/>
      <c r="S52" s="45">
        <f t="shared" si="3"/>
        <v>1019235</v>
      </c>
      <c r="T52" s="45"/>
      <c r="U52" s="44">
        <f t="shared" si="4"/>
        <v>0</v>
      </c>
      <c r="V52" s="44">
        <f t="shared" si="5"/>
        <v>0</v>
      </c>
    </row>
    <row r="53" spans="1:22" s="44" customFormat="1" ht="12.75" customHeight="1">
      <c r="A53" s="46" t="s">
        <v>72</v>
      </c>
      <c r="B53" s="46"/>
      <c r="C53" s="46" t="s">
        <v>66</v>
      </c>
      <c r="D53" s="64"/>
      <c r="E53" s="45">
        <v>752134</v>
      </c>
      <c r="F53" s="45"/>
      <c r="G53" s="45">
        <v>2838610</v>
      </c>
      <c r="H53" s="45"/>
      <c r="I53" s="45">
        <v>1175963</v>
      </c>
      <c r="J53" s="45"/>
      <c r="K53" s="45">
        <v>1319128</v>
      </c>
      <c r="L53" s="45"/>
      <c r="M53" s="45">
        <v>20339</v>
      </c>
      <c r="N53" s="45"/>
      <c r="O53" s="45">
        <v>48086</v>
      </c>
      <c r="P53" s="45"/>
      <c r="Q53" s="45">
        <v>1451057</v>
      </c>
      <c r="R53" s="45"/>
      <c r="S53" s="45">
        <f t="shared" si="3"/>
        <v>1519482</v>
      </c>
      <c r="T53" s="45"/>
      <c r="U53" s="44">
        <f t="shared" si="4"/>
        <v>0</v>
      </c>
      <c r="V53" s="44">
        <f t="shared" si="5"/>
        <v>0</v>
      </c>
    </row>
    <row r="54" spans="1:22" s="44" customFormat="1" ht="12.75" customHeight="1">
      <c r="A54" s="44" t="s">
        <v>73</v>
      </c>
      <c r="C54" s="44" t="s">
        <v>27</v>
      </c>
      <c r="D54" s="35"/>
      <c r="E54" s="45">
        <v>12327000</v>
      </c>
      <c r="F54" s="45"/>
      <c r="G54" s="45">
        <v>157736000</v>
      </c>
      <c r="H54" s="45"/>
      <c r="I54" s="45">
        <v>9565000</v>
      </c>
      <c r="J54" s="45"/>
      <c r="K54" s="45">
        <v>151871000</v>
      </c>
      <c r="L54" s="45"/>
      <c r="M54" s="45">
        <f>77000+6928000+8508000</f>
        <v>15513000</v>
      </c>
      <c r="N54" s="45"/>
      <c r="O54" s="45">
        <v>0</v>
      </c>
      <c r="P54" s="45"/>
      <c r="Q54" s="45">
        <v>-9648000</v>
      </c>
      <c r="R54" s="45"/>
      <c r="S54" s="45">
        <f t="shared" ref="S54:S57" si="6">+Q54+O54+M54</f>
        <v>5865000</v>
      </c>
      <c r="T54" s="45"/>
      <c r="U54" s="44">
        <f t="shared" si="4"/>
        <v>0</v>
      </c>
      <c r="V54" s="44">
        <f t="shared" si="5"/>
        <v>0</v>
      </c>
    </row>
    <row r="55" spans="1:22" s="44" customFormat="1" ht="12.75" customHeight="1">
      <c r="A55" s="44" t="s">
        <v>74</v>
      </c>
      <c r="B55" s="51"/>
      <c r="C55" s="44" t="s">
        <v>27</v>
      </c>
      <c r="D55" s="35"/>
      <c r="E55" s="45">
        <v>5439969</v>
      </c>
      <c r="F55" s="45"/>
      <c r="G55" s="45">
        <v>22320361</v>
      </c>
      <c r="H55" s="45"/>
      <c r="I55" s="45">
        <v>13049862</v>
      </c>
      <c r="J55" s="45"/>
      <c r="K55" s="45">
        <v>16514110</v>
      </c>
      <c r="L55" s="45"/>
      <c r="M55" s="45">
        <f>260845+263299</f>
        <v>524144</v>
      </c>
      <c r="N55" s="45"/>
      <c r="O55" s="45">
        <v>0</v>
      </c>
      <c r="P55" s="45"/>
      <c r="Q55" s="45">
        <v>5282107</v>
      </c>
      <c r="R55" s="45"/>
      <c r="S55" s="45">
        <f t="shared" si="6"/>
        <v>5806251</v>
      </c>
      <c r="T55" s="45"/>
      <c r="U55" s="44">
        <f t="shared" si="4"/>
        <v>0</v>
      </c>
      <c r="V55" s="44">
        <f t="shared" si="5"/>
        <v>0</v>
      </c>
    </row>
    <row r="56" spans="1:22" s="44" customFormat="1" ht="12.75" customHeight="1">
      <c r="A56" s="44" t="s">
        <v>75</v>
      </c>
      <c r="B56" s="51"/>
      <c r="C56" s="44" t="s">
        <v>76</v>
      </c>
      <c r="D56" s="35"/>
      <c r="E56" s="45">
        <v>267031</v>
      </c>
      <c r="F56" s="45"/>
      <c r="G56" s="45">
        <v>1353208</v>
      </c>
      <c r="H56" s="45"/>
      <c r="I56" s="45">
        <v>345418</v>
      </c>
      <c r="J56" s="45"/>
      <c r="K56" s="45">
        <v>930000</v>
      </c>
      <c r="L56" s="45"/>
      <c r="M56" s="45">
        <f>24244+24206+5129</f>
        <v>53579</v>
      </c>
      <c r="N56" s="45"/>
      <c r="O56" s="45">
        <v>0</v>
      </c>
      <c r="P56" s="45"/>
      <c r="Q56" s="45">
        <v>369629</v>
      </c>
      <c r="R56" s="45"/>
      <c r="S56" s="45">
        <f t="shared" si="6"/>
        <v>423208</v>
      </c>
      <c r="T56" s="45"/>
      <c r="U56" s="44">
        <f t="shared" si="4"/>
        <v>0</v>
      </c>
      <c r="V56" s="44">
        <f t="shared" si="5"/>
        <v>0</v>
      </c>
    </row>
    <row r="57" spans="1:22" s="44" customFormat="1" ht="12.75" customHeight="1">
      <c r="A57" s="44" t="s">
        <v>77</v>
      </c>
      <c r="B57" s="51"/>
      <c r="C57" s="44" t="s">
        <v>43</v>
      </c>
      <c r="D57" s="35"/>
      <c r="E57" s="45">
        <v>40549000</v>
      </c>
      <c r="F57" s="45"/>
      <c r="G57" s="45">
        <v>177112000</v>
      </c>
      <c r="H57" s="45"/>
      <c r="I57" s="45">
        <v>91431000</v>
      </c>
      <c r="J57" s="45"/>
      <c r="K57" s="45">
        <v>125482000</v>
      </c>
      <c r="L57" s="45"/>
      <c r="M57" s="45">
        <v>10679000</v>
      </c>
      <c r="N57" s="45"/>
      <c r="O57" s="45">
        <v>3187000</v>
      </c>
      <c r="P57" s="45"/>
      <c r="Q57" s="45">
        <v>37764000</v>
      </c>
      <c r="R57" s="45"/>
      <c r="S57" s="45">
        <f t="shared" si="6"/>
        <v>51630000</v>
      </c>
      <c r="T57" s="45"/>
      <c r="U57" s="44">
        <f t="shared" si="4"/>
        <v>0</v>
      </c>
      <c r="V57" s="44">
        <f t="shared" si="5"/>
        <v>0</v>
      </c>
    </row>
    <row r="58" spans="1:22" s="46" customFormat="1" ht="12.75" customHeight="1">
      <c r="D58" s="3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8" t="s">
        <v>484</v>
      </c>
      <c r="T58" s="45"/>
      <c r="U58" s="44"/>
      <c r="V58" s="44"/>
    </row>
    <row r="59" spans="1:22" s="46" customFormat="1" ht="12.75" customHeight="1">
      <c r="A59" s="46" t="s">
        <v>94</v>
      </c>
      <c r="B59" s="66"/>
      <c r="C59" s="46" t="s">
        <v>94</v>
      </c>
      <c r="D59" s="64"/>
      <c r="E59" s="94">
        <f>56536+60000</f>
        <v>116536</v>
      </c>
      <c r="F59" s="94"/>
      <c r="G59" s="94">
        <v>648311</v>
      </c>
      <c r="H59" s="94"/>
      <c r="I59" s="94">
        <v>412078</v>
      </c>
      <c r="J59" s="94"/>
      <c r="K59" s="94">
        <v>478322</v>
      </c>
      <c r="L59" s="94"/>
      <c r="M59" s="94">
        <f>3706+48545</f>
        <v>52251</v>
      </c>
      <c r="N59" s="94"/>
      <c r="O59" s="94">
        <v>0</v>
      </c>
      <c r="P59" s="94"/>
      <c r="Q59" s="94">
        <v>117738</v>
      </c>
      <c r="R59" s="94"/>
      <c r="S59" s="94">
        <f>+Q59+O59+M59</f>
        <v>169989</v>
      </c>
      <c r="T59" s="94"/>
      <c r="U59" s="46">
        <f>+G59-K59-S59</f>
        <v>0</v>
      </c>
      <c r="V59" s="46">
        <f>+G59-K59-S59</f>
        <v>0</v>
      </c>
    </row>
    <row r="60" spans="1:22" s="44" customFormat="1" ht="12.75" customHeight="1">
      <c r="A60" s="44" t="s">
        <v>78</v>
      </c>
      <c r="B60" s="51"/>
      <c r="C60" s="44" t="s">
        <v>19</v>
      </c>
      <c r="D60" s="35"/>
      <c r="E60" s="45">
        <v>263987</v>
      </c>
      <c r="F60" s="45"/>
      <c r="G60" s="45">
        <v>2068922</v>
      </c>
      <c r="H60" s="45"/>
      <c r="I60" s="45">
        <v>1221676</v>
      </c>
      <c r="J60" s="45"/>
      <c r="K60" s="45">
        <v>1646463</v>
      </c>
      <c r="L60" s="45"/>
      <c r="M60" s="45">
        <v>9478</v>
      </c>
      <c r="N60" s="45"/>
      <c r="O60" s="45">
        <v>0</v>
      </c>
      <c r="P60" s="45"/>
      <c r="Q60" s="45">
        <v>412981</v>
      </c>
      <c r="R60" s="45"/>
      <c r="S60" s="45">
        <f>+Q60+O60+M60</f>
        <v>422459</v>
      </c>
      <c r="T60" s="45"/>
      <c r="U60" s="44">
        <f>+G60-K60-S60</f>
        <v>0</v>
      </c>
      <c r="V60" s="44">
        <f>+G60-K60-S60</f>
        <v>0</v>
      </c>
    </row>
    <row r="61" spans="1:22" s="44" customFormat="1" ht="12.75" customHeight="1">
      <c r="A61" s="44" t="s">
        <v>79</v>
      </c>
      <c r="B61" s="51"/>
      <c r="C61" s="44" t="s">
        <v>80</v>
      </c>
      <c r="D61" s="35"/>
      <c r="E61" s="45">
        <v>665917</v>
      </c>
      <c r="F61" s="45"/>
      <c r="G61" s="45">
        <v>1403177</v>
      </c>
      <c r="H61" s="45"/>
      <c r="I61" s="45">
        <v>664784</v>
      </c>
      <c r="J61" s="45"/>
      <c r="K61" s="45">
        <v>708801</v>
      </c>
      <c r="L61" s="45"/>
      <c r="M61" s="45">
        <v>13377</v>
      </c>
      <c r="N61" s="45"/>
      <c r="O61" s="45">
        <v>0</v>
      </c>
      <c r="P61" s="45"/>
      <c r="Q61" s="45">
        <v>680999</v>
      </c>
      <c r="R61" s="45"/>
      <c r="S61" s="45">
        <f>+Q61+O61+M61</f>
        <v>694376</v>
      </c>
      <c r="T61" s="45"/>
      <c r="U61" s="44">
        <f>+G61-K61-S61</f>
        <v>0</v>
      </c>
      <c r="V61" s="44">
        <f>+G61-K61-S61</f>
        <v>0</v>
      </c>
    </row>
    <row r="62" spans="1:22" s="44" customFormat="1" ht="12.75" customHeight="1">
      <c r="A62" s="44" t="s">
        <v>81</v>
      </c>
      <c r="B62" s="51"/>
      <c r="C62" s="44" t="s">
        <v>81</v>
      </c>
      <c r="D62" s="35"/>
      <c r="E62" s="45">
        <v>0</v>
      </c>
      <c r="F62" s="45"/>
      <c r="G62" s="45">
        <v>1412834</v>
      </c>
      <c r="H62" s="45"/>
      <c r="I62" s="45">
        <v>615701</v>
      </c>
      <c r="J62" s="45"/>
      <c r="K62" s="45">
        <v>1197419</v>
      </c>
      <c r="L62" s="45"/>
      <c r="M62" s="45">
        <f>4980+2033</f>
        <v>7013</v>
      </c>
      <c r="N62" s="45"/>
      <c r="O62" s="45">
        <v>0</v>
      </c>
      <c r="P62" s="45"/>
      <c r="Q62" s="45">
        <v>208402</v>
      </c>
      <c r="R62" s="45"/>
      <c r="S62" s="45">
        <f>+Q62+O62+M62</f>
        <v>215415</v>
      </c>
      <c r="T62" s="45"/>
      <c r="U62" s="44">
        <f>+G62-K62-S62</f>
        <v>0</v>
      </c>
      <c r="V62" s="44">
        <f>+G62-K62-S62</f>
        <v>0</v>
      </c>
    </row>
    <row r="63" spans="1:22" s="46" customFormat="1" ht="12.75" customHeight="1">
      <c r="A63" s="47" t="s">
        <v>465</v>
      </c>
      <c r="B63" s="47"/>
      <c r="C63" s="47" t="s">
        <v>57</v>
      </c>
      <c r="D63" s="35"/>
      <c r="E63" s="45">
        <f>310966+9632</f>
        <v>320598</v>
      </c>
      <c r="F63" s="45"/>
      <c r="G63" s="45">
        <v>1060391</v>
      </c>
      <c r="H63" s="45"/>
      <c r="I63" s="45">
        <v>513186</v>
      </c>
      <c r="J63" s="45"/>
      <c r="K63" s="45">
        <v>903766</v>
      </c>
      <c r="L63" s="45"/>
      <c r="M63" s="45">
        <v>32215</v>
      </c>
      <c r="N63" s="45"/>
      <c r="O63" s="45">
        <v>0</v>
      </c>
      <c r="P63" s="45"/>
      <c r="Q63" s="45">
        <v>124410</v>
      </c>
      <c r="R63" s="45"/>
      <c r="S63" s="45">
        <f>+Q63+O63+M63</f>
        <v>156625</v>
      </c>
      <c r="T63" s="45"/>
      <c r="U63" s="44">
        <f>+G63-K63-S63</f>
        <v>0</v>
      </c>
      <c r="V63" s="44">
        <f>+G63-K63-S63</f>
        <v>0</v>
      </c>
    </row>
    <row r="64" spans="1:22" s="44" customFormat="1" ht="12.75" customHeight="1">
      <c r="A64" s="44" t="s">
        <v>82</v>
      </c>
      <c r="B64" s="51"/>
      <c r="C64" s="44" t="s">
        <v>13</v>
      </c>
      <c r="D64" s="35"/>
      <c r="E64" s="45">
        <v>5076725</v>
      </c>
      <c r="F64" s="45"/>
      <c r="G64" s="45">
        <v>17354604</v>
      </c>
      <c r="H64" s="45"/>
      <c r="I64" s="45">
        <v>11214669</v>
      </c>
      <c r="J64" s="45"/>
      <c r="K64" s="45">
        <v>12104807</v>
      </c>
      <c r="L64" s="45"/>
      <c r="M64" s="45">
        <f>110320+104481+127840</f>
        <v>342641</v>
      </c>
      <c r="N64" s="45"/>
      <c r="O64" s="45">
        <v>0</v>
      </c>
      <c r="P64" s="45"/>
      <c r="Q64" s="45">
        <v>4907156</v>
      </c>
      <c r="R64" s="45"/>
      <c r="S64" s="45">
        <f t="shared" ref="S64:S66" si="7">+Q64+O64+M64</f>
        <v>5249797</v>
      </c>
      <c r="T64" s="45"/>
      <c r="U64" s="44">
        <f t="shared" si="1"/>
        <v>0</v>
      </c>
      <c r="V64" s="44">
        <f t="shared" si="2"/>
        <v>0</v>
      </c>
    </row>
    <row r="65" spans="1:22" s="44" customFormat="1" ht="12.75" customHeight="1">
      <c r="A65" s="44" t="s">
        <v>83</v>
      </c>
      <c r="B65" s="51"/>
      <c r="C65" s="44" t="s">
        <v>66</v>
      </c>
      <c r="D65" s="35"/>
      <c r="E65" s="45">
        <v>30231610</v>
      </c>
      <c r="F65" s="45"/>
      <c r="G65" s="45">
        <v>70538461</v>
      </c>
      <c r="H65" s="45"/>
      <c r="I65" s="45">
        <v>15080491</v>
      </c>
      <c r="J65" s="45"/>
      <c r="K65" s="45">
        <v>34700047</v>
      </c>
      <c r="L65" s="45"/>
      <c r="M65" s="45">
        <f>3027913+410916+132987</f>
        <v>3571816</v>
      </c>
      <c r="N65" s="45"/>
      <c r="O65" s="45">
        <v>6585539</v>
      </c>
      <c r="P65" s="45"/>
      <c r="Q65" s="45">
        <v>25681059</v>
      </c>
      <c r="R65" s="45"/>
      <c r="S65" s="45">
        <f t="shared" si="7"/>
        <v>35838414</v>
      </c>
      <c r="T65" s="45"/>
      <c r="U65" s="44">
        <f t="shared" si="1"/>
        <v>0</v>
      </c>
      <c r="V65" s="44">
        <f t="shared" si="2"/>
        <v>0</v>
      </c>
    </row>
    <row r="66" spans="1:22" s="44" customFormat="1" ht="12" customHeight="1">
      <c r="A66" s="44" t="s">
        <v>84</v>
      </c>
      <c r="B66" s="51"/>
      <c r="C66" s="44" t="s">
        <v>45</v>
      </c>
      <c r="D66" s="35"/>
      <c r="E66" s="45">
        <v>1159795</v>
      </c>
      <c r="F66" s="45"/>
      <c r="G66" s="45">
        <v>2914598</v>
      </c>
      <c r="H66" s="45"/>
      <c r="I66" s="45">
        <v>1491465</v>
      </c>
      <c r="J66" s="45"/>
      <c r="K66" s="45">
        <v>1629643</v>
      </c>
      <c r="L66" s="45"/>
      <c r="M66" s="45">
        <v>0</v>
      </c>
      <c r="N66" s="45"/>
      <c r="O66" s="45">
        <v>0</v>
      </c>
      <c r="P66" s="45"/>
      <c r="Q66" s="45">
        <v>1284955</v>
      </c>
      <c r="R66" s="45"/>
      <c r="S66" s="45">
        <f t="shared" si="7"/>
        <v>1284955</v>
      </c>
      <c r="T66" s="45"/>
      <c r="U66" s="44">
        <f t="shared" si="1"/>
        <v>0</v>
      </c>
      <c r="V66" s="44">
        <f t="shared" si="2"/>
        <v>0</v>
      </c>
    </row>
    <row r="67" spans="1:22" s="46" customFormat="1" ht="12.75" customHeight="1">
      <c r="A67" s="44" t="s">
        <v>85</v>
      </c>
      <c r="B67" s="44"/>
      <c r="C67" s="44" t="s">
        <v>85</v>
      </c>
      <c r="D67" s="35"/>
      <c r="E67" s="45">
        <f>1826571+172223</f>
        <v>1998794</v>
      </c>
      <c r="F67" s="45"/>
      <c r="G67" s="45">
        <v>3656700</v>
      </c>
      <c r="H67" s="45"/>
      <c r="I67" s="45">
        <v>350234</v>
      </c>
      <c r="J67" s="45"/>
      <c r="K67" s="45">
        <v>1313554</v>
      </c>
      <c r="L67" s="45"/>
      <c r="M67" s="45">
        <f>126211+172223</f>
        <v>298434</v>
      </c>
      <c r="N67" s="45"/>
      <c r="O67" s="45">
        <v>0</v>
      </c>
      <c r="P67" s="45"/>
      <c r="Q67" s="45">
        <v>2044712</v>
      </c>
      <c r="R67" s="45"/>
      <c r="S67" s="45">
        <f t="shared" si="0"/>
        <v>2343146</v>
      </c>
      <c r="T67" s="45"/>
      <c r="U67" s="44">
        <f t="shared" si="1"/>
        <v>0</v>
      </c>
      <c r="V67" s="44">
        <f t="shared" si="2"/>
        <v>0</v>
      </c>
    </row>
    <row r="68" spans="1:22" s="46" customFormat="1" ht="12.75" customHeight="1">
      <c r="A68" s="44" t="s">
        <v>86</v>
      </c>
      <c r="B68" s="51"/>
      <c r="C68" s="44" t="s">
        <v>86</v>
      </c>
      <c r="D68" s="35"/>
      <c r="E68" s="45">
        <v>2892491</v>
      </c>
      <c r="F68" s="45"/>
      <c r="G68" s="45">
        <v>8275673</v>
      </c>
      <c r="H68" s="45"/>
      <c r="I68" s="45">
        <v>3456133</v>
      </c>
      <c r="J68" s="45"/>
      <c r="K68" s="45">
        <v>4600792</v>
      </c>
      <c r="L68" s="45"/>
      <c r="M68" s="45">
        <f>128128+68506</f>
        <v>196634</v>
      </c>
      <c r="N68" s="45"/>
      <c r="O68" s="45">
        <v>0</v>
      </c>
      <c r="P68" s="45"/>
      <c r="Q68" s="45">
        <v>3478247</v>
      </c>
      <c r="R68" s="45"/>
      <c r="S68" s="45">
        <f t="shared" si="0"/>
        <v>3674881</v>
      </c>
      <c r="T68" s="45"/>
      <c r="U68" s="44">
        <f t="shared" si="1"/>
        <v>0</v>
      </c>
      <c r="V68" s="44">
        <f t="shared" si="2"/>
        <v>0</v>
      </c>
    </row>
    <row r="69" spans="1:22" s="46" customFormat="1" ht="12.75" customHeight="1">
      <c r="A69" s="46" t="s">
        <v>87</v>
      </c>
      <c r="C69" s="46" t="s">
        <v>88</v>
      </c>
      <c r="D69" s="35"/>
      <c r="E69" s="45">
        <v>291194</v>
      </c>
      <c r="F69" s="45"/>
      <c r="G69" s="45">
        <v>1623576</v>
      </c>
      <c r="H69" s="45"/>
      <c r="I69" s="45">
        <v>921734</v>
      </c>
      <c r="J69" s="45"/>
      <c r="K69" s="45">
        <v>1071968</v>
      </c>
      <c r="L69" s="45"/>
      <c r="M69" s="45">
        <f>25000+578</f>
        <v>25578</v>
      </c>
      <c r="N69" s="45"/>
      <c r="O69" s="45">
        <v>0</v>
      </c>
      <c r="P69" s="45"/>
      <c r="Q69" s="45">
        <v>526030</v>
      </c>
      <c r="R69" s="45"/>
      <c r="S69" s="45">
        <f t="shared" si="0"/>
        <v>551608</v>
      </c>
      <c r="T69" s="45"/>
      <c r="U69" s="44">
        <f t="shared" si="1"/>
        <v>0</v>
      </c>
      <c r="V69" s="44">
        <f t="shared" si="2"/>
        <v>0</v>
      </c>
    </row>
    <row r="70" spans="1:22" s="44" customFormat="1" ht="12.75" customHeight="1">
      <c r="A70" s="44" t="s">
        <v>394</v>
      </c>
      <c r="C70" s="44" t="s">
        <v>89</v>
      </c>
      <c r="D70" s="35"/>
      <c r="E70" s="45">
        <v>465138</v>
      </c>
      <c r="F70" s="45"/>
      <c r="G70" s="45">
        <v>2536014</v>
      </c>
      <c r="H70" s="45"/>
      <c r="I70" s="45">
        <v>1393698</v>
      </c>
      <c r="J70" s="45"/>
      <c r="K70" s="45">
        <v>1876108</v>
      </c>
      <c r="L70" s="45"/>
      <c r="M70" s="45">
        <v>0</v>
      </c>
      <c r="N70" s="45"/>
      <c r="O70" s="45">
        <v>0</v>
      </c>
      <c r="P70" s="45"/>
      <c r="Q70" s="45">
        <v>659906</v>
      </c>
      <c r="R70" s="45"/>
      <c r="S70" s="45">
        <f t="shared" si="0"/>
        <v>659906</v>
      </c>
      <c r="T70" s="45"/>
      <c r="U70" s="44">
        <f t="shared" si="1"/>
        <v>0</v>
      </c>
      <c r="V70" s="44">
        <f t="shared" si="2"/>
        <v>0</v>
      </c>
    </row>
    <row r="71" spans="1:22" s="44" customFormat="1" ht="12.75" customHeight="1">
      <c r="A71" s="44" t="s">
        <v>90</v>
      </c>
      <c r="B71" s="96"/>
      <c r="C71" s="44" t="s">
        <v>43</v>
      </c>
      <c r="D71" s="35"/>
      <c r="E71" s="45">
        <v>31434112</v>
      </c>
      <c r="F71" s="45"/>
      <c r="G71" s="45">
        <v>46595080</v>
      </c>
      <c r="H71" s="45"/>
      <c r="I71" s="45">
        <v>4829363</v>
      </c>
      <c r="J71" s="45"/>
      <c r="K71" s="45">
        <v>11361056</v>
      </c>
      <c r="L71" s="45"/>
      <c r="M71" s="45">
        <f>1172017+272881+310162+5958524</f>
        <v>7713584</v>
      </c>
      <c r="N71" s="45"/>
      <c r="O71" s="45">
        <v>0</v>
      </c>
      <c r="P71" s="45"/>
      <c r="Q71" s="45">
        <v>27520440</v>
      </c>
      <c r="R71" s="45"/>
      <c r="S71" s="45">
        <f t="shared" si="0"/>
        <v>35234024</v>
      </c>
      <c r="T71" s="45"/>
      <c r="U71" s="44">
        <f t="shared" si="1"/>
        <v>0</v>
      </c>
      <c r="V71" s="44">
        <f t="shared" si="2"/>
        <v>0</v>
      </c>
    </row>
    <row r="72" spans="1:22" s="44" customFormat="1" ht="12.75" customHeight="1">
      <c r="A72" s="47" t="s">
        <v>488</v>
      </c>
      <c r="B72" s="47"/>
      <c r="C72" s="47" t="s">
        <v>27</v>
      </c>
      <c r="D72" s="35"/>
      <c r="E72" s="45">
        <v>283182</v>
      </c>
      <c r="F72" s="45"/>
      <c r="G72" s="45">
        <v>9700594</v>
      </c>
      <c r="H72" s="45"/>
      <c r="I72" s="45">
        <v>7245276</v>
      </c>
      <c r="J72" s="45"/>
      <c r="K72" s="45">
        <v>10586796</v>
      </c>
      <c r="L72" s="45"/>
      <c r="M72" s="45">
        <v>139979</v>
      </c>
      <c r="N72" s="45"/>
      <c r="O72" s="45">
        <v>0</v>
      </c>
      <c r="P72" s="45"/>
      <c r="Q72" s="45">
        <v>-1026181</v>
      </c>
      <c r="R72" s="45"/>
      <c r="S72" s="45">
        <f t="shared" si="0"/>
        <v>-886202</v>
      </c>
      <c r="T72" s="45"/>
      <c r="U72" s="44">
        <f t="shared" si="1"/>
        <v>0</v>
      </c>
      <c r="V72" s="44">
        <f t="shared" si="2"/>
        <v>0</v>
      </c>
    </row>
    <row r="73" spans="1:22" s="44" customFormat="1" ht="12.75" customHeight="1">
      <c r="A73" s="44" t="s">
        <v>93</v>
      </c>
      <c r="B73" s="47"/>
      <c r="C73" s="44" t="s">
        <v>94</v>
      </c>
      <c r="D73" s="35"/>
      <c r="E73" s="45">
        <v>44325</v>
      </c>
      <c r="F73" s="45"/>
      <c r="G73" s="45">
        <v>1079574</v>
      </c>
      <c r="H73" s="45"/>
      <c r="I73" s="45">
        <v>462647</v>
      </c>
      <c r="J73" s="45"/>
      <c r="K73" s="45">
        <v>566430</v>
      </c>
      <c r="L73" s="45"/>
      <c r="M73" s="45">
        <v>17132</v>
      </c>
      <c r="N73" s="45"/>
      <c r="O73" s="45">
        <v>0</v>
      </c>
      <c r="P73" s="45"/>
      <c r="Q73" s="45">
        <v>496012</v>
      </c>
      <c r="R73" s="45"/>
      <c r="S73" s="45">
        <f>+Q73+O73+M73</f>
        <v>513144</v>
      </c>
      <c r="T73" s="45"/>
      <c r="U73" s="44">
        <f>+G73-K73-S73</f>
        <v>0</v>
      </c>
      <c r="V73" s="44">
        <f>+G73-K73-S73</f>
        <v>0</v>
      </c>
    </row>
    <row r="74" spans="1:22" s="46" customFormat="1" ht="12.75" customHeight="1">
      <c r="A74" s="46" t="s">
        <v>95</v>
      </c>
      <c r="B74" s="66"/>
      <c r="C74" s="46" t="s">
        <v>94</v>
      </c>
      <c r="D74" s="64"/>
      <c r="E74" s="45">
        <f>40027+100000</f>
        <v>140027</v>
      </c>
      <c r="F74" s="45"/>
      <c r="G74" s="45">
        <v>709928</v>
      </c>
      <c r="H74" s="45"/>
      <c r="I74" s="45">
        <v>254560</v>
      </c>
      <c r="J74" s="45"/>
      <c r="K74" s="45">
        <v>1192669</v>
      </c>
      <c r="L74" s="45"/>
      <c r="M74" s="45">
        <f>29+24904</f>
        <v>24933</v>
      </c>
      <c r="N74" s="45"/>
      <c r="O74" s="45">
        <v>0</v>
      </c>
      <c r="P74" s="45"/>
      <c r="Q74" s="45">
        <v>-507674</v>
      </c>
      <c r="R74" s="45"/>
      <c r="S74" s="45">
        <f t="shared" ref="S74:S80" si="8">+Q74+O74+M74</f>
        <v>-482741</v>
      </c>
      <c r="T74" s="45"/>
      <c r="U74" s="44">
        <f t="shared" ref="U74:U80" si="9">+G74-K74-S74</f>
        <v>0</v>
      </c>
      <c r="V74" s="44">
        <f t="shared" ref="V74:V80" si="10">+G74-K74-S74</f>
        <v>0</v>
      </c>
    </row>
    <row r="75" spans="1:22" s="44" customFormat="1" ht="12.75" customHeight="1">
      <c r="A75" s="44" t="s">
        <v>91</v>
      </c>
      <c r="B75" s="51"/>
      <c r="C75" s="44" t="s">
        <v>92</v>
      </c>
      <c r="D75" s="35"/>
      <c r="E75" s="45">
        <v>1502787</v>
      </c>
      <c r="F75" s="45"/>
      <c r="G75" s="45">
        <v>10396505</v>
      </c>
      <c r="H75" s="45"/>
      <c r="I75" s="45">
        <v>7407121</v>
      </c>
      <c r="J75" s="45"/>
      <c r="K75" s="45">
        <v>8521456</v>
      </c>
      <c r="L75" s="45"/>
      <c r="M75" s="45">
        <v>603600</v>
      </c>
      <c r="N75" s="45"/>
      <c r="O75" s="45">
        <v>0</v>
      </c>
      <c r="P75" s="45"/>
      <c r="Q75" s="45">
        <v>1271449</v>
      </c>
      <c r="R75" s="45"/>
      <c r="S75" s="45">
        <f t="shared" si="8"/>
        <v>1875049</v>
      </c>
      <c r="T75" s="45"/>
      <c r="U75" s="44">
        <f t="shared" si="9"/>
        <v>0</v>
      </c>
      <c r="V75" s="44">
        <f t="shared" si="10"/>
        <v>0</v>
      </c>
    </row>
    <row r="76" spans="1:22" s="44" customFormat="1" ht="12.75" customHeight="1">
      <c r="A76" s="44" t="s">
        <v>96</v>
      </c>
      <c r="B76" s="51"/>
      <c r="C76" s="44" t="s">
        <v>97</v>
      </c>
      <c r="D76" s="35"/>
      <c r="E76" s="45">
        <v>2312976</v>
      </c>
      <c r="F76" s="45"/>
      <c r="G76" s="45">
        <v>3317778</v>
      </c>
      <c r="H76" s="45"/>
      <c r="I76" s="45">
        <v>790105</v>
      </c>
      <c r="J76" s="45"/>
      <c r="K76" s="45">
        <v>1008967</v>
      </c>
      <c r="L76" s="45"/>
      <c r="M76" s="45">
        <f>1904+3000</f>
        <v>4904</v>
      </c>
      <c r="N76" s="45"/>
      <c r="O76" s="45">
        <v>0</v>
      </c>
      <c r="P76" s="45"/>
      <c r="Q76" s="45">
        <v>2303907</v>
      </c>
      <c r="R76" s="45"/>
      <c r="S76" s="45">
        <f t="shared" si="8"/>
        <v>2308811</v>
      </c>
      <c r="T76" s="45"/>
      <c r="U76" s="44">
        <f t="shared" si="9"/>
        <v>0</v>
      </c>
      <c r="V76" s="44">
        <f t="shared" si="10"/>
        <v>0</v>
      </c>
    </row>
    <row r="77" spans="1:22" s="44" customFormat="1" ht="12.75" customHeight="1">
      <c r="A77" s="44" t="s">
        <v>98</v>
      </c>
      <c r="B77" s="51"/>
      <c r="C77" s="44" t="s">
        <v>17</v>
      </c>
      <c r="D77" s="35"/>
      <c r="E77" s="45">
        <v>845526</v>
      </c>
      <c r="F77" s="45"/>
      <c r="G77" s="45">
        <v>7738617</v>
      </c>
      <c r="H77" s="45"/>
      <c r="I77" s="45">
        <v>3455938</v>
      </c>
      <c r="J77" s="45"/>
      <c r="K77" s="45">
        <v>7167108</v>
      </c>
      <c r="L77" s="45"/>
      <c r="M77" s="45">
        <v>419578</v>
      </c>
      <c r="N77" s="45"/>
      <c r="O77" s="45">
        <v>0</v>
      </c>
      <c r="P77" s="45"/>
      <c r="Q77" s="45">
        <v>151931</v>
      </c>
      <c r="R77" s="45"/>
      <c r="S77" s="45">
        <f t="shared" si="8"/>
        <v>571509</v>
      </c>
      <c r="T77" s="45"/>
      <c r="U77" s="44">
        <f t="shared" si="9"/>
        <v>0</v>
      </c>
      <c r="V77" s="44">
        <f t="shared" si="10"/>
        <v>0</v>
      </c>
    </row>
    <row r="78" spans="1:22" s="44" customFormat="1" ht="12.75" customHeight="1">
      <c r="A78" s="44" t="s">
        <v>99</v>
      </c>
      <c r="B78" s="51"/>
      <c r="C78" s="44" t="s">
        <v>66</v>
      </c>
      <c r="D78" s="35"/>
      <c r="E78" s="45">
        <v>2476321</v>
      </c>
      <c r="F78" s="45"/>
      <c r="G78" s="45">
        <v>4848065</v>
      </c>
      <c r="H78" s="45"/>
      <c r="I78" s="45">
        <v>1198668</v>
      </c>
      <c r="J78" s="45"/>
      <c r="K78" s="45">
        <v>1939187</v>
      </c>
      <c r="L78" s="45"/>
      <c r="M78" s="45">
        <v>2947</v>
      </c>
      <c r="N78" s="45"/>
      <c r="O78" s="45">
        <v>0</v>
      </c>
      <c r="P78" s="45"/>
      <c r="Q78" s="45">
        <v>2905931</v>
      </c>
      <c r="R78" s="45"/>
      <c r="S78" s="45">
        <f t="shared" si="8"/>
        <v>2908878</v>
      </c>
      <c r="T78" s="45"/>
      <c r="U78" s="44">
        <f t="shared" si="9"/>
        <v>0</v>
      </c>
      <c r="V78" s="44">
        <f t="shared" si="10"/>
        <v>0</v>
      </c>
    </row>
    <row r="79" spans="1:22" s="44" customFormat="1" ht="12.75" customHeight="1">
      <c r="A79" s="44" t="s">
        <v>100</v>
      </c>
      <c r="B79" s="51"/>
      <c r="C79" s="44" t="s">
        <v>27</v>
      </c>
      <c r="D79" s="35"/>
      <c r="E79" s="45">
        <v>1686512</v>
      </c>
      <c r="F79" s="45"/>
      <c r="G79" s="45">
        <v>17163593</v>
      </c>
      <c r="H79" s="45"/>
      <c r="I79" s="45">
        <v>7229914</v>
      </c>
      <c r="J79" s="45"/>
      <c r="K79" s="45">
        <v>10630436</v>
      </c>
      <c r="L79" s="45"/>
      <c r="M79" s="45">
        <f>26556+1323652+39698</f>
        <v>1389906</v>
      </c>
      <c r="N79" s="45"/>
      <c r="O79" s="45">
        <v>0</v>
      </c>
      <c r="P79" s="45"/>
      <c r="Q79" s="45">
        <v>5143251</v>
      </c>
      <c r="R79" s="45"/>
      <c r="S79" s="45">
        <f t="shared" si="8"/>
        <v>6533157</v>
      </c>
      <c r="T79" s="45"/>
      <c r="U79" s="44">
        <f t="shared" si="9"/>
        <v>0</v>
      </c>
      <c r="V79" s="44">
        <f t="shared" si="10"/>
        <v>0</v>
      </c>
    </row>
    <row r="80" spans="1:22" s="44" customFormat="1" ht="12.75" customHeight="1">
      <c r="A80" s="44" t="s">
        <v>101</v>
      </c>
      <c r="B80" s="51"/>
      <c r="C80" s="44" t="s">
        <v>30</v>
      </c>
      <c r="D80" s="35"/>
      <c r="E80" s="45">
        <v>2881540</v>
      </c>
      <c r="F80" s="45"/>
      <c r="G80" s="45">
        <v>8680806</v>
      </c>
      <c r="H80" s="45"/>
      <c r="I80" s="45">
        <v>4422394</v>
      </c>
      <c r="J80" s="45"/>
      <c r="K80" s="45">
        <v>4914371</v>
      </c>
      <c r="L80" s="45"/>
      <c r="M80" s="45">
        <v>243901</v>
      </c>
      <c r="N80" s="45"/>
      <c r="O80" s="45">
        <v>0</v>
      </c>
      <c r="P80" s="45"/>
      <c r="Q80" s="45">
        <v>3522534</v>
      </c>
      <c r="R80" s="45"/>
      <c r="S80" s="45">
        <f t="shared" si="8"/>
        <v>3766435</v>
      </c>
      <c r="T80" s="45"/>
      <c r="U80" s="44">
        <f t="shared" si="9"/>
        <v>0</v>
      </c>
      <c r="V80" s="44">
        <f t="shared" si="10"/>
        <v>0</v>
      </c>
    </row>
    <row r="81" spans="1:22" s="44" customFormat="1" ht="12.75" customHeight="1">
      <c r="A81" s="44" t="s">
        <v>102</v>
      </c>
      <c r="B81" s="51"/>
      <c r="C81" s="44" t="s">
        <v>103</v>
      </c>
      <c r="D81" s="35"/>
      <c r="E81" s="45">
        <v>9963031</v>
      </c>
      <c r="F81" s="45"/>
      <c r="G81" s="45">
        <v>15740841</v>
      </c>
      <c r="H81" s="45"/>
      <c r="I81" s="45">
        <v>3367016</v>
      </c>
      <c r="J81" s="45"/>
      <c r="K81" s="45">
        <v>5154231</v>
      </c>
      <c r="L81" s="45"/>
      <c r="M81" s="45">
        <v>323790</v>
      </c>
      <c r="N81" s="45"/>
      <c r="O81" s="45">
        <v>0</v>
      </c>
      <c r="P81" s="45"/>
      <c r="Q81" s="45">
        <v>10262820</v>
      </c>
      <c r="R81" s="45"/>
      <c r="S81" s="45">
        <f t="shared" ref="S81:S146" si="11">+Q81+O81+M81</f>
        <v>10586610</v>
      </c>
      <c r="T81" s="45"/>
      <c r="U81" s="44">
        <f t="shared" ref="U81:U146" si="12">+G81-K81-S81</f>
        <v>0</v>
      </c>
      <c r="V81" s="44">
        <f t="shared" ref="V81:V146" si="13">+G81-K81-S81</f>
        <v>0</v>
      </c>
    </row>
    <row r="82" spans="1:22" s="44" customFormat="1" ht="12.75" customHeight="1">
      <c r="A82" s="44" t="s">
        <v>104</v>
      </c>
      <c r="B82" s="51"/>
      <c r="C82" s="44" t="s">
        <v>13</v>
      </c>
      <c r="D82" s="35"/>
      <c r="E82" s="45">
        <v>7041420</v>
      </c>
      <c r="F82" s="45"/>
      <c r="G82" s="45">
        <v>10556648</v>
      </c>
      <c r="H82" s="45"/>
      <c r="I82" s="45">
        <v>1318187</v>
      </c>
      <c r="J82" s="45"/>
      <c r="K82" s="45">
        <v>3612686</v>
      </c>
      <c r="L82" s="45"/>
      <c r="M82" s="45">
        <f>454942+95057+367728+24175</f>
        <v>941902</v>
      </c>
      <c r="N82" s="45"/>
      <c r="O82" s="45">
        <v>0</v>
      </c>
      <c r="P82" s="45"/>
      <c r="Q82" s="45">
        <v>6002060</v>
      </c>
      <c r="R82" s="45"/>
      <c r="S82" s="45">
        <f t="shared" si="11"/>
        <v>6943962</v>
      </c>
      <c r="T82" s="45"/>
      <c r="U82" s="44">
        <f t="shared" si="12"/>
        <v>0</v>
      </c>
      <c r="V82" s="44">
        <f t="shared" si="13"/>
        <v>0</v>
      </c>
    </row>
    <row r="83" spans="1:22" s="44" customFormat="1" ht="12.75" customHeight="1">
      <c r="A83" s="44" t="s">
        <v>105</v>
      </c>
      <c r="B83" s="51"/>
      <c r="C83" s="44" t="s">
        <v>27</v>
      </c>
      <c r="D83" s="35"/>
      <c r="E83" s="45">
        <v>559714</v>
      </c>
      <c r="F83" s="45"/>
      <c r="G83" s="45">
        <v>7193373</v>
      </c>
      <c r="H83" s="45"/>
      <c r="I83" s="45">
        <v>4802322</v>
      </c>
      <c r="J83" s="45"/>
      <c r="K83" s="45">
        <v>5361077</v>
      </c>
      <c r="L83" s="45"/>
      <c r="M83" s="45">
        <f>9790+250000</f>
        <v>259790</v>
      </c>
      <c r="N83" s="45"/>
      <c r="O83" s="45">
        <v>0</v>
      </c>
      <c r="P83" s="45"/>
      <c r="Q83" s="45">
        <v>1572506</v>
      </c>
      <c r="R83" s="45"/>
      <c r="S83" s="45">
        <f t="shared" si="11"/>
        <v>1832296</v>
      </c>
      <c r="T83" s="45"/>
      <c r="U83" s="44">
        <f t="shared" si="12"/>
        <v>0</v>
      </c>
      <c r="V83" s="44">
        <f t="shared" si="13"/>
        <v>0</v>
      </c>
    </row>
    <row r="84" spans="1:22" s="44" customFormat="1" ht="12.75" customHeight="1">
      <c r="A84" s="44" t="s">
        <v>106</v>
      </c>
      <c r="B84" s="51"/>
      <c r="C84" s="44" t="s">
        <v>107</v>
      </c>
      <c r="D84" s="35"/>
      <c r="E84" s="45">
        <v>4570766</v>
      </c>
      <c r="F84" s="45"/>
      <c r="G84" s="45">
        <v>9476137</v>
      </c>
      <c r="H84" s="45"/>
      <c r="I84" s="45">
        <v>941970</v>
      </c>
      <c r="J84" s="45"/>
      <c r="K84" s="45">
        <v>5240355</v>
      </c>
      <c r="L84" s="45"/>
      <c r="M84" s="45">
        <f>1035657+77819</f>
        <v>1113476</v>
      </c>
      <c r="N84" s="45"/>
      <c r="O84" s="45">
        <v>0</v>
      </c>
      <c r="P84" s="45"/>
      <c r="Q84" s="45">
        <v>3122306</v>
      </c>
      <c r="R84" s="45"/>
      <c r="S84" s="45">
        <f t="shared" si="11"/>
        <v>4235782</v>
      </c>
      <c r="T84" s="45"/>
      <c r="U84" s="44">
        <f t="shared" si="12"/>
        <v>0</v>
      </c>
      <c r="V84" s="44">
        <f t="shared" si="13"/>
        <v>0</v>
      </c>
    </row>
    <row r="85" spans="1:22" s="44" customFormat="1" ht="12.75" customHeight="1">
      <c r="A85" s="44" t="s">
        <v>108</v>
      </c>
      <c r="B85" s="65"/>
      <c r="C85" s="44" t="s">
        <v>45</v>
      </c>
      <c r="D85" s="35"/>
      <c r="E85" s="45">
        <v>2336739</v>
      </c>
      <c r="F85" s="45"/>
      <c r="G85" s="45">
        <v>7104351</v>
      </c>
      <c r="H85" s="45"/>
      <c r="I85" s="45">
        <v>3629063</v>
      </c>
      <c r="J85" s="45"/>
      <c r="K85" s="45">
        <v>4106827</v>
      </c>
      <c r="L85" s="45"/>
      <c r="M85" s="45">
        <v>336405</v>
      </c>
      <c r="N85" s="45"/>
      <c r="O85" s="45">
        <v>0</v>
      </c>
      <c r="P85" s="45"/>
      <c r="Q85" s="45">
        <v>2661119</v>
      </c>
      <c r="R85" s="45"/>
      <c r="S85" s="45">
        <f>+Q85+O85+M85</f>
        <v>2997524</v>
      </c>
      <c r="T85" s="45"/>
      <c r="U85" s="44">
        <f>+G85-K85-S85</f>
        <v>0</v>
      </c>
      <c r="V85" s="44">
        <f>+G85-K85-S85</f>
        <v>0</v>
      </c>
    </row>
    <row r="86" spans="1:22" s="44" customFormat="1" ht="12.75" customHeight="1">
      <c r="A86" s="44" t="s">
        <v>109</v>
      </c>
      <c r="C86" s="44" t="s">
        <v>110</v>
      </c>
      <c r="D86" s="35"/>
      <c r="E86" s="45">
        <v>413383</v>
      </c>
      <c r="F86" s="45"/>
      <c r="G86" s="45">
        <v>2688080</v>
      </c>
      <c r="H86" s="45"/>
      <c r="I86" s="45">
        <v>807612</v>
      </c>
      <c r="J86" s="45"/>
      <c r="K86" s="45">
        <v>2010409</v>
      </c>
      <c r="L86" s="45"/>
      <c r="M86" s="45">
        <v>25460</v>
      </c>
      <c r="N86" s="45"/>
      <c r="O86" s="45">
        <v>0</v>
      </c>
      <c r="P86" s="45"/>
      <c r="Q86" s="45">
        <v>652211</v>
      </c>
      <c r="R86" s="45"/>
      <c r="S86" s="45">
        <f t="shared" si="11"/>
        <v>677671</v>
      </c>
      <c r="T86" s="45"/>
      <c r="U86" s="44">
        <f t="shared" si="12"/>
        <v>0</v>
      </c>
      <c r="V86" s="44">
        <f t="shared" si="13"/>
        <v>0</v>
      </c>
    </row>
    <row r="87" spans="1:22" s="44" customFormat="1" ht="12.75" customHeight="1">
      <c r="A87" s="46" t="s">
        <v>43</v>
      </c>
      <c r="B87" s="46"/>
      <c r="C87" s="46" t="s">
        <v>111</v>
      </c>
      <c r="D87" s="64"/>
      <c r="E87" s="45">
        <v>3376116</v>
      </c>
      <c r="F87" s="45"/>
      <c r="G87" s="45">
        <v>5474341</v>
      </c>
      <c r="H87" s="45"/>
      <c r="I87" s="45">
        <v>1405151</v>
      </c>
      <c r="J87" s="45"/>
      <c r="K87" s="45">
        <v>4099129</v>
      </c>
      <c r="L87" s="45"/>
      <c r="M87" s="45">
        <v>6114</v>
      </c>
      <c r="N87" s="45"/>
      <c r="O87" s="45">
        <v>0</v>
      </c>
      <c r="P87" s="45"/>
      <c r="Q87" s="45">
        <v>1369098</v>
      </c>
      <c r="R87" s="45"/>
      <c r="S87" s="45">
        <f t="shared" si="11"/>
        <v>1375212</v>
      </c>
      <c r="T87" s="45"/>
      <c r="U87" s="44">
        <f t="shared" si="12"/>
        <v>0</v>
      </c>
      <c r="V87" s="44">
        <f t="shared" si="13"/>
        <v>0</v>
      </c>
    </row>
    <row r="88" spans="1:22" s="44" customFormat="1" ht="12.75" customHeight="1">
      <c r="A88" s="44" t="s">
        <v>112</v>
      </c>
      <c r="B88" s="51"/>
      <c r="C88" s="44" t="s">
        <v>76</v>
      </c>
      <c r="D88" s="35"/>
      <c r="E88" s="45">
        <v>2740562</v>
      </c>
      <c r="F88" s="45"/>
      <c r="G88" s="45">
        <v>3978166</v>
      </c>
      <c r="H88" s="45"/>
      <c r="I88" s="45">
        <v>341810</v>
      </c>
      <c r="J88" s="45"/>
      <c r="K88" s="45">
        <v>1542396</v>
      </c>
      <c r="L88" s="45"/>
      <c r="M88" s="45">
        <f>27548+9715</f>
        <v>37263</v>
      </c>
      <c r="N88" s="45"/>
      <c r="O88" s="45">
        <v>234824</v>
      </c>
      <c r="P88" s="45"/>
      <c r="Q88" s="45">
        <v>2163683</v>
      </c>
      <c r="R88" s="45"/>
      <c r="S88" s="45">
        <f t="shared" si="11"/>
        <v>2435770</v>
      </c>
      <c r="T88" s="45"/>
      <c r="U88" s="44">
        <f t="shared" si="12"/>
        <v>0</v>
      </c>
      <c r="V88" s="44">
        <f t="shared" si="13"/>
        <v>0</v>
      </c>
    </row>
    <row r="89" spans="1:22" s="44" customFormat="1" ht="12.75" customHeight="1">
      <c r="A89" s="44" t="s">
        <v>113</v>
      </c>
      <c r="C89" s="44" t="s">
        <v>43</v>
      </c>
      <c r="D89" s="35"/>
      <c r="E89" s="45">
        <v>18287357</v>
      </c>
      <c r="F89" s="45"/>
      <c r="G89" s="45">
        <v>27224575</v>
      </c>
      <c r="H89" s="45"/>
      <c r="I89" s="45">
        <v>5487234</v>
      </c>
      <c r="J89" s="45"/>
      <c r="K89" s="45">
        <v>8304389</v>
      </c>
      <c r="L89" s="45"/>
      <c r="M89" s="45">
        <v>6092012</v>
      </c>
      <c r="N89" s="45"/>
      <c r="O89" s="45">
        <v>1772514</v>
      </c>
      <c r="P89" s="45"/>
      <c r="Q89" s="45">
        <v>11055660</v>
      </c>
      <c r="R89" s="45"/>
      <c r="S89" s="45">
        <f t="shared" si="11"/>
        <v>18920186</v>
      </c>
      <c r="T89" s="45"/>
      <c r="U89" s="44">
        <f t="shared" si="12"/>
        <v>0</v>
      </c>
      <c r="V89" s="44">
        <f t="shared" si="13"/>
        <v>0</v>
      </c>
    </row>
    <row r="90" spans="1:22" s="44" customFormat="1" ht="12.75" customHeight="1">
      <c r="A90" s="46" t="s">
        <v>490</v>
      </c>
      <c r="B90" s="46"/>
      <c r="C90" s="46" t="s">
        <v>57</v>
      </c>
      <c r="D90" s="64"/>
      <c r="E90" s="45">
        <v>3164986</v>
      </c>
      <c r="F90" s="45"/>
      <c r="G90" s="45">
        <v>6219784</v>
      </c>
      <c r="H90" s="45"/>
      <c r="I90" s="45">
        <v>1052022</v>
      </c>
      <c r="J90" s="45"/>
      <c r="K90" s="45">
        <v>1767894</v>
      </c>
      <c r="L90" s="45"/>
      <c r="M90" s="45">
        <f>4131+81865+126232</f>
        <v>212228</v>
      </c>
      <c r="N90" s="45"/>
      <c r="O90" s="45">
        <v>0</v>
      </c>
      <c r="P90" s="45"/>
      <c r="Q90" s="45">
        <v>4239662</v>
      </c>
      <c r="R90" s="45"/>
      <c r="S90" s="45">
        <f>+Q90+O90+M90</f>
        <v>4451890</v>
      </c>
      <c r="T90" s="45"/>
      <c r="U90" s="44">
        <f>+G90-K90-S90</f>
        <v>0</v>
      </c>
      <c r="V90" s="44">
        <f>+G90-K90-S90</f>
        <v>0</v>
      </c>
    </row>
    <row r="91" spans="1:22" s="44" customFormat="1" ht="12.75" customHeight="1">
      <c r="A91" s="44" t="s">
        <v>114</v>
      </c>
      <c r="B91" s="51"/>
      <c r="C91" s="44" t="s">
        <v>27</v>
      </c>
      <c r="D91" s="35"/>
      <c r="E91" s="45">
        <v>0</v>
      </c>
      <c r="F91" s="45"/>
      <c r="G91" s="45">
        <v>14086352</v>
      </c>
      <c r="H91" s="45"/>
      <c r="I91" s="45">
        <v>12450262</v>
      </c>
      <c r="J91" s="45"/>
      <c r="K91" s="45">
        <v>19075642</v>
      </c>
      <c r="L91" s="45"/>
      <c r="M91" s="45">
        <v>1389</v>
      </c>
      <c r="N91" s="45"/>
      <c r="O91" s="45">
        <v>0</v>
      </c>
      <c r="P91" s="45"/>
      <c r="Q91" s="45">
        <v>-4990679</v>
      </c>
      <c r="R91" s="45"/>
      <c r="S91" s="45">
        <f>+Q91+O91+M91</f>
        <v>-4989290</v>
      </c>
      <c r="T91" s="45"/>
      <c r="U91" s="44">
        <f>+G91-K91-S91</f>
        <v>0</v>
      </c>
      <c r="V91" s="44">
        <f>+G91-K91-S91</f>
        <v>0</v>
      </c>
    </row>
    <row r="92" spans="1:22" s="44" customFormat="1" ht="12.75" customHeight="1">
      <c r="A92" s="44" t="s">
        <v>115</v>
      </c>
      <c r="C92" s="44" t="s">
        <v>19</v>
      </c>
      <c r="D92" s="35"/>
      <c r="E92" s="45">
        <v>1364112</v>
      </c>
      <c r="F92" s="45"/>
      <c r="G92" s="45">
        <v>3028463</v>
      </c>
      <c r="H92" s="45"/>
      <c r="I92" s="45">
        <v>1190335</v>
      </c>
      <c r="J92" s="45"/>
      <c r="K92" s="45">
        <v>1427300</v>
      </c>
      <c r="L92" s="45"/>
      <c r="M92" s="45">
        <v>8870</v>
      </c>
      <c r="N92" s="45"/>
      <c r="O92" s="45">
        <v>0</v>
      </c>
      <c r="P92" s="45"/>
      <c r="Q92" s="45">
        <v>1592293</v>
      </c>
      <c r="R92" s="45"/>
      <c r="S92" s="45">
        <f t="shared" si="11"/>
        <v>1601163</v>
      </c>
      <c r="T92" s="45"/>
      <c r="U92" s="44">
        <f t="shared" si="12"/>
        <v>0</v>
      </c>
      <c r="V92" s="44">
        <f t="shared" si="13"/>
        <v>0</v>
      </c>
    </row>
    <row r="93" spans="1:22" s="44" customFormat="1" ht="12.75" customHeight="1">
      <c r="A93" s="46" t="s">
        <v>116</v>
      </c>
      <c r="B93" s="46"/>
      <c r="C93" s="46" t="s">
        <v>80</v>
      </c>
      <c r="D93" s="64"/>
      <c r="E93" s="45">
        <v>44712</v>
      </c>
      <c r="F93" s="45"/>
      <c r="G93" s="45">
        <v>1678884</v>
      </c>
      <c r="H93" s="45"/>
      <c r="I93" s="45">
        <v>1378960</v>
      </c>
      <c r="J93" s="45"/>
      <c r="K93" s="45">
        <v>1596382</v>
      </c>
      <c r="L93" s="45"/>
      <c r="M93" s="45">
        <f>167+23582</f>
        <v>23749</v>
      </c>
      <c r="N93" s="45"/>
      <c r="O93" s="45">
        <v>0</v>
      </c>
      <c r="P93" s="45"/>
      <c r="Q93" s="45">
        <v>58753</v>
      </c>
      <c r="R93" s="45"/>
      <c r="S93" s="45">
        <f t="shared" si="11"/>
        <v>82502</v>
      </c>
      <c r="T93" s="45"/>
      <c r="U93" s="44">
        <f t="shared" si="12"/>
        <v>0</v>
      </c>
      <c r="V93" s="44">
        <f t="shared" si="13"/>
        <v>0</v>
      </c>
    </row>
    <row r="94" spans="1:22" s="44" customFormat="1" ht="12.75" customHeight="1">
      <c r="A94" s="44" t="s">
        <v>117</v>
      </c>
      <c r="C94" s="44" t="s">
        <v>43</v>
      </c>
      <c r="D94" s="35"/>
      <c r="E94" s="45">
        <v>3419265</v>
      </c>
      <c r="F94" s="45"/>
      <c r="G94" s="45">
        <v>6504447</v>
      </c>
      <c r="H94" s="45"/>
      <c r="I94" s="45">
        <v>1396006</v>
      </c>
      <c r="J94" s="45"/>
      <c r="K94" s="45">
        <v>2621504</v>
      </c>
      <c r="L94" s="45"/>
      <c r="M94" s="45">
        <f>67021+42877</f>
        <v>109898</v>
      </c>
      <c r="N94" s="45"/>
      <c r="O94" s="45">
        <v>0</v>
      </c>
      <c r="P94" s="45"/>
      <c r="Q94" s="45">
        <v>3773045</v>
      </c>
      <c r="R94" s="45"/>
      <c r="S94" s="45">
        <f t="shared" si="11"/>
        <v>3882943</v>
      </c>
      <c r="T94" s="45"/>
      <c r="U94" s="44">
        <f t="shared" si="12"/>
        <v>0</v>
      </c>
      <c r="V94" s="44">
        <f t="shared" si="13"/>
        <v>0</v>
      </c>
    </row>
    <row r="95" spans="1:22" s="44" customFormat="1" ht="12.75" customHeight="1">
      <c r="A95" s="44" t="s">
        <v>118</v>
      </c>
      <c r="B95" s="51"/>
      <c r="C95" s="44" t="s">
        <v>13</v>
      </c>
      <c r="D95" s="35"/>
      <c r="E95" s="45">
        <v>16824255</v>
      </c>
      <c r="F95" s="45"/>
      <c r="G95" s="45">
        <v>28991124</v>
      </c>
      <c r="H95" s="45"/>
      <c r="I95" s="45">
        <v>291931</v>
      </c>
      <c r="J95" s="45"/>
      <c r="K95" s="45">
        <v>3383612</v>
      </c>
      <c r="L95" s="45"/>
      <c r="M95" s="45">
        <v>1656272</v>
      </c>
      <c r="N95" s="45"/>
      <c r="O95" s="45">
        <v>0</v>
      </c>
      <c r="P95" s="45"/>
      <c r="Q95" s="45">
        <v>23951240</v>
      </c>
      <c r="R95" s="45"/>
      <c r="S95" s="45">
        <f t="shared" si="11"/>
        <v>25607512</v>
      </c>
      <c r="T95" s="45"/>
      <c r="U95" s="44">
        <f t="shared" si="12"/>
        <v>0</v>
      </c>
      <c r="V95" s="44">
        <f t="shared" si="13"/>
        <v>0</v>
      </c>
    </row>
    <row r="96" spans="1:22" s="44" customFormat="1" ht="12.75" customHeight="1">
      <c r="A96" s="44" t="s">
        <v>120</v>
      </c>
      <c r="B96" s="51"/>
      <c r="C96" s="44" t="s">
        <v>121</v>
      </c>
      <c r="D96" s="35"/>
      <c r="E96" s="45">
        <v>2666106</v>
      </c>
      <c r="F96" s="45"/>
      <c r="G96" s="45">
        <v>5843831</v>
      </c>
      <c r="H96" s="45"/>
      <c r="I96" s="45">
        <v>902221</v>
      </c>
      <c r="J96" s="45"/>
      <c r="K96" s="45">
        <v>2643775</v>
      </c>
      <c r="L96" s="45"/>
      <c r="M96" s="45">
        <f>127494+115012+10743</f>
        <v>253249</v>
      </c>
      <c r="N96" s="45"/>
      <c r="O96" s="45">
        <v>0</v>
      </c>
      <c r="P96" s="45"/>
      <c r="Q96" s="45">
        <v>2946807</v>
      </c>
      <c r="R96" s="45"/>
      <c r="S96" s="45">
        <f t="shared" si="11"/>
        <v>3200056</v>
      </c>
      <c r="T96" s="45"/>
      <c r="U96" s="44">
        <f t="shared" si="12"/>
        <v>0</v>
      </c>
      <c r="V96" s="44">
        <f t="shared" si="13"/>
        <v>0</v>
      </c>
    </row>
    <row r="97" spans="1:22" s="44" customFormat="1" ht="12.75" customHeight="1">
      <c r="A97" s="44" t="s">
        <v>122</v>
      </c>
      <c r="B97" s="51"/>
      <c r="C97" s="44" t="s">
        <v>43</v>
      </c>
      <c r="D97" s="35"/>
      <c r="E97" s="45">
        <v>21230390</v>
      </c>
      <c r="F97" s="45"/>
      <c r="G97" s="45">
        <v>26587527</v>
      </c>
      <c r="H97" s="45"/>
      <c r="I97" s="45">
        <v>3474399</v>
      </c>
      <c r="J97" s="45"/>
      <c r="K97" s="45">
        <v>4334548</v>
      </c>
      <c r="L97" s="45"/>
      <c r="M97" s="45">
        <v>5899172</v>
      </c>
      <c r="N97" s="45"/>
      <c r="O97" s="45">
        <v>0</v>
      </c>
      <c r="P97" s="45"/>
      <c r="Q97" s="45">
        <v>16353807</v>
      </c>
      <c r="R97" s="45"/>
      <c r="S97" s="45">
        <f t="shared" si="11"/>
        <v>22252979</v>
      </c>
      <c r="T97" s="45"/>
      <c r="U97" s="44">
        <f t="shared" si="12"/>
        <v>0</v>
      </c>
      <c r="V97" s="44">
        <f t="shared" si="13"/>
        <v>0</v>
      </c>
    </row>
    <row r="98" spans="1:22" s="44" customFormat="1" ht="12.75" customHeight="1">
      <c r="A98" s="44" t="s">
        <v>45</v>
      </c>
      <c r="B98" s="51"/>
      <c r="C98" s="44" t="s">
        <v>103</v>
      </c>
      <c r="D98" s="35"/>
      <c r="E98" s="45">
        <v>2772528</v>
      </c>
      <c r="F98" s="45"/>
      <c r="G98" s="45">
        <v>12235489</v>
      </c>
      <c r="H98" s="45"/>
      <c r="I98" s="45">
        <v>6124928</v>
      </c>
      <c r="J98" s="45"/>
      <c r="K98" s="45">
        <v>9679771</v>
      </c>
      <c r="L98" s="45"/>
      <c r="M98" s="45">
        <f>157691+161928+1181</f>
        <v>320800</v>
      </c>
      <c r="N98" s="45"/>
      <c r="O98" s="45">
        <v>0</v>
      </c>
      <c r="P98" s="45"/>
      <c r="Q98" s="45">
        <v>2234918</v>
      </c>
      <c r="R98" s="45"/>
      <c r="S98" s="45">
        <f t="shared" si="11"/>
        <v>2555718</v>
      </c>
      <c r="T98" s="45"/>
      <c r="U98" s="44">
        <f t="shared" si="12"/>
        <v>0</v>
      </c>
      <c r="V98" s="44">
        <f t="shared" si="13"/>
        <v>0</v>
      </c>
    </row>
    <row r="99" spans="1:22" s="44" customFormat="1" ht="12.75" customHeight="1">
      <c r="A99" s="44" t="s">
        <v>123</v>
      </c>
      <c r="B99" s="51"/>
      <c r="C99" s="44" t="s">
        <v>45</v>
      </c>
      <c r="D99" s="35"/>
      <c r="E99" s="45">
        <v>622774</v>
      </c>
      <c r="F99" s="45"/>
      <c r="G99" s="45">
        <v>3272265</v>
      </c>
      <c r="H99" s="45"/>
      <c r="I99" s="45">
        <v>507733</v>
      </c>
      <c r="J99" s="45"/>
      <c r="K99" s="45">
        <v>1761014</v>
      </c>
      <c r="L99" s="45"/>
      <c r="M99" s="45">
        <f>29648+8479+43435+57347</f>
        <v>138909</v>
      </c>
      <c r="N99" s="45"/>
      <c r="O99" s="45">
        <v>0</v>
      </c>
      <c r="P99" s="45"/>
      <c r="Q99" s="45">
        <v>1372342</v>
      </c>
      <c r="R99" s="45"/>
      <c r="S99" s="45">
        <f t="shared" si="11"/>
        <v>1511251</v>
      </c>
      <c r="T99" s="45"/>
      <c r="U99" s="44">
        <f t="shared" si="12"/>
        <v>0</v>
      </c>
      <c r="V99" s="44">
        <f t="shared" si="13"/>
        <v>0</v>
      </c>
    </row>
    <row r="100" spans="1:22" s="44" customFormat="1" ht="12.75" customHeight="1">
      <c r="A100" s="44" t="s">
        <v>124</v>
      </c>
      <c r="B100" s="51"/>
      <c r="C100" s="44" t="s">
        <v>125</v>
      </c>
      <c r="D100" s="35"/>
      <c r="E100" s="45">
        <f>1633242+1648888</f>
        <v>3282130</v>
      </c>
      <c r="F100" s="45"/>
      <c r="G100" s="45">
        <v>4871040</v>
      </c>
      <c r="H100" s="45"/>
      <c r="I100" s="45">
        <v>822615</v>
      </c>
      <c r="J100" s="45"/>
      <c r="K100" s="45">
        <v>1095585</v>
      </c>
      <c r="L100" s="45"/>
      <c r="M100" s="45">
        <f>106126+66443+58630</f>
        <v>231199</v>
      </c>
      <c r="N100" s="45"/>
      <c r="O100" s="45">
        <v>1135473</v>
      </c>
      <c r="P100" s="45"/>
      <c r="Q100" s="45">
        <v>2408783</v>
      </c>
      <c r="R100" s="45"/>
      <c r="S100" s="45">
        <f t="shared" si="11"/>
        <v>3775455</v>
      </c>
      <c r="T100" s="45"/>
      <c r="U100" s="44">
        <f t="shared" si="12"/>
        <v>0</v>
      </c>
      <c r="V100" s="44">
        <f t="shared" si="13"/>
        <v>0</v>
      </c>
    </row>
    <row r="101" spans="1:22" s="44" customFormat="1" ht="12.75" customHeight="1">
      <c r="A101" s="44" t="s">
        <v>126</v>
      </c>
      <c r="C101" s="44" t="s">
        <v>27</v>
      </c>
      <c r="D101" s="35"/>
      <c r="E101" s="45">
        <v>4462939</v>
      </c>
      <c r="F101" s="45"/>
      <c r="G101" s="45">
        <v>7658790</v>
      </c>
      <c r="H101" s="45"/>
      <c r="I101" s="45">
        <v>1280013</v>
      </c>
      <c r="J101" s="45"/>
      <c r="K101" s="45">
        <v>1916193</v>
      </c>
      <c r="L101" s="45"/>
      <c r="M101" s="45">
        <f>27748+18645+101408</f>
        <v>147801</v>
      </c>
      <c r="N101" s="45"/>
      <c r="O101" s="45">
        <v>0</v>
      </c>
      <c r="P101" s="45"/>
      <c r="Q101" s="45">
        <v>5594796</v>
      </c>
      <c r="R101" s="45"/>
      <c r="S101" s="45">
        <f t="shared" si="11"/>
        <v>5742597</v>
      </c>
      <c r="T101" s="45"/>
      <c r="U101" s="44">
        <f t="shared" si="12"/>
        <v>0</v>
      </c>
      <c r="V101" s="44">
        <f t="shared" si="13"/>
        <v>0</v>
      </c>
    </row>
    <row r="102" spans="1:22" s="44" customFormat="1" ht="12.75" customHeight="1">
      <c r="A102" s="44" t="s">
        <v>127</v>
      </c>
      <c r="B102" s="51"/>
      <c r="C102" s="44" t="s">
        <v>43</v>
      </c>
      <c r="D102" s="35"/>
      <c r="E102" s="45">
        <v>2696503</v>
      </c>
      <c r="F102" s="45"/>
      <c r="G102" s="45">
        <v>7584244</v>
      </c>
      <c r="H102" s="45"/>
      <c r="I102" s="45">
        <v>2946904</v>
      </c>
      <c r="J102" s="45"/>
      <c r="K102" s="45">
        <v>4370866</v>
      </c>
      <c r="L102" s="45"/>
      <c r="M102" s="45">
        <v>139582</v>
      </c>
      <c r="N102" s="45"/>
      <c r="O102" s="45">
        <v>0</v>
      </c>
      <c r="P102" s="45"/>
      <c r="Q102" s="45">
        <v>3073796</v>
      </c>
      <c r="R102" s="45"/>
      <c r="S102" s="45">
        <f t="shared" si="11"/>
        <v>3213378</v>
      </c>
      <c r="T102" s="45"/>
      <c r="U102" s="44">
        <f t="shared" si="12"/>
        <v>0</v>
      </c>
      <c r="V102" s="44">
        <f t="shared" si="13"/>
        <v>0</v>
      </c>
    </row>
    <row r="103" spans="1:22" s="44" customFormat="1" ht="12.75" customHeight="1">
      <c r="A103" s="44" t="s">
        <v>128</v>
      </c>
      <c r="C103" s="44" t="s">
        <v>119</v>
      </c>
      <c r="D103" s="35"/>
      <c r="E103" s="45">
        <f>1122819+6427</f>
        <v>1129246</v>
      </c>
      <c r="F103" s="45"/>
      <c r="G103" s="45">
        <v>3354776</v>
      </c>
      <c r="H103" s="45"/>
      <c r="I103" s="45">
        <v>863439</v>
      </c>
      <c r="J103" s="45"/>
      <c r="K103" s="45">
        <v>1287241</v>
      </c>
      <c r="L103" s="45"/>
      <c r="M103" s="45">
        <v>576482</v>
      </c>
      <c r="N103" s="45"/>
      <c r="O103" s="45">
        <v>0</v>
      </c>
      <c r="P103" s="45"/>
      <c r="Q103" s="45">
        <v>1491053</v>
      </c>
      <c r="R103" s="45"/>
      <c r="S103" s="45">
        <f t="shared" si="11"/>
        <v>2067535</v>
      </c>
      <c r="T103" s="45"/>
      <c r="U103" s="44">
        <f t="shared" si="12"/>
        <v>0</v>
      </c>
      <c r="V103" s="44">
        <f t="shared" si="13"/>
        <v>0</v>
      </c>
    </row>
    <row r="104" spans="1:22" s="44" customFormat="1" ht="12.75" customHeight="1">
      <c r="A104" s="44" t="s">
        <v>129</v>
      </c>
      <c r="B104" s="51"/>
      <c r="C104" s="44" t="s">
        <v>80</v>
      </c>
      <c r="D104" s="35"/>
      <c r="E104" s="45">
        <f>199525+150</f>
        <v>199675</v>
      </c>
      <c r="F104" s="45"/>
      <c r="G104" s="45">
        <v>1194678</v>
      </c>
      <c r="H104" s="45"/>
      <c r="I104" s="45">
        <v>281802</v>
      </c>
      <c r="J104" s="45"/>
      <c r="K104" s="45">
        <v>719924</v>
      </c>
      <c r="L104" s="45"/>
      <c r="M104" s="45">
        <f>7689+7211+2309</f>
        <v>17209</v>
      </c>
      <c r="N104" s="45"/>
      <c r="O104" s="45">
        <v>0</v>
      </c>
      <c r="P104" s="45"/>
      <c r="Q104" s="45">
        <v>457545</v>
      </c>
      <c r="R104" s="45"/>
      <c r="S104" s="45">
        <f t="shared" si="11"/>
        <v>474754</v>
      </c>
      <c r="T104" s="45"/>
      <c r="U104" s="44">
        <f t="shared" si="12"/>
        <v>0</v>
      </c>
      <c r="V104" s="44">
        <f t="shared" si="13"/>
        <v>0</v>
      </c>
    </row>
    <row r="105" spans="1:22" s="44" customFormat="1" ht="12.75" customHeight="1">
      <c r="A105" s="46" t="s">
        <v>130</v>
      </c>
      <c r="B105" s="46"/>
      <c r="C105" s="46" t="s">
        <v>66</v>
      </c>
      <c r="D105" s="64"/>
      <c r="E105" s="45">
        <v>6875627</v>
      </c>
      <c r="F105" s="45"/>
      <c r="G105" s="45">
        <v>12593213</v>
      </c>
      <c r="H105" s="45"/>
      <c r="I105" s="45">
        <v>2939411</v>
      </c>
      <c r="J105" s="45"/>
      <c r="K105" s="45">
        <v>3383486</v>
      </c>
      <c r="L105" s="45"/>
      <c r="M105" s="45">
        <f>461799+41832+206119+8214</f>
        <v>717964</v>
      </c>
      <c r="N105" s="45"/>
      <c r="O105" s="45">
        <v>0</v>
      </c>
      <c r="P105" s="45"/>
      <c r="Q105" s="45">
        <v>8491763</v>
      </c>
      <c r="R105" s="45"/>
      <c r="S105" s="45">
        <f t="shared" si="11"/>
        <v>9209727</v>
      </c>
      <c r="T105" s="45"/>
      <c r="U105" s="44">
        <f t="shared" si="12"/>
        <v>0</v>
      </c>
      <c r="V105" s="44">
        <f t="shared" si="13"/>
        <v>0</v>
      </c>
    </row>
    <row r="106" spans="1:22" s="44" customFormat="1" ht="12.75" customHeight="1">
      <c r="A106" s="44" t="s">
        <v>131</v>
      </c>
      <c r="B106" s="51"/>
      <c r="C106" s="44" t="s">
        <v>13</v>
      </c>
      <c r="D106" s="35"/>
      <c r="E106" s="45">
        <v>9932138</v>
      </c>
      <c r="F106" s="45"/>
      <c r="G106" s="45">
        <v>18527564</v>
      </c>
      <c r="H106" s="45"/>
      <c r="I106" s="45">
        <v>5092412</v>
      </c>
      <c r="J106" s="45"/>
      <c r="K106" s="45">
        <v>5668956</v>
      </c>
      <c r="L106" s="45"/>
      <c r="M106" s="45">
        <f>271602+100000+33767</f>
        <v>405369</v>
      </c>
      <c r="N106" s="45"/>
      <c r="O106" s="45">
        <v>0</v>
      </c>
      <c r="P106" s="45"/>
      <c r="Q106" s="45">
        <v>12453239</v>
      </c>
      <c r="R106" s="45"/>
      <c r="S106" s="45">
        <f t="shared" si="11"/>
        <v>12858608</v>
      </c>
      <c r="T106" s="45"/>
      <c r="U106" s="44">
        <f t="shared" si="12"/>
        <v>0</v>
      </c>
      <c r="V106" s="44">
        <f t="shared" si="13"/>
        <v>0</v>
      </c>
    </row>
    <row r="107" spans="1:22" s="44" customFormat="1" ht="12.75" customHeight="1">
      <c r="D107" s="3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8" t="s">
        <v>484</v>
      </c>
      <c r="T107" s="45"/>
    </row>
    <row r="108" spans="1:22" s="46" customFormat="1" ht="12.75" customHeight="1">
      <c r="A108" s="46" t="s">
        <v>38</v>
      </c>
      <c r="B108" s="66"/>
      <c r="C108" s="46" t="s">
        <v>132</v>
      </c>
      <c r="D108" s="64"/>
      <c r="E108" s="94">
        <v>633151</v>
      </c>
      <c r="F108" s="94"/>
      <c r="G108" s="94">
        <v>1498282</v>
      </c>
      <c r="H108" s="94"/>
      <c r="I108" s="94">
        <v>476537</v>
      </c>
      <c r="J108" s="94"/>
      <c r="K108" s="94">
        <v>663402</v>
      </c>
      <c r="L108" s="94"/>
      <c r="M108" s="94">
        <v>111522</v>
      </c>
      <c r="N108" s="94"/>
      <c r="O108" s="94">
        <v>0</v>
      </c>
      <c r="P108" s="94"/>
      <c r="Q108" s="94">
        <v>723358</v>
      </c>
      <c r="R108" s="94"/>
      <c r="S108" s="94">
        <f t="shared" si="11"/>
        <v>834880</v>
      </c>
      <c r="T108" s="94"/>
      <c r="U108" s="46">
        <f t="shared" si="12"/>
        <v>0</v>
      </c>
      <c r="V108" s="46">
        <f t="shared" si="13"/>
        <v>0</v>
      </c>
    </row>
    <row r="109" spans="1:22" s="44" customFormat="1" ht="12.75" customHeight="1">
      <c r="A109" s="44" t="s">
        <v>133</v>
      </c>
      <c r="B109" s="51"/>
      <c r="C109" s="44" t="s">
        <v>27</v>
      </c>
      <c r="D109" s="35"/>
      <c r="E109" s="45">
        <f>3586344+15991</f>
        <v>3602335</v>
      </c>
      <c r="F109" s="45"/>
      <c r="G109" s="45">
        <v>17074913</v>
      </c>
      <c r="H109" s="45"/>
      <c r="I109" s="45">
        <v>3392717</v>
      </c>
      <c r="J109" s="45"/>
      <c r="K109" s="45">
        <v>4206426</v>
      </c>
      <c r="L109" s="45"/>
      <c r="M109" s="45">
        <f>854282+6116500</f>
        <v>6970782</v>
      </c>
      <c r="N109" s="45"/>
      <c r="O109" s="45">
        <v>0</v>
      </c>
      <c r="P109" s="45"/>
      <c r="Q109" s="45">
        <v>5897705</v>
      </c>
      <c r="R109" s="45"/>
      <c r="S109" s="45">
        <f t="shared" si="11"/>
        <v>12868487</v>
      </c>
      <c r="T109" s="45"/>
      <c r="U109" s="44">
        <f t="shared" si="12"/>
        <v>0</v>
      </c>
      <c r="V109" s="44">
        <f t="shared" si="13"/>
        <v>0</v>
      </c>
    </row>
    <row r="110" spans="1:22" s="44" customFormat="1" ht="12.75" hidden="1" customHeight="1">
      <c r="A110" s="44" t="s">
        <v>482</v>
      </c>
      <c r="B110" s="51"/>
      <c r="C110" s="44" t="s">
        <v>45</v>
      </c>
      <c r="D110" s="35"/>
      <c r="E110" s="45">
        <v>0</v>
      </c>
      <c r="F110" s="45"/>
      <c r="G110" s="45">
        <v>0</v>
      </c>
      <c r="H110" s="45"/>
      <c r="I110" s="45">
        <v>0</v>
      </c>
      <c r="J110" s="45"/>
      <c r="K110" s="45">
        <v>0</v>
      </c>
      <c r="L110" s="45"/>
      <c r="M110" s="45">
        <v>0</v>
      </c>
      <c r="N110" s="45"/>
      <c r="O110" s="45">
        <v>0</v>
      </c>
      <c r="P110" s="45"/>
      <c r="Q110" s="45">
        <v>0</v>
      </c>
      <c r="R110" s="45"/>
      <c r="S110" s="45">
        <f t="shared" si="11"/>
        <v>0</v>
      </c>
      <c r="T110" s="45"/>
      <c r="U110" s="44">
        <f t="shared" si="12"/>
        <v>0</v>
      </c>
      <c r="V110" s="44">
        <f t="shared" si="13"/>
        <v>0</v>
      </c>
    </row>
    <row r="111" spans="1:22" s="44" customFormat="1" ht="12.75" customHeight="1">
      <c r="A111" s="44" t="s">
        <v>136</v>
      </c>
      <c r="C111" s="44" t="s">
        <v>136</v>
      </c>
      <c r="D111" s="35"/>
      <c r="E111" s="45">
        <v>635557</v>
      </c>
      <c r="F111" s="45"/>
      <c r="G111" s="45">
        <v>2127378</v>
      </c>
      <c r="H111" s="45"/>
      <c r="I111" s="45">
        <v>447229</v>
      </c>
      <c r="J111" s="45"/>
      <c r="K111" s="45">
        <v>594488</v>
      </c>
      <c r="L111" s="45"/>
      <c r="M111" s="45">
        <v>37413</v>
      </c>
      <c r="N111" s="45"/>
      <c r="O111" s="45">
        <v>0</v>
      </c>
      <c r="P111" s="45"/>
      <c r="Q111" s="45">
        <v>1495477</v>
      </c>
      <c r="R111" s="45"/>
      <c r="S111" s="45">
        <f t="shared" si="11"/>
        <v>1532890</v>
      </c>
      <c r="T111" s="45"/>
      <c r="U111" s="44">
        <f t="shared" si="12"/>
        <v>0</v>
      </c>
      <c r="V111" s="44">
        <f t="shared" si="13"/>
        <v>0</v>
      </c>
    </row>
    <row r="112" spans="1:22" s="44" customFormat="1" ht="12.75" customHeight="1">
      <c r="A112" s="44" t="s">
        <v>137</v>
      </c>
      <c r="C112" s="44" t="s">
        <v>22</v>
      </c>
      <c r="D112" s="35"/>
      <c r="E112" s="45">
        <v>7199243</v>
      </c>
      <c r="F112" s="45"/>
      <c r="G112" s="45">
        <v>12037723</v>
      </c>
      <c r="H112" s="45"/>
      <c r="I112" s="45">
        <v>2122048</v>
      </c>
      <c r="J112" s="45"/>
      <c r="K112" s="45">
        <v>2605440</v>
      </c>
      <c r="L112" s="45"/>
      <c r="M112" s="45">
        <f>362844+20932+55360+1200717</f>
        <v>1639853</v>
      </c>
      <c r="N112" s="45"/>
      <c r="O112" s="45">
        <v>0</v>
      </c>
      <c r="P112" s="45"/>
      <c r="Q112" s="45">
        <v>7792430</v>
      </c>
      <c r="R112" s="45"/>
      <c r="S112" s="45">
        <f t="shared" si="11"/>
        <v>9432283</v>
      </c>
      <c r="T112" s="45"/>
      <c r="U112" s="44">
        <f t="shared" si="12"/>
        <v>0</v>
      </c>
      <c r="V112" s="44">
        <f t="shared" si="13"/>
        <v>0</v>
      </c>
    </row>
    <row r="113" spans="1:22" s="121" customFormat="1" ht="12.75" hidden="1" customHeight="1">
      <c r="A113" s="121" t="s">
        <v>138</v>
      </c>
      <c r="B113" s="124"/>
      <c r="C113" s="121" t="s">
        <v>139</v>
      </c>
      <c r="D113" s="126"/>
      <c r="E113" s="45">
        <v>0</v>
      </c>
      <c r="F113" s="45"/>
      <c r="G113" s="45">
        <v>0</v>
      </c>
      <c r="H113" s="45"/>
      <c r="I113" s="45">
        <v>0</v>
      </c>
      <c r="J113" s="45"/>
      <c r="K113" s="45">
        <v>0</v>
      </c>
      <c r="L113" s="45"/>
      <c r="M113" s="45">
        <v>0</v>
      </c>
      <c r="N113" s="45"/>
      <c r="O113" s="45">
        <v>0</v>
      </c>
      <c r="P113" s="45"/>
      <c r="Q113" s="45">
        <v>0</v>
      </c>
      <c r="R113" s="127"/>
      <c r="S113" s="127">
        <f t="shared" si="11"/>
        <v>0</v>
      </c>
      <c r="T113" s="127"/>
      <c r="U113" s="121">
        <f t="shared" si="12"/>
        <v>0</v>
      </c>
      <c r="V113" s="121">
        <f t="shared" si="13"/>
        <v>0</v>
      </c>
    </row>
    <row r="114" spans="1:22" s="44" customFormat="1" ht="12.75" customHeight="1">
      <c r="A114" s="44" t="s">
        <v>140</v>
      </c>
      <c r="B114" s="51"/>
      <c r="C114" s="44" t="s">
        <v>66</v>
      </c>
      <c r="D114" s="35"/>
      <c r="E114" s="45">
        <v>39260050</v>
      </c>
      <c r="F114" s="45"/>
      <c r="G114" s="45">
        <v>54874745</v>
      </c>
      <c r="H114" s="45"/>
      <c r="I114" s="45">
        <v>12069716</v>
      </c>
      <c r="J114" s="45"/>
      <c r="K114" s="45">
        <v>14417499</v>
      </c>
      <c r="L114" s="45"/>
      <c r="M114" s="45">
        <f>20601+52791+461386+6783+159000+171957</f>
        <v>872518</v>
      </c>
      <c r="N114" s="45"/>
      <c r="O114" s="45">
        <v>237019</v>
      </c>
      <c r="P114" s="45"/>
      <c r="Q114" s="45">
        <v>39347709</v>
      </c>
      <c r="R114" s="45"/>
      <c r="S114" s="45">
        <f t="shared" si="11"/>
        <v>40457246</v>
      </c>
      <c r="T114" s="45"/>
      <c r="U114" s="44">
        <f t="shared" si="12"/>
        <v>0</v>
      </c>
      <c r="V114" s="44">
        <f t="shared" si="13"/>
        <v>0</v>
      </c>
    </row>
    <row r="115" spans="1:22" s="44" customFormat="1" ht="12.75" customHeight="1">
      <c r="A115" s="44" t="s">
        <v>478</v>
      </c>
      <c r="B115" s="51"/>
      <c r="C115" s="44" t="s">
        <v>92</v>
      </c>
      <c r="D115" s="35"/>
      <c r="E115" s="45">
        <v>414214</v>
      </c>
      <c r="F115" s="45"/>
      <c r="G115" s="45">
        <v>2221778</v>
      </c>
      <c r="H115" s="45"/>
      <c r="I115" s="45">
        <v>1270349</v>
      </c>
      <c r="J115" s="45"/>
      <c r="K115" s="45">
        <v>1857521</v>
      </c>
      <c r="L115" s="45"/>
      <c r="M115" s="45">
        <v>3690</v>
      </c>
      <c r="N115" s="45"/>
      <c r="O115" s="45">
        <v>0</v>
      </c>
      <c r="P115" s="45"/>
      <c r="Q115" s="45">
        <v>360567</v>
      </c>
      <c r="R115" s="45"/>
      <c r="S115" s="45">
        <f t="shared" si="11"/>
        <v>364257</v>
      </c>
      <c r="T115" s="45"/>
      <c r="U115" s="44">
        <f t="shared" si="12"/>
        <v>0</v>
      </c>
      <c r="V115" s="44">
        <f t="shared" si="13"/>
        <v>0</v>
      </c>
    </row>
    <row r="116" spans="1:22" s="46" customFormat="1" ht="12.75" customHeight="1">
      <c r="A116" s="44" t="s">
        <v>141</v>
      </c>
      <c r="B116" s="44"/>
      <c r="C116" s="44" t="s">
        <v>27</v>
      </c>
      <c r="D116" s="35"/>
      <c r="E116" s="45">
        <f>2159158+215637+57881</f>
        <v>2432676</v>
      </c>
      <c r="F116" s="45"/>
      <c r="G116" s="45">
        <v>21512894</v>
      </c>
      <c r="H116" s="45"/>
      <c r="I116" s="45">
        <v>14718456</v>
      </c>
      <c r="J116" s="45"/>
      <c r="K116" s="45">
        <v>16713130</v>
      </c>
      <c r="L116" s="45"/>
      <c r="M116" s="45">
        <v>1156884</v>
      </c>
      <c r="N116" s="45"/>
      <c r="O116" s="45">
        <v>0</v>
      </c>
      <c r="P116" s="45"/>
      <c r="Q116" s="45">
        <v>3642880</v>
      </c>
      <c r="R116" s="45"/>
      <c r="S116" s="45">
        <f t="shared" si="11"/>
        <v>4799764</v>
      </c>
      <c r="T116" s="45"/>
      <c r="U116" s="44">
        <f t="shared" si="12"/>
        <v>0</v>
      </c>
      <c r="V116" s="44">
        <f t="shared" si="13"/>
        <v>0</v>
      </c>
    </row>
    <row r="117" spans="1:22" s="44" customFormat="1" ht="12.75" customHeight="1">
      <c r="A117" s="44" t="s">
        <v>142</v>
      </c>
      <c r="B117" s="51"/>
      <c r="C117" s="44" t="s">
        <v>102</v>
      </c>
      <c r="D117" s="35"/>
      <c r="E117" s="45">
        <f>521300+180127+62293</f>
        <v>763720</v>
      </c>
      <c r="F117" s="45"/>
      <c r="G117" s="45">
        <v>9761736</v>
      </c>
      <c r="H117" s="45"/>
      <c r="I117" s="45">
        <v>4925173</v>
      </c>
      <c r="J117" s="45"/>
      <c r="K117" s="45">
        <v>6622375</v>
      </c>
      <c r="L117" s="45"/>
      <c r="M117" s="45">
        <f>105283+39879+164525</f>
        <v>309687</v>
      </c>
      <c r="N117" s="45"/>
      <c r="O117" s="45">
        <v>0</v>
      </c>
      <c r="P117" s="45"/>
      <c r="Q117" s="45">
        <v>2829674</v>
      </c>
      <c r="R117" s="45"/>
      <c r="S117" s="45">
        <f>+Q117+O117+M117</f>
        <v>3139361</v>
      </c>
      <c r="T117" s="45"/>
      <c r="U117" s="44">
        <f t="shared" si="12"/>
        <v>0</v>
      </c>
      <c r="V117" s="44">
        <f t="shared" si="13"/>
        <v>0</v>
      </c>
    </row>
    <row r="118" spans="1:22" s="44" customFormat="1" ht="12.75" customHeight="1">
      <c r="A118" s="44" t="s">
        <v>143</v>
      </c>
      <c r="B118" s="51"/>
      <c r="C118" s="44" t="s">
        <v>111</v>
      </c>
      <c r="D118" s="35"/>
      <c r="E118" s="45">
        <v>3845277</v>
      </c>
      <c r="F118" s="45"/>
      <c r="G118" s="45">
        <v>8131367</v>
      </c>
      <c r="H118" s="45"/>
      <c r="I118" s="45">
        <v>2542143</v>
      </c>
      <c r="J118" s="45"/>
      <c r="K118" s="45">
        <v>3131249</v>
      </c>
      <c r="L118" s="45"/>
      <c r="M118" s="45">
        <f>1184302+15190</f>
        <v>1199492</v>
      </c>
      <c r="N118" s="45"/>
      <c r="O118" s="45">
        <v>0</v>
      </c>
      <c r="P118" s="45"/>
      <c r="Q118" s="45">
        <v>3800626</v>
      </c>
      <c r="R118" s="45"/>
      <c r="S118" s="45">
        <f>+Q118+O118+M118</f>
        <v>5000118</v>
      </c>
      <c r="T118" s="45"/>
      <c r="U118" s="44">
        <f t="shared" si="12"/>
        <v>0</v>
      </c>
      <c r="V118" s="44">
        <f t="shared" si="13"/>
        <v>0</v>
      </c>
    </row>
    <row r="119" spans="1:22" s="44" customFormat="1" ht="12.75" customHeight="1">
      <c r="A119" s="44" t="s">
        <v>144</v>
      </c>
      <c r="B119" s="51"/>
      <c r="C119" s="44" t="s">
        <v>88</v>
      </c>
      <c r="D119" s="35"/>
      <c r="E119" s="45">
        <v>3639105</v>
      </c>
      <c r="F119" s="45"/>
      <c r="G119" s="45">
        <v>11012196</v>
      </c>
      <c r="H119" s="45"/>
      <c r="I119" s="45">
        <v>4005483</v>
      </c>
      <c r="J119" s="45"/>
      <c r="K119" s="45">
        <v>5431962</v>
      </c>
      <c r="L119" s="45"/>
      <c r="M119" s="45">
        <f>336836+36248</f>
        <v>373084</v>
      </c>
      <c r="N119" s="45"/>
      <c r="O119" s="45">
        <v>0</v>
      </c>
      <c r="P119" s="45"/>
      <c r="Q119" s="45">
        <v>5207150</v>
      </c>
      <c r="R119" s="45"/>
      <c r="S119" s="45">
        <f t="shared" si="11"/>
        <v>5580234</v>
      </c>
      <c r="T119" s="45"/>
      <c r="U119" s="44">
        <f t="shared" si="12"/>
        <v>0</v>
      </c>
      <c r="V119" s="44">
        <f t="shared" si="13"/>
        <v>0</v>
      </c>
    </row>
    <row r="120" spans="1:22" s="44" customFormat="1" ht="12.75" customHeight="1">
      <c r="A120" s="44" t="s">
        <v>36</v>
      </c>
      <c r="B120" s="51"/>
      <c r="C120" s="44" t="s">
        <v>145</v>
      </c>
      <c r="D120" s="35"/>
      <c r="E120" s="45">
        <v>1066818</v>
      </c>
      <c r="F120" s="45"/>
      <c r="G120" s="45">
        <v>2035223</v>
      </c>
      <c r="H120" s="45"/>
      <c r="I120" s="45">
        <v>527739</v>
      </c>
      <c r="J120" s="45"/>
      <c r="K120" s="45">
        <v>813792</v>
      </c>
      <c r="L120" s="45"/>
      <c r="M120" s="45">
        <v>104469</v>
      </c>
      <c r="N120" s="45"/>
      <c r="O120" s="45">
        <v>0</v>
      </c>
      <c r="P120" s="45"/>
      <c r="Q120" s="45">
        <v>1116962</v>
      </c>
      <c r="R120" s="45"/>
      <c r="S120" s="45">
        <f t="shared" si="11"/>
        <v>1221431</v>
      </c>
      <c r="T120" s="45"/>
      <c r="U120" s="44">
        <f t="shared" si="12"/>
        <v>0</v>
      </c>
      <c r="V120" s="44">
        <f t="shared" si="13"/>
        <v>0</v>
      </c>
    </row>
    <row r="121" spans="1:22" s="44" customFormat="1" ht="12.75" customHeight="1">
      <c r="A121" s="44" t="s">
        <v>146</v>
      </c>
      <c r="B121" s="51"/>
      <c r="C121" s="44" t="s">
        <v>147</v>
      </c>
      <c r="D121" s="35"/>
      <c r="E121" s="45">
        <v>1217353</v>
      </c>
      <c r="F121" s="45"/>
      <c r="G121" s="45">
        <v>2888954</v>
      </c>
      <c r="H121" s="45"/>
      <c r="I121" s="45">
        <v>1398232</v>
      </c>
      <c r="J121" s="45"/>
      <c r="K121" s="45">
        <v>1700003</v>
      </c>
      <c r="L121" s="45"/>
      <c r="M121" s="45">
        <f>25222+1020+22063</f>
        <v>48305</v>
      </c>
      <c r="N121" s="45"/>
      <c r="O121" s="45">
        <v>0</v>
      </c>
      <c r="P121" s="45"/>
      <c r="Q121" s="45">
        <v>1140646</v>
      </c>
      <c r="R121" s="45"/>
      <c r="S121" s="45">
        <f t="shared" si="11"/>
        <v>1188951</v>
      </c>
      <c r="T121" s="45"/>
      <c r="U121" s="44">
        <f t="shared" si="12"/>
        <v>0</v>
      </c>
      <c r="V121" s="44">
        <f t="shared" si="13"/>
        <v>0</v>
      </c>
    </row>
    <row r="122" spans="1:22" s="44" customFormat="1" ht="12.75" customHeight="1">
      <c r="A122" s="44" t="s">
        <v>17</v>
      </c>
      <c r="B122" s="51"/>
      <c r="C122" s="44" t="s">
        <v>17</v>
      </c>
      <c r="D122" s="35"/>
      <c r="E122" s="45">
        <v>54987</v>
      </c>
      <c r="F122" s="45"/>
      <c r="G122" s="45">
        <v>7755500</v>
      </c>
      <c r="H122" s="45"/>
      <c r="I122" s="45">
        <v>4726067</v>
      </c>
      <c r="J122" s="45"/>
      <c r="K122" s="45">
        <v>8989275</v>
      </c>
      <c r="L122" s="45"/>
      <c r="M122" s="45">
        <v>164743</v>
      </c>
      <c r="N122" s="45"/>
      <c r="O122" s="45">
        <v>0</v>
      </c>
      <c r="P122" s="45"/>
      <c r="Q122" s="45">
        <v>-1398518</v>
      </c>
      <c r="R122" s="45"/>
      <c r="S122" s="45">
        <f t="shared" si="11"/>
        <v>-1233775</v>
      </c>
      <c r="T122" s="45"/>
      <c r="U122" s="44">
        <f t="shared" si="12"/>
        <v>0</v>
      </c>
      <c r="V122" s="44">
        <f t="shared" si="13"/>
        <v>0</v>
      </c>
    </row>
    <row r="123" spans="1:22" s="46" customFormat="1" ht="12.75" customHeight="1">
      <c r="A123" s="46" t="s">
        <v>148</v>
      </c>
      <c r="C123" s="46" t="s">
        <v>15</v>
      </c>
      <c r="D123" s="64"/>
      <c r="E123" s="45">
        <v>1277158</v>
      </c>
      <c r="F123" s="45"/>
      <c r="G123" s="45">
        <v>2745633</v>
      </c>
      <c r="H123" s="45"/>
      <c r="I123" s="45">
        <v>879041</v>
      </c>
      <c r="J123" s="45"/>
      <c r="K123" s="45">
        <v>1132094</v>
      </c>
      <c r="L123" s="45"/>
      <c r="M123" s="45">
        <f>43378+2854</f>
        <v>46232</v>
      </c>
      <c r="N123" s="45"/>
      <c r="O123" s="45">
        <v>0</v>
      </c>
      <c r="P123" s="45"/>
      <c r="Q123" s="45">
        <v>1567307</v>
      </c>
      <c r="R123" s="45"/>
      <c r="S123" s="45">
        <f t="shared" si="11"/>
        <v>1613539</v>
      </c>
      <c r="T123" s="45"/>
      <c r="U123" s="44">
        <f t="shared" si="12"/>
        <v>0</v>
      </c>
      <c r="V123" s="44">
        <f t="shared" si="13"/>
        <v>0</v>
      </c>
    </row>
    <row r="124" spans="1:22" s="44" customFormat="1" ht="12.75" customHeight="1">
      <c r="A124" s="44" t="s">
        <v>149</v>
      </c>
      <c r="B124" s="51"/>
      <c r="C124" s="44" t="s">
        <v>45</v>
      </c>
      <c r="D124" s="35"/>
      <c r="E124" s="45">
        <f>339201+1598481</f>
        <v>1937682</v>
      </c>
      <c r="F124" s="45"/>
      <c r="G124" s="45">
        <v>3485898</v>
      </c>
      <c r="H124" s="45"/>
      <c r="I124" s="45">
        <v>1207012</v>
      </c>
      <c r="J124" s="45"/>
      <c r="K124" s="45">
        <v>1459410</v>
      </c>
      <c r="L124" s="45"/>
      <c r="M124" s="45">
        <f>23962+543</f>
        <v>24505</v>
      </c>
      <c r="N124" s="45"/>
      <c r="O124" s="45">
        <v>0</v>
      </c>
      <c r="P124" s="45"/>
      <c r="Q124" s="45">
        <v>2001983</v>
      </c>
      <c r="R124" s="45"/>
      <c r="S124" s="45">
        <f t="shared" si="11"/>
        <v>2026488</v>
      </c>
      <c r="T124" s="45"/>
      <c r="U124" s="44">
        <f t="shared" si="12"/>
        <v>0</v>
      </c>
      <c r="V124" s="44">
        <f t="shared" si="13"/>
        <v>0</v>
      </c>
    </row>
    <row r="125" spans="1:22" s="46" customFormat="1" ht="12.75" customHeight="1">
      <c r="A125" s="44" t="s">
        <v>150</v>
      </c>
      <c r="B125" s="51"/>
      <c r="C125" s="44" t="s">
        <v>27</v>
      </c>
      <c r="D125" s="35"/>
      <c r="E125" s="45">
        <f>2276775+449481</f>
        <v>2726256</v>
      </c>
      <c r="F125" s="45"/>
      <c r="G125" s="45">
        <v>10063784</v>
      </c>
      <c r="H125" s="45"/>
      <c r="I125" s="45">
        <v>5457604</v>
      </c>
      <c r="J125" s="45"/>
      <c r="K125" s="45">
        <v>6039632</v>
      </c>
      <c r="L125" s="45"/>
      <c r="M125" s="45">
        <f>119319+108467+46953</f>
        <v>274739</v>
      </c>
      <c r="N125" s="45"/>
      <c r="O125" s="45">
        <v>0</v>
      </c>
      <c r="P125" s="45"/>
      <c r="Q125" s="45">
        <v>3749413</v>
      </c>
      <c r="R125" s="45"/>
      <c r="S125" s="45">
        <f t="shared" si="11"/>
        <v>4024152</v>
      </c>
      <c r="T125" s="45"/>
      <c r="U125" s="44">
        <f t="shared" si="12"/>
        <v>0</v>
      </c>
      <c r="V125" s="44">
        <f t="shared" si="13"/>
        <v>0</v>
      </c>
    </row>
    <row r="126" spans="1:22" s="44" customFormat="1" ht="12.75" customHeight="1">
      <c r="A126" s="44" t="s">
        <v>151</v>
      </c>
      <c r="C126" s="44" t="s">
        <v>13</v>
      </c>
      <c r="D126" s="35"/>
      <c r="E126" s="45">
        <v>1007604</v>
      </c>
      <c r="F126" s="45"/>
      <c r="G126" s="45">
        <v>5042454</v>
      </c>
      <c r="H126" s="45"/>
      <c r="I126" s="45">
        <v>1676905</v>
      </c>
      <c r="J126" s="45"/>
      <c r="K126" s="45">
        <v>3612187</v>
      </c>
      <c r="L126" s="45"/>
      <c r="M126" s="45">
        <f>96673+2000+25019</f>
        <v>123692</v>
      </c>
      <c r="N126" s="45"/>
      <c r="O126" s="45">
        <v>539000</v>
      </c>
      <c r="P126" s="45"/>
      <c r="Q126" s="45">
        <v>767575</v>
      </c>
      <c r="R126" s="45"/>
      <c r="S126" s="45">
        <f t="shared" si="11"/>
        <v>1430267</v>
      </c>
      <c r="T126" s="45"/>
      <c r="U126" s="44">
        <f t="shared" si="12"/>
        <v>0</v>
      </c>
      <c r="V126" s="44">
        <f t="shared" si="13"/>
        <v>0</v>
      </c>
    </row>
    <row r="127" spans="1:22" s="44" customFormat="1" ht="12.75" customHeight="1">
      <c r="A127" s="44" t="s">
        <v>481</v>
      </c>
      <c r="C127" s="44" t="s">
        <v>45</v>
      </c>
      <c r="D127" s="35"/>
      <c r="E127" s="45">
        <f>576484+596946</f>
        <v>1173430</v>
      </c>
      <c r="F127" s="45"/>
      <c r="G127" s="45">
        <v>4769063</v>
      </c>
      <c r="H127" s="45"/>
      <c r="I127" s="45">
        <v>2895618</v>
      </c>
      <c r="J127" s="45"/>
      <c r="K127" s="45">
        <v>3072313</v>
      </c>
      <c r="L127" s="45"/>
      <c r="M127" s="45">
        <v>0</v>
      </c>
      <c r="N127" s="45"/>
      <c r="O127" s="45">
        <v>0</v>
      </c>
      <c r="P127" s="45"/>
      <c r="Q127" s="45">
        <v>1696750</v>
      </c>
      <c r="R127" s="45"/>
      <c r="S127" s="45">
        <f t="shared" si="11"/>
        <v>1696750</v>
      </c>
      <c r="T127" s="45"/>
      <c r="U127" s="44">
        <f t="shared" si="12"/>
        <v>0</v>
      </c>
      <c r="V127" s="44">
        <f t="shared" si="13"/>
        <v>0</v>
      </c>
    </row>
    <row r="128" spans="1:22" s="46" customFormat="1" ht="12.75" customHeight="1">
      <c r="A128" s="44" t="s">
        <v>152</v>
      </c>
      <c r="B128" s="51"/>
      <c r="C128" s="44" t="s">
        <v>153</v>
      </c>
      <c r="D128" s="35"/>
      <c r="E128" s="45">
        <v>-1978031</v>
      </c>
      <c r="F128" s="45"/>
      <c r="G128" s="45">
        <v>4681360</v>
      </c>
      <c r="H128" s="45"/>
      <c r="I128" s="45">
        <v>3270910</v>
      </c>
      <c r="J128" s="45"/>
      <c r="K128" s="45">
        <v>4475680</v>
      </c>
      <c r="L128" s="45"/>
      <c r="M128" s="45">
        <f>42430+43071+2199191+21864</f>
        <v>2306556</v>
      </c>
      <c r="N128" s="45"/>
      <c r="O128" s="45">
        <v>0</v>
      </c>
      <c r="P128" s="45"/>
      <c r="Q128" s="45">
        <v>-2100876</v>
      </c>
      <c r="R128" s="45"/>
      <c r="S128" s="45">
        <f t="shared" si="11"/>
        <v>205680</v>
      </c>
      <c r="T128" s="45"/>
      <c r="U128" s="44">
        <f t="shared" si="12"/>
        <v>0</v>
      </c>
      <c r="V128" s="44">
        <f t="shared" si="13"/>
        <v>0</v>
      </c>
    </row>
    <row r="129" spans="1:22" s="44" customFormat="1" ht="12.75" customHeight="1">
      <c r="A129" s="44" t="s">
        <v>154</v>
      </c>
      <c r="B129" s="51"/>
      <c r="C129" s="44" t="s">
        <v>27</v>
      </c>
      <c r="D129" s="35"/>
      <c r="E129" s="45">
        <v>1009012</v>
      </c>
      <c r="F129" s="45"/>
      <c r="G129" s="45">
        <v>5897770</v>
      </c>
      <c r="H129" s="45"/>
      <c r="I129" s="45">
        <v>4374328</v>
      </c>
      <c r="J129" s="45"/>
      <c r="K129" s="45">
        <v>5703593</v>
      </c>
      <c r="L129" s="45"/>
      <c r="M129" s="45">
        <v>156031</v>
      </c>
      <c r="N129" s="45"/>
      <c r="O129" s="45">
        <v>0</v>
      </c>
      <c r="P129" s="45"/>
      <c r="Q129" s="45">
        <v>38146</v>
      </c>
      <c r="R129" s="45"/>
      <c r="S129" s="45">
        <f t="shared" si="11"/>
        <v>194177</v>
      </c>
      <c r="T129" s="45"/>
      <c r="U129" s="44">
        <f t="shared" si="12"/>
        <v>0</v>
      </c>
      <c r="V129" s="44">
        <f t="shared" si="13"/>
        <v>0</v>
      </c>
    </row>
    <row r="130" spans="1:22" s="44" customFormat="1" ht="12.75" customHeight="1">
      <c r="A130" s="44" t="s">
        <v>155</v>
      </c>
      <c r="C130" s="44" t="s">
        <v>40</v>
      </c>
      <c r="D130" s="35"/>
      <c r="E130" s="45">
        <f>1602119+41081</f>
        <v>1643200</v>
      </c>
      <c r="F130" s="45"/>
      <c r="G130" s="45">
        <v>3655358</v>
      </c>
      <c r="H130" s="45"/>
      <c r="I130" s="45">
        <v>913051</v>
      </c>
      <c r="J130" s="45"/>
      <c r="K130" s="45">
        <v>1560405</v>
      </c>
      <c r="L130" s="45"/>
      <c r="M130" s="45">
        <f>57278+23389</f>
        <v>80667</v>
      </c>
      <c r="N130" s="45"/>
      <c r="O130" s="45">
        <v>0</v>
      </c>
      <c r="P130" s="45"/>
      <c r="Q130" s="45">
        <v>2014286</v>
      </c>
      <c r="R130" s="45"/>
      <c r="S130" s="45">
        <f t="shared" si="11"/>
        <v>2094953</v>
      </c>
      <c r="T130" s="45"/>
      <c r="U130" s="44">
        <f t="shared" si="12"/>
        <v>0</v>
      </c>
      <c r="V130" s="44">
        <f t="shared" si="13"/>
        <v>0</v>
      </c>
    </row>
    <row r="131" spans="1:22" s="44" customFormat="1" ht="12.75" customHeight="1">
      <c r="A131" s="44" t="s">
        <v>156</v>
      </c>
      <c r="B131" s="51"/>
      <c r="C131" s="44" t="s">
        <v>156</v>
      </c>
      <c r="D131" s="35"/>
      <c r="E131" s="45">
        <v>1403364</v>
      </c>
      <c r="F131" s="45"/>
      <c r="G131" s="45">
        <v>9309087</v>
      </c>
      <c r="H131" s="45"/>
      <c r="I131" s="45">
        <v>5409361</v>
      </c>
      <c r="J131" s="45"/>
      <c r="K131" s="45">
        <v>6968487</v>
      </c>
      <c r="L131" s="45"/>
      <c r="M131" s="45">
        <f>135799+345000</f>
        <v>480799</v>
      </c>
      <c r="N131" s="45"/>
      <c r="O131" s="45">
        <v>0</v>
      </c>
      <c r="P131" s="45"/>
      <c r="Q131" s="45">
        <v>1859801</v>
      </c>
      <c r="R131" s="45"/>
      <c r="S131" s="45">
        <f t="shared" si="11"/>
        <v>2340600</v>
      </c>
      <c r="T131" s="94"/>
      <c r="U131" s="46">
        <f t="shared" si="12"/>
        <v>0</v>
      </c>
      <c r="V131" s="46">
        <f t="shared" si="13"/>
        <v>0</v>
      </c>
    </row>
    <row r="132" spans="1:22" s="44" customFormat="1" ht="12.75" customHeight="1">
      <c r="A132" s="44" t="s">
        <v>157</v>
      </c>
      <c r="B132" s="51"/>
      <c r="C132" s="44" t="s">
        <v>33</v>
      </c>
      <c r="D132" s="35"/>
      <c r="E132" s="45">
        <v>99123</v>
      </c>
      <c r="F132" s="45"/>
      <c r="G132" s="45">
        <v>1107531</v>
      </c>
      <c r="H132" s="45"/>
      <c r="I132" s="45">
        <v>673462</v>
      </c>
      <c r="J132" s="45"/>
      <c r="K132" s="45">
        <v>796681</v>
      </c>
      <c r="L132" s="45"/>
      <c r="M132" s="45">
        <f>2781+36663</f>
        <v>39444</v>
      </c>
      <c r="N132" s="45"/>
      <c r="O132" s="45">
        <v>0</v>
      </c>
      <c r="P132" s="45"/>
      <c r="Q132" s="45">
        <v>271406</v>
      </c>
      <c r="R132" s="45"/>
      <c r="S132" s="45">
        <f t="shared" si="11"/>
        <v>310850</v>
      </c>
      <c r="T132" s="45"/>
      <c r="U132" s="44">
        <f t="shared" si="12"/>
        <v>0</v>
      </c>
      <c r="V132" s="44">
        <f t="shared" si="13"/>
        <v>0</v>
      </c>
    </row>
    <row r="133" spans="1:22" s="44" customFormat="1" ht="12.75" customHeight="1">
      <c r="A133" s="44" t="s">
        <v>158</v>
      </c>
      <c r="B133" s="65"/>
      <c r="C133" s="44" t="s">
        <v>159</v>
      </c>
      <c r="D133" s="35"/>
      <c r="E133" s="45">
        <v>3627564</v>
      </c>
      <c r="F133" s="45"/>
      <c r="G133" s="45">
        <v>7285406</v>
      </c>
      <c r="H133" s="45"/>
      <c r="I133" s="45">
        <v>2164887</v>
      </c>
      <c r="J133" s="45"/>
      <c r="K133" s="45">
        <v>2748361</v>
      </c>
      <c r="L133" s="45"/>
      <c r="M133" s="45">
        <v>172544</v>
      </c>
      <c r="N133" s="45"/>
      <c r="O133" s="45">
        <v>0</v>
      </c>
      <c r="P133" s="45"/>
      <c r="Q133" s="45">
        <v>4364501</v>
      </c>
      <c r="R133" s="45"/>
      <c r="S133" s="45">
        <f t="shared" si="11"/>
        <v>4537045</v>
      </c>
      <c r="T133" s="45"/>
      <c r="U133" s="44">
        <f t="shared" si="12"/>
        <v>0</v>
      </c>
      <c r="V133" s="44">
        <f t="shared" si="13"/>
        <v>0</v>
      </c>
    </row>
    <row r="134" spans="1:22" s="46" customFormat="1" ht="12.75" customHeight="1">
      <c r="A134" s="46" t="s">
        <v>160</v>
      </c>
      <c r="B134" s="66"/>
      <c r="C134" s="46" t="s">
        <v>111</v>
      </c>
      <c r="D134" s="64"/>
      <c r="E134" s="45">
        <v>18620442</v>
      </c>
      <c r="F134" s="45"/>
      <c r="G134" s="45">
        <v>28450117</v>
      </c>
      <c r="H134" s="45"/>
      <c r="I134" s="45">
        <v>4041930</v>
      </c>
      <c r="J134" s="45"/>
      <c r="K134" s="45">
        <v>9556832</v>
      </c>
      <c r="L134" s="45"/>
      <c r="M134" s="45">
        <f>7879951+363190</f>
        <v>8243141</v>
      </c>
      <c r="N134" s="45"/>
      <c r="O134" s="45">
        <v>0</v>
      </c>
      <c r="P134" s="45"/>
      <c r="Q134" s="45">
        <v>10650144</v>
      </c>
      <c r="R134" s="45"/>
      <c r="S134" s="45">
        <f t="shared" si="11"/>
        <v>18893285</v>
      </c>
      <c r="T134" s="45"/>
      <c r="U134" s="44">
        <f t="shared" si="12"/>
        <v>0</v>
      </c>
      <c r="V134" s="44">
        <f t="shared" si="13"/>
        <v>0</v>
      </c>
    </row>
    <row r="135" spans="1:22" s="44" customFormat="1" ht="12.75" customHeight="1">
      <c r="A135" s="44" t="s">
        <v>161</v>
      </c>
      <c r="C135" s="44" t="s">
        <v>15</v>
      </c>
      <c r="D135" s="35"/>
      <c r="E135" s="45">
        <f>373558+88973</f>
        <v>462531</v>
      </c>
      <c r="F135" s="45"/>
      <c r="G135" s="45">
        <v>4980498</v>
      </c>
      <c r="H135" s="45"/>
      <c r="I135" s="45">
        <v>2565770</v>
      </c>
      <c r="J135" s="45"/>
      <c r="K135" s="45">
        <v>4131494</v>
      </c>
      <c r="L135" s="45"/>
      <c r="M135" s="45">
        <f>134696+24814</f>
        <v>159510</v>
      </c>
      <c r="N135" s="45"/>
      <c r="O135" s="45">
        <v>0</v>
      </c>
      <c r="P135" s="45"/>
      <c r="Q135" s="45">
        <v>689494</v>
      </c>
      <c r="R135" s="45"/>
      <c r="S135" s="45">
        <f t="shared" si="11"/>
        <v>849004</v>
      </c>
      <c r="T135" s="45"/>
      <c r="U135" s="44">
        <f t="shared" si="12"/>
        <v>0</v>
      </c>
      <c r="V135" s="44">
        <f t="shared" si="13"/>
        <v>0</v>
      </c>
    </row>
    <row r="136" spans="1:22" s="44" customFormat="1" ht="12.75" customHeight="1">
      <c r="A136" s="44" t="s">
        <v>162</v>
      </c>
      <c r="B136" s="51"/>
      <c r="C136" s="44" t="s">
        <v>163</v>
      </c>
      <c r="D136" s="35"/>
      <c r="E136" s="45">
        <f>291353+677328</f>
        <v>968681</v>
      </c>
      <c r="F136" s="45"/>
      <c r="G136" s="45">
        <v>3402803</v>
      </c>
      <c r="H136" s="45"/>
      <c r="I136" s="45">
        <v>1793147</v>
      </c>
      <c r="J136" s="45"/>
      <c r="K136" s="45">
        <v>2952501</v>
      </c>
      <c r="L136" s="45"/>
      <c r="M136" s="45">
        <f>401556+50457+47257</f>
        <v>499270</v>
      </c>
      <c r="N136" s="45"/>
      <c r="O136" s="45">
        <v>0</v>
      </c>
      <c r="P136" s="45"/>
      <c r="Q136" s="45">
        <v>-48968</v>
      </c>
      <c r="R136" s="45"/>
      <c r="S136" s="45">
        <f t="shared" si="11"/>
        <v>450302</v>
      </c>
      <c r="T136" s="45"/>
      <c r="U136" s="44">
        <f t="shared" si="12"/>
        <v>0</v>
      </c>
      <c r="V136" s="44">
        <f t="shared" si="13"/>
        <v>0</v>
      </c>
    </row>
    <row r="137" spans="1:22" s="44" customFormat="1" ht="12.75" customHeight="1">
      <c r="A137" s="44" t="s">
        <v>164</v>
      </c>
      <c r="B137" s="51"/>
      <c r="C137" s="44" t="s">
        <v>27</v>
      </c>
      <c r="D137" s="35"/>
      <c r="E137" s="45">
        <f>42747+7662852</f>
        <v>7705599</v>
      </c>
      <c r="F137" s="45"/>
      <c r="G137" s="45">
        <v>15047818</v>
      </c>
      <c r="H137" s="45"/>
      <c r="I137" s="45">
        <v>5334753</v>
      </c>
      <c r="J137" s="45"/>
      <c r="K137" s="45">
        <v>6239306</v>
      </c>
      <c r="L137" s="45"/>
      <c r="M137" s="45">
        <f>36971+38456+57754</f>
        <v>133181</v>
      </c>
      <c r="N137" s="45"/>
      <c r="O137" s="45">
        <v>0</v>
      </c>
      <c r="P137" s="45"/>
      <c r="Q137" s="45">
        <v>8675331</v>
      </c>
      <c r="R137" s="45"/>
      <c r="S137" s="45">
        <f t="shared" si="11"/>
        <v>8808512</v>
      </c>
      <c r="T137" s="45"/>
      <c r="U137" s="44">
        <f t="shared" si="12"/>
        <v>0</v>
      </c>
      <c r="V137" s="44">
        <f t="shared" si="13"/>
        <v>0</v>
      </c>
    </row>
    <row r="138" spans="1:22" s="44" customFormat="1" ht="12.75" customHeight="1">
      <c r="A138" s="44" t="s">
        <v>53</v>
      </c>
      <c r="B138" s="51"/>
      <c r="C138" s="44" t="s">
        <v>53</v>
      </c>
      <c r="D138" s="35"/>
      <c r="E138" s="45">
        <v>4358763</v>
      </c>
      <c r="F138" s="45"/>
      <c r="G138" s="45">
        <v>12755953</v>
      </c>
      <c r="H138" s="45"/>
      <c r="I138" s="45">
        <v>2849779</v>
      </c>
      <c r="J138" s="45"/>
      <c r="K138" s="45">
        <v>3129413</v>
      </c>
      <c r="L138" s="45"/>
      <c r="M138" s="45">
        <f>426802+1270</f>
        <v>428072</v>
      </c>
      <c r="N138" s="45"/>
      <c r="O138" s="45">
        <v>0</v>
      </c>
      <c r="P138" s="45"/>
      <c r="Q138" s="45">
        <v>9198468</v>
      </c>
      <c r="R138" s="45"/>
      <c r="S138" s="45">
        <f t="shared" si="11"/>
        <v>9626540</v>
      </c>
      <c r="T138" s="45"/>
      <c r="U138" s="44">
        <f t="shared" si="12"/>
        <v>0</v>
      </c>
      <c r="V138" s="44">
        <f t="shared" si="13"/>
        <v>0</v>
      </c>
    </row>
    <row r="139" spans="1:22" s="44" customFormat="1" ht="12.75" customHeight="1">
      <c r="A139" s="44" t="s">
        <v>165</v>
      </c>
      <c r="B139" s="51"/>
      <c r="C139" s="44" t="s">
        <v>92</v>
      </c>
      <c r="D139" s="35"/>
      <c r="E139" s="45">
        <v>14590651</v>
      </c>
      <c r="F139" s="45"/>
      <c r="G139" s="45">
        <v>27466397</v>
      </c>
      <c r="H139" s="45"/>
      <c r="I139" s="45">
        <v>4788455</v>
      </c>
      <c r="J139" s="45"/>
      <c r="K139" s="45">
        <v>7522133</v>
      </c>
      <c r="L139" s="45"/>
      <c r="M139" s="45">
        <f>666578+1496378</f>
        <v>2162956</v>
      </c>
      <c r="N139" s="45"/>
      <c r="O139" s="45">
        <v>0</v>
      </c>
      <c r="P139" s="45"/>
      <c r="Q139" s="45">
        <v>17781308</v>
      </c>
      <c r="R139" s="45"/>
      <c r="S139" s="45">
        <f t="shared" si="11"/>
        <v>19944264</v>
      </c>
      <c r="T139" s="45"/>
      <c r="U139" s="44">
        <f t="shared" si="12"/>
        <v>0</v>
      </c>
      <c r="V139" s="44">
        <f t="shared" si="13"/>
        <v>0</v>
      </c>
    </row>
    <row r="140" spans="1:22" s="44" customFormat="1" ht="12.75" customHeight="1">
      <c r="A140" s="44" t="s">
        <v>166</v>
      </c>
      <c r="B140" s="51"/>
      <c r="C140" s="44" t="s">
        <v>92</v>
      </c>
      <c r="D140" s="35"/>
      <c r="E140" s="45">
        <v>388003</v>
      </c>
      <c r="F140" s="45"/>
      <c r="G140" s="45">
        <v>1239011</v>
      </c>
      <c r="H140" s="45"/>
      <c r="I140" s="45">
        <v>393586</v>
      </c>
      <c r="J140" s="45"/>
      <c r="K140" s="45">
        <v>1099758</v>
      </c>
      <c r="L140" s="45"/>
      <c r="M140" s="45">
        <v>11005</v>
      </c>
      <c r="N140" s="45"/>
      <c r="O140" s="45">
        <v>0</v>
      </c>
      <c r="P140" s="45"/>
      <c r="Q140" s="45">
        <v>128248</v>
      </c>
      <c r="R140" s="45"/>
      <c r="S140" s="45">
        <f t="shared" si="11"/>
        <v>139253</v>
      </c>
      <c r="T140" s="45"/>
      <c r="U140" s="44">
        <f t="shared" si="12"/>
        <v>0</v>
      </c>
      <c r="V140" s="44">
        <f>+G140-K140-S140</f>
        <v>0</v>
      </c>
    </row>
    <row r="141" spans="1:22" s="44" customFormat="1" ht="12.75" customHeight="1">
      <c r="A141" s="44" t="s">
        <v>167</v>
      </c>
      <c r="B141" s="51"/>
      <c r="C141" s="44" t="s">
        <v>66</v>
      </c>
      <c r="D141" s="35"/>
      <c r="E141" s="45">
        <v>2801367</v>
      </c>
      <c r="F141" s="45"/>
      <c r="G141" s="45">
        <v>7062161</v>
      </c>
      <c r="H141" s="45"/>
      <c r="I141" s="45">
        <v>2135526</v>
      </c>
      <c r="J141" s="45"/>
      <c r="K141" s="45">
        <v>2787803</v>
      </c>
      <c r="L141" s="45"/>
      <c r="M141" s="45">
        <f>693684+166798+1141527</f>
        <v>2002009</v>
      </c>
      <c r="N141" s="45"/>
      <c r="O141" s="45">
        <v>93914</v>
      </c>
      <c r="P141" s="45"/>
      <c r="Q141" s="45">
        <v>2178435</v>
      </c>
      <c r="R141" s="45"/>
      <c r="S141" s="45">
        <f t="shared" si="11"/>
        <v>4274358</v>
      </c>
      <c r="T141" s="45"/>
      <c r="U141" s="44">
        <f t="shared" si="12"/>
        <v>0</v>
      </c>
      <c r="V141" s="44">
        <f t="shared" si="13"/>
        <v>0</v>
      </c>
    </row>
    <row r="142" spans="1:22" s="44" customFormat="1" ht="12.75" customHeight="1">
      <c r="A142" s="44" t="s">
        <v>168</v>
      </c>
      <c r="B142" s="51"/>
      <c r="C142" s="44" t="s">
        <v>27</v>
      </c>
      <c r="D142" s="35"/>
      <c r="E142" s="45">
        <v>3910539</v>
      </c>
      <c r="F142" s="45"/>
      <c r="G142" s="45">
        <v>8836781</v>
      </c>
      <c r="H142" s="45"/>
      <c r="I142" s="45">
        <v>2579556</v>
      </c>
      <c r="J142" s="45"/>
      <c r="K142" s="45">
        <v>3515020</v>
      </c>
      <c r="L142" s="45"/>
      <c r="M142" s="45">
        <f>271315+87076</f>
        <v>358391</v>
      </c>
      <c r="N142" s="45"/>
      <c r="O142" s="45">
        <v>0</v>
      </c>
      <c r="P142" s="45"/>
      <c r="Q142" s="45">
        <v>4963370</v>
      </c>
      <c r="R142" s="45"/>
      <c r="S142" s="45">
        <f t="shared" si="11"/>
        <v>5321761</v>
      </c>
      <c r="T142" s="45"/>
      <c r="U142" s="44">
        <f t="shared" si="12"/>
        <v>0</v>
      </c>
      <c r="V142" s="44">
        <f t="shared" si="13"/>
        <v>0</v>
      </c>
    </row>
    <row r="143" spans="1:22" s="44" customFormat="1" ht="12.75" customHeight="1">
      <c r="A143" s="44" t="s">
        <v>169</v>
      </c>
      <c r="B143" s="51"/>
      <c r="C143" s="44" t="s">
        <v>103</v>
      </c>
      <c r="D143" s="35"/>
      <c r="E143" s="45">
        <v>9093621</v>
      </c>
      <c r="F143" s="45"/>
      <c r="G143" s="45">
        <v>19940642</v>
      </c>
      <c r="H143" s="45"/>
      <c r="I143" s="45">
        <v>6955134</v>
      </c>
      <c r="J143" s="45"/>
      <c r="K143" s="45">
        <v>8637769</v>
      </c>
      <c r="L143" s="45"/>
      <c r="M143" s="45">
        <f>310060+15856</f>
        <v>325916</v>
      </c>
      <c r="N143" s="45"/>
      <c r="O143" s="45">
        <v>0</v>
      </c>
      <c r="P143" s="45"/>
      <c r="Q143" s="45">
        <v>10976957</v>
      </c>
      <c r="R143" s="45"/>
      <c r="S143" s="45">
        <f t="shared" si="11"/>
        <v>11302873</v>
      </c>
      <c r="T143" s="45"/>
      <c r="U143" s="44">
        <f t="shared" si="12"/>
        <v>0</v>
      </c>
      <c r="V143" s="44">
        <f t="shared" si="13"/>
        <v>0</v>
      </c>
    </row>
    <row r="144" spans="1:22" s="44" customFormat="1" ht="12.75" customHeight="1">
      <c r="A144" s="44" t="s">
        <v>170</v>
      </c>
      <c r="C144" s="44" t="s">
        <v>171</v>
      </c>
      <c r="D144" s="35"/>
      <c r="E144" s="45">
        <v>3319452</v>
      </c>
      <c r="F144" s="45"/>
      <c r="G144" s="45">
        <v>4909868</v>
      </c>
      <c r="H144" s="45"/>
      <c r="I144" s="45">
        <v>1384712</v>
      </c>
      <c r="J144" s="45"/>
      <c r="K144" s="45">
        <v>1607416</v>
      </c>
      <c r="L144" s="45"/>
      <c r="M144" s="45">
        <v>64509</v>
      </c>
      <c r="N144" s="45"/>
      <c r="O144" s="45">
        <v>0</v>
      </c>
      <c r="P144" s="45"/>
      <c r="Q144" s="45">
        <v>3237943</v>
      </c>
      <c r="R144" s="45"/>
      <c r="S144" s="45">
        <f t="shared" si="11"/>
        <v>3302452</v>
      </c>
      <c r="T144" s="45"/>
      <c r="U144" s="44">
        <f t="shared" si="12"/>
        <v>0</v>
      </c>
      <c r="V144" s="44">
        <f t="shared" si="13"/>
        <v>0</v>
      </c>
    </row>
    <row r="145" spans="1:22" s="44" customFormat="1" ht="12.75" customHeight="1">
      <c r="A145" s="44" t="s">
        <v>172</v>
      </c>
      <c r="B145" s="51"/>
      <c r="C145" s="44" t="s">
        <v>103</v>
      </c>
      <c r="D145" s="35"/>
      <c r="E145" s="45">
        <v>5642186</v>
      </c>
      <c r="F145" s="45"/>
      <c r="G145" s="45">
        <v>8317360</v>
      </c>
      <c r="H145" s="45"/>
      <c r="I145" s="45">
        <v>1903832</v>
      </c>
      <c r="J145" s="45"/>
      <c r="K145" s="45">
        <v>2157115</v>
      </c>
      <c r="L145" s="45"/>
      <c r="M145" s="45">
        <v>555843</v>
      </c>
      <c r="N145" s="45"/>
      <c r="O145" s="45">
        <v>0</v>
      </c>
      <c r="P145" s="45"/>
      <c r="Q145" s="45">
        <v>5604402</v>
      </c>
      <c r="R145" s="45"/>
      <c r="S145" s="45">
        <f t="shared" si="11"/>
        <v>6160245</v>
      </c>
      <c r="T145" s="45"/>
      <c r="U145" s="44">
        <f t="shared" si="12"/>
        <v>0</v>
      </c>
      <c r="V145" s="44">
        <f t="shared" si="13"/>
        <v>0</v>
      </c>
    </row>
    <row r="146" spans="1:22" s="44" customFormat="1" ht="12.75" customHeight="1">
      <c r="A146" s="44" t="s">
        <v>66</v>
      </c>
      <c r="B146" s="51"/>
      <c r="C146" s="44" t="s">
        <v>45</v>
      </c>
      <c r="D146" s="35"/>
      <c r="E146" s="45">
        <f>6242854+7334220</f>
        <v>13577074</v>
      </c>
      <c r="F146" s="45"/>
      <c r="G146" s="45">
        <v>16966649</v>
      </c>
      <c r="H146" s="45"/>
      <c r="I146" s="45">
        <v>2447611</v>
      </c>
      <c r="J146" s="45"/>
      <c r="K146" s="45">
        <v>2791587</v>
      </c>
      <c r="L146" s="45"/>
      <c r="M146" s="45">
        <f>386532+19431</f>
        <v>405963</v>
      </c>
      <c r="N146" s="45"/>
      <c r="O146" s="45">
        <v>0</v>
      </c>
      <c r="P146" s="45"/>
      <c r="Q146" s="45">
        <v>13769099</v>
      </c>
      <c r="R146" s="45"/>
      <c r="S146" s="45">
        <f t="shared" si="11"/>
        <v>14175062</v>
      </c>
      <c r="T146" s="45"/>
      <c r="U146" s="44">
        <f t="shared" si="12"/>
        <v>0</v>
      </c>
      <c r="V146" s="44">
        <f t="shared" si="13"/>
        <v>0</v>
      </c>
    </row>
    <row r="147" spans="1:22" s="44" customFormat="1" ht="12.75" customHeight="1">
      <c r="A147" s="44" t="s">
        <v>173</v>
      </c>
      <c r="B147" s="51"/>
      <c r="C147" s="44" t="s">
        <v>66</v>
      </c>
      <c r="D147" s="35"/>
      <c r="E147" s="45">
        <v>11165104</v>
      </c>
      <c r="F147" s="45"/>
      <c r="G147" s="45">
        <v>14521313</v>
      </c>
      <c r="H147" s="45"/>
      <c r="I147" s="45">
        <v>1131119</v>
      </c>
      <c r="J147" s="45"/>
      <c r="K147" s="45">
        <v>1740448</v>
      </c>
      <c r="L147" s="45"/>
      <c r="M147" s="45">
        <f>234455+143697+6837+845000</f>
        <v>1229989</v>
      </c>
      <c r="N147" s="45"/>
      <c r="O147" s="45">
        <v>0</v>
      </c>
      <c r="P147" s="45"/>
      <c r="Q147" s="45">
        <v>11550876</v>
      </c>
      <c r="R147" s="45"/>
      <c r="S147" s="45">
        <f t="shared" ref="S147:S214" si="14">+Q147+O147+M147</f>
        <v>12780865</v>
      </c>
      <c r="T147" s="45"/>
      <c r="U147" s="44">
        <f t="shared" ref="U147:U214" si="15">+G147-K147-S147</f>
        <v>0</v>
      </c>
      <c r="V147" s="44">
        <f t="shared" ref="V147:V213" si="16">+G147-K147-S147</f>
        <v>0</v>
      </c>
    </row>
    <row r="148" spans="1:22" s="44" customFormat="1" ht="12.75" customHeight="1">
      <c r="A148" s="44" t="s">
        <v>174</v>
      </c>
      <c r="C148" s="44" t="s">
        <v>45</v>
      </c>
      <c r="D148" s="35"/>
      <c r="E148" s="45">
        <v>233872</v>
      </c>
      <c r="F148" s="45"/>
      <c r="G148" s="45">
        <v>1398040</v>
      </c>
      <c r="H148" s="45"/>
      <c r="I148" s="45">
        <v>957149</v>
      </c>
      <c r="J148" s="45"/>
      <c r="K148" s="45">
        <v>1203833</v>
      </c>
      <c r="L148" s="45"/>
      <c r="M148" s="45">
        <v>0</v>
      </c>
      <c r="N148" s="45"/>
      <c r="O148" s="45">
        <v>0</v>
      </c>
      <c r="P148" s="45"/>
      <c r="Q148" s="45">
        <v>194207</v>
      </c>
      <c r="R148" s="45"/>
      <c r="S148" s="45">
        <f t="shared" si="14"/>
        <v>194207</v>
      </c>
      <c r="T148" s="45"/>
      <c r="U148" s="44">
        <f t="shared" si="15"/>
        <v>0</v>
      </c>
      <c r="V148" s="44">
        <f t="shared" si="16"/>
        <v>0</v>
      </c>
    </row>
    <row r="149" spans="1:22" s="44" customFormat="1" ht="12.75" customHeight="1">
      <c r="A149" s="44" t="s">
        <v>175</v>
      </c>
      <c r="B149" s="51"/>
      <c r="C149" s="44" t="s">
        <v>176</v>
      </c>
      <c r="D149" s="35"/>
      <c r="E149" s="45">
        <f>2574281+575856</f>
        <v>3150137</v>
      </c>
      <c r="F149" s="45"/>
      <c r="G149" s="45">
        <v>6819628</v>
      </c>
      <c r="H149" s="45"/>
      <c r="I149" s="45">
        <v>1600976</v>
      </c>
      <c r="J149" s="45"/>
      <c r="K149" s="45">
        <v>2161188</v>
      </c>
      <c r="L149" s="45"/>
      <c r="M149" s="45">
        <f>332750+108793+666</f>
        <v>442209</v>
      </c>
      <c r="N149" s="45"/>
      <c r="O149" s="45">
        <v>0</v>
      </c>
      <c r="P149" s="45"/>
      <c r="Q149" s="45">
        <v>4216231</v>
      </c>
      <c r="R149" s="45"/>
      <c r="S149" s="45">
        <f t="shared" si="14"/>
        <v>4658440</v>
      </c>
      <c r="T149" s="45"/>
      <c r="U149" s="44">
        <f t="shared" si="15"/>
        <v>0</v>
      </c>
      <c r="V149" s="44">
        <f t="shared" si="16"/>
        <v>0</v>
      </c>
    </row>
    <row r="150" spans="1:22" s="44" customFormat="1" ht="12.75" customHeight="1">
      <c r="A150" s="44" t="s">
        <v>177</v>
      </c>
      <c r="B150" s="51"/>
      <c r="C150" s="44" t="s">
        <v>13</v>
      </c>
      <c r="D150" s="35"/>
      <c r="E150" s="45">
        <v>1635098</v>
      </c>
      <c r="F150" s="45"/>
      <c r="G150" s="45">
        <v>2356551</v>
      </c>
      <c r="H150" s="45"/>
      <c r="I150" s="45">
        <v>471064</v>
      </c>
      <c r="J150" s="45"/>
      <c r="K150" s="45">
        <v>606172</v>
      </c>
      <c r="L150" s="45"/>
      <c r="M150" s="45">
        <v>85882</v>
      </c>
      <c r="N150" s="45"/>
      <c r="O150" s="45">
        <v>0</v>
      </c>
      <c r="P150" s="45"/>
      <c r="Q150" s="45">
        <v>1664497</v>
      </c>
      <c r="R150" s="45"/>
      <c r="S150" s="45">
        <f t="shared" si="14"/>
        <v>1750379</v>
      </c>
      <c r="T150" s="45"/>
      <c r="U150" s="44">
        <f t="shared" si="15"/>
        <v>0</v>
      </c>
      <c r="V150" s="44">
        <f t="shared" si="16"/>
        <v>0</v>
      </c>
    </row>
    <row r="151" spans="1:22" s="44" customFormat="1" ht="12.75" customHeight="1">
      <c r="A151" s="44" t="s">
        <v>178</v>
      </c>
      <c r="B151" s="51"/>
      <c r="C151" s="44" t="s">
        <v>179</v>
      </c>
      <c r="D151" s="35"/>
      <c r="E151" s="45">
        <v>1433735</v>
      </c>
      <c r="F151" s="45"/>
      <c r="G151" s="45">
        <v>2921646</v>
      </c>
      <c r="H151" s="45"/>
      <c r="I151" s="45">
        <v>596329</v>
      </c>
      <c r="J151" s="45"/>
      <c r="K151" s="45">
        <v>934647</v>
      </c>
      <c r="L151" s="45"/>
      <c r="M151" s="45">
        <f>34580+1789</f>
        <v>36369</v>
      </c>
      <c r="N151" s="45"/>
      <c r="O151" s="45">
        <v>0</v>
      </c>
      <c r="P151" s="45"/>
      <c r="Q151" s="45">
        <v>1950630</v>
      </c>
      <c r="R151" s="45"/>
      <c r="S151" s="45">
        <f t="shared" si="14"/>
        <v>1986999</v>
      </c>
      <c r="T151" s="45"/>
      <c r="U151" s="44">
        <f t="shared" si="15"/>
        <v>0</v>
      </c>
      <c r="V151" s="44">
        <f t="shared" si="16"/>
        <v>0</v>
      </c>
    </row>
    <row r="152" spans="1:22" s="44" customFormat="1" ht="12.75" customHeight="1">
      <c r="A152" s="44" t="s">
        <v>180</v>
      </c>
      <c r="B152" s="51"/>
      <c r="C152" s="44" t="s">
        <v>20</v>
      </c>
      <c r="D152" s="35"/>
      <c r="E152" s="45">
        <v>1837395</v>
      </c>
      <c r="F152" s="45"/>
      <c r="G152" s="45">
        <v>2501235</v>
      </c>
      <c r="H152" s="45"/>
      <c r="I152" s="45">
        <v>518476</v>
      </c>
      <c r="J152" s="45"/>
      <c r="K152" s="45">
        <v>640518</v>
      </c>
      <c r="L152" s="45"/>
      <c r="M152" s="45">
        <v>16528</v>
      </c>
      <c r="N152" s="45"/>
      <c r="O152" s="45">
        <v>0</v>
      </c>
      <c r="P152" s="45"/>
      <c r="Q152" s="45">
        <v>1844189</v>
      </c>
      <c r="R152" s="45"/>
      <c r="S152" s="45">
        <f t="shared" si="14"/>
        <v>1860717</v>
      </c>
      <c r="T152" s="45"/>
      <c r="U152" s="44">
        <f t="shared" si="15"/>
        <v>0</v>
      </c>
      <c r="V152" s="44">
        <f t="shared" si="16"/>
        <v>0</v>
      </c>
    </row>
    <row r="153" spans="1:22" s="44" customFormat="1" ht="12.75" customHeight="1">
      <c r="A153" s="44" t="s">
        <v>182</v>
      </c>
      <c r="B153" s="51"/>
      <c r="C153" s="44" t="s">
        <v>183</v>
      </c>
      <c r="D153" s="35"/>
      <c r="E153" s="45">
        <v>193757</v>
      </c>
      <c r="F153" s="45"/>
      <c r="G153" s="45">
        <v>1026964</v>
      </c>
      <c r="H153" s="45"/>
      <c r="I153" s="45">
        <v>311117</v>
      </c>
      <c r="J153" s="45"/>
      <c r="K153" s="45">
        <v>490595</v>
      </c>
      <c r="L153" s="45"/>
      <c r="M153" s="45">
        <f>128+38395</f>
        <v>38523</v>
      </c>
      <c r="N153" s="45"/>
      <c r="O153" s="45">
        <v>0</v>
      </c>
      <c r="P153" s="45"/>
      <c r="Q153" s="45">
        <v>497846</v>
      </c>
      <c r="R153" s="45"/>
      <c r="S153" s="45">
        <f t="shared" si="14"/>
        <v>536369</v>
      </c>
      <c r="T153" s="45"/>
      <c r="U153" s="44">
        <f t="shared" si="15"/>
        <v>0</v>
      </c>
      <c r="V153" s="44">
        <f t="shared" si="16"/>
        <v>0</v>
      </c>
    </row>
    <row r="154" spans="1:22" s="44" customFormat="1" ht="12.75" customHeight="1">
      <c r="A154" s="44" t="s">
        <v>487</v>
      </c>
      <c r="B154" s="51"/>
      <c r="C154" s="44" t="s">
        <v>13</v>
      </c>
      <c r="D154" s="35"/>
      <c r="E154" s="45">
        <v>1716031</v>
      </c>
      <c r="F154" s="45"/>
      <c r="G154" s="45">
        <v>2673192</v>
      </c>
      <c r="H154" s="45"/>
      <c r="I154" s="45">
        <v>506918</v>
      </c>
      <c r="J154" s="45"/>
      <c r="K154" s="45">
        <v>549810</v>
      </c>
      <c r="L154" s="45"/>
      <c r="M154" s="45">
        <v>202</v>
      </c>
      <c r="N154" s="45"/>
      <c r="O154" s="45">
        <v>0</v>
      </c>
      <c r="P154" s="45"/>
      <c r="Q154" s="45">
        <v>2123180</v>
      </c>
      <c r="R154" s="45"/>
      <c r="S154" s="45">
        <f>+Q154+O154+M154</f>
        <v>2123382</v>
      </c>
      <c r="T154" s="45"/>
      <c r="U154" s="44">
        <f>+G154-K154-S154</f>
        <v>0</v>
      </c>
      <c r="V154" s="44">
        <f>+G154-K154-S154</f>
        <v>0</v>
      </c>
    </row>
    <row r="155" spans="1:22" s="44" customFormat="1" ht="12.75" customHeight="1">
      <c r="A155" s="44" t="s">
        <v>184</v>
      </c>
      <c r="B155" s="51"/>
      <c r="C155" s="44" t="s">
        <v>89</v>
      </c>
      <c r="D155" s="35"/>
      <c r="E155" s="45">
        <v>2021335</v>
      </c>
      <c r="F155" s="45"/>
      <c r="G155" s="45">
        <v>4235875</v>
      </c>
      <c r="H155" s="45"/>
      <c r="I155" s="45">
        <v>1337296</v>
      </c>
      <c r="J155" s="45"/>
      <c r="K155" s="45">
        <v>1709050</v>
      </c>
      <c r="L155" s="45"/>
      <c r="M155" s="45">
        <f>391700+28546</f>
        <v>420246</v>
      </c>
      <c r="N155" s="45"/>
      <c r="O155" s="45">
        <v>0</v>
      </c>
      <c r="P155" s="45"/>
      <c r="Q155" s="45">
        <v>2106579</v>
      </c>
      <c r="R155" s="45"/>
      <c r="S155" s="45">
        <f t="shared" si="14"/>
        <v>2526825</v>
      </c>
      <c r="T155" s="45"/>
      <c r="U155" s="44">
        <f t="shared" si="15"/>
        <v>0</v>
      </c>
      <c r="V155" s="44">
        <f t="shared" si="16"/>
        <v>0</v>
      </c>
    </row>
    <row r="156" spans="1:22" s="44" customFormat="1" ht="12.75" customHeight="1">
      <c r="A156" s="44" t="s">
        <v>181</v>
      </c>
      <c r="B156" s="51"/>
      <c r="C156" s="44" t="s">
        <v>125</v>
      </c>
      <c r="D156" s="35"/>
      <c r="E156" s="45">
        <f>99438+2374014</f>
        <v>2473452</v>
      </c>
      <c r="F156" s="45"/>
      <c r="G156" s="45">
        <v>7532595</v>
      </c>
      <c r="H156" s="45"/>
      <c r="I156" s="45">
        <v>3292589</v>
      </c>
      <c r="J156" s="45"/>
      <c r="K156" s="45">
        <v>4549335</v>
      </c>
      <c r="L156" s="45"/>
      <c r="M156" s="45">
        <f>394178+94141+91774</f>
        <v>580093</v>
      </c>
      <c r="N156" s="45"/>
      <c r="O156" s="45">
        <v>0</v>
      </c>
      <c r="P156" s="45"/>
      <c r="Q156" s="45">
        <v>2403167</v>
      </c>
      <c r="R156" s="45"/>
      <c r="S156" s="45">
        <f t="shared" si="14"/>
        <v>2983260</v>
      </c>
      <c r="T156" s="45"/>
      <c r="U156" s="44">
        <f t="shared" si="15"/>
        <v>0</v>
      </c>
      <c r="V156" s="44">
        <f t="shared" si="16"/>
        <v>0</v>
      </c>
    </row>
    <row r="157" spans="1:22" s="44" customFormat="1" ht="12.75" customHeight="1">
      <c r="A157" s="44" t="s">
        <v>185</v>
      </c>
      <c r="C157" s="44" t="s">
        <v>80</v>
      </c>
      <c r="D157" s="35"/>
      <c r="E157" s="45">
        <v>9733872</v>
      </c>
      <c r="F157" s="45"/>
      <c r="G157" s="45">
        <v>15037417</v>
      </c>
      <c r="H157" s="45"/>
      <c r="I157" s="45">
        <v>1722133</v>
      </c>
      <c r="J157" s="45"/>
      <c r="K157" s="45">
        <v>2580264</v>
      </c>
      <c r="L157" s="45"/>
      <c r="M157" s="45">
        <f>43915+10027+799813+1500000</f>
        <v>2353755</v>
      </c>
      <c r="N157" s="45"/>
      <c r="O157" s="45">
        <v>0</v>
      </c>
      <c r="P157" s="45"/>
      <c r="Q157" s="45">
        <v>10103398</v>
      </c>
      <c r="R157" s="45"/>
      <c r="S157" s="45">
        <f t="shared" si="14"/>
        <v>12457153</v>
      </c>
      <c r="T157" s="45"/>
      <c r="U157" s="44">
        <f t="shared" si="15"/>
        <v>0</v>
      </c>
      <c r="V157" s="44">
        <f>+G157-K157-S157</f>
        <v>0</v>
      </c>
    </row>
    <row r="158" spans="1:22" s="44" customFormat="1" ht="12.75" customHeight="1">
      <c r="B158" s="51"/>
      <c r="D158" s="3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8" t="s">
        <v>484</v>
      </c>
      <c r="T158" s="45"/>
    </row>
    <row r="159" spans="1:22" s="44" customFormat="1" ht="12.75" customHeight="1">
      <c r="A159" s="44" t="s">
        <v>186</v>
      </c>
      <c r="B159" s="51"/>
      <c r="C159" s="44" t="s">
        <v>15</v>
      </c>
      <c r="D159" s="35"/>
      <c r="E159" s="94">
        <f>1276286+857000</f>
        <v>2133286</v>
      </c>
      <c r="F159" s="94"/>
      <c r="G159" s="94">
        <v>4353247</v>
      </c>
      <c r="H159" s="94"/>
      <c r="I159" s="94">
        <v>846939</v>
      </c>
      <c r="J159" s="94"/>
      <c r="K159" s="94">
        <v>2061206</v>
      </c>
      <c r="L159" s="94"/>
      <c r="M159" s="94">
        <f>82053+7150+19569</f>
        <v>108772</v>
      </c>
      <c r="N159" s="94"/>
      <c r="O159" s="94">
        <v>857000</v>
      </c>
      <c r="P159" s="94"/>
      <c r="Q159" s="94">
        <v>1326269</v>
      </c>
      <c r="R159" s="94"/>
      <c r="S159" s="94">
        <f t="shared" si="14"/>
        <v>2292041</v>
      </c>
      <c r="T159" s="45"/>
      <c r="U159" s="44">
        <f t="shared" si="15"/>
        <v>0</v>
      </c>
      <c r="V159" s="44">
        <f t="shared" si="16"/>
        <v>0</v>
      </c>
    </row>
    <row r="160" spans="1:22" s="44" customFormat="1" ht="12.75" customHeight="1">
      <c r="A160" s="44" t="s">
        <v>187</v>
      </c>
      <c r="C160" s="44" t="s">
        <v>27</v>
      </c>
      <c r="D160" s="35"/>
      <c r="E160" s="45">
        <v>1699860</v>
      </c>
      <c r="F160" s="45"/>
      <c r="G160" s="45">
        <v>11031634</v>
      </c>
      <c r="H160" s="45"/>
      <c r="I160" s="45">
        <v>6391025</v>
      </c>
      <c r="J160" s="45"/>
      <c r="K160" s="45">
        <v>7442874</v>
      </c>
      <c r="L160" s="45"/>
      <c r="M160" s="45">
        <v>399153</v>
      </c>
      <c r="N160" s="45"/>
      <c r="O160" s="45">
        <v>0</v>
      </c>
      <c r="P160" s="45"/>
      <c r="Q160" s="45">
        <v>3189607</v>
      </c>
      <c r="R160" s="45"/>
      <c r="S160" s="45">
        <f t="shared" si="14"/>
        <v>3588760</v>
      </c>
      <c r="T160" s="45"/>
      <c r="U160" s="44">
        <f t="shared" si="15"/>
        <v>0</v>
      </c>
      <c r="V160" s="44">
        <f t="shared" si="16"/>
        <v>0</v>
      </c>
    </row>
    <row r="161" spans="1:22" s="44" customFormat="1" ht="12.75" customHeight="1">
      <c r="A161" s="44" t="s">
        <v>189</v>
      </c>
      <c r="B161" s="51"/>
      <c r="C161" s="44" t="s">
        <v>17</v>
      </c>
      <c r="D161" s="35"/>
      <c r="E161" s="45">
        <v>2755363</v>
      </c>
      <c r="F161" s="45"/>
      <c r="G161" s="45">
        <v>4543029</v>
      </c>
      <c r="H161" s="45"/>
      <c r="I161" s="45">
        <v>1591594</v>
      </c>
      <c r="J161" s="45"/>
      <c r="K161" s="45">
        <v>2177657</v>
      </c>
      <c r="L161" s="45"/>
      <c r="M161" s="45">
        <f>68817+55400</f>
        <v>124217</v>
      </c>
      <c r="N161" s="45"/>
      <c r="O161" s="45">
        <v>0</v>
      </c>
      <c r="P161" s="45"/>
      <c r="Q161" s="45">
        <v>2241155</v>
      </c>
      <c r="R161" s="45"/>
      <c r="S161" s="45">
        <f t="shared" si="14"/>
        <v>2365372</v>
      </c>
      <c r="T161" s="45"/>
      <c r="U161" s="44">
        <f t="shared" si="15"/>
        <v>0</v>
      </c>
      <c r="V161" s="44">
        <f t="shared" si="16"/>
        <v>0</v>
      </c>
    </row>
    <row r="162" spans="1:22" s="44" customFormat="1" ht="12.75" customHeight="1">
      <c r="A162" s="44" t="s">
        <v>188</v>
      </c>
      <c r="B162" s="51"/>
      <c r="C162" s="44" t="s">
        <v>27</v>
      </c>
      <c r="D162" s="35"/>
      <c r="E162" s="45">
        <v>1183674</v>
      </c>
      <c r="F162" s="45"/>
      <c r="G162" s="45">
        <v>5496999</v>
      </c>
      <c r="H162" s="45"/>
      <c r="I162" s="45">
        <v>2453115</v>
      </c>
      <c r="J162" s="45"/>
      <c r="K162" s="45">
        <v>3100258</v>
      </c>
      <c r="L162" s="45"/>
      <c r="M162" s="45">
        <f>21057+101222+130071</f>
        <v>252350</v>
      </c>
      <c r="N162" s="45"/>
      <c r="O162" s="45">
        <v>0</v>
      </c>
      <c r="P162" s="45"/>
      <c r="Q162" s="45">
        <v>2144391</v>
      </c>
      <c r="R162" s="45"/>
      <c r="S162" s="45">
        <f t="shared" si="14"/>
        <v>2396741</v>
      </c>
      <c r="T162" s="45"/>
      <c r="U162" s="44">
        <f t="shared" si="15"/>
        <v>0</v>
      </c>
      <c r="V162" s="44">
        <f t="shared" si="16"/>
        <v>0</v>
      </c>
    </row>
    <row r="163" spans="1:22" s="44" customFormat="1" ht="12.75" customHeight="1">
      <c r="A163" s="44" t="s">
        <v>190</v>
      </c>
      <c r="B163" s="51"/>
      <c r="C163" s="44" t="s">
        <v>47</v>
      </c>
      <c r="D163" s="35"/>
      <c r="E163" s="45">
        <v>278077</v>
      </c>
      <c r="F163" s="45"/>
      <c r="G163" s="45">
        <v>1523013</v>
      </c>
      <c r="H163" s="45"/>
      <c r="I163" s="45">
        <v>776643</v>
      </c>
      <c r="J163" s="45"/>
      <c r="K163" s="45">
        <v>1063812</v>
      </c>
      <c r="L163" s="45"/>
      <c r="M163" s="45">
        <f>27342+5275</f>
        <v>32617</v>
      </c>
      <c r="N163" s="45"/>
      <c r="O163" s="45">
        <v>0</v>
      </c>
      <c r="P163" s="45"/>
      <c r="Q163" s="45">
        <v>426584</v>
      </c>
      <c r="R163" s="45"/>
      <c r="S163" s="45">
        <f t="shared" si="14"/>
        <v>459201</v>
      </c>
      <c r="T163" s="45"/>
      <c r="U163" s="44">
        <f t="shared" si="15"/>
        <v>0</v>
      </c>
      <c r="V163" s="44">
        <f t="shared" si="16"/>
        <v>0</v>
      </c>
    </row>
    <row r="164" spans="1:22" s="44" customFormat="1" ht="12.75" customHeight="1">
      <c r="A164" s="44" t="s">
        <v>191</v>
      </c>
      <c r="C164" s="44" t="s">
        <v>13</v>
      </c>
      <c r="D164" s="35"/>
      <c r="E164" s="45">
        <f>880678+25670</f>
        <v>906348</v>
      </c>
      <c r="F164" s="45"/>
      <c r="G164" s="45">
        <v>2864268</v>
      </c>
      <c r="H164" s="45"/>
      <c r="I164" s="45">
        <v>1270260</v>
      </c>
      <c r="J164" s="45"/>
      <c r="K164" s="45">
        <v>2078953</v>
      </c>
      <c r="L164" s="45"/>
      <c r="M164" s="45">
        <v>213732</v>
      </c>
      <c r="N164" s="45"/>
      <c r="O164" s="45">
        <v>0</v>
      </c>
      <c r="P164" s="45"/>
      <c r="Q164" s="45">
        <v>571583</v>
      </c>
      <c r="R164" s="45"/>
      <c r="S164" s="45">
        <f t="shared" si="14"/>
        <v>785315</v>
      </c>
      <c r="T164" s="45"/>
      <c r="U164" s="44">
        <f t="shared" si="15"/>
        <v>0</v>
      </c>
      <c r="V164" s="44">
        <f t="shared" si="16"/>
        <v>0</v>
      </c>
    </row>
    <row r="165" spans="1:22" s="44" customFormat="1" ht="12.75" customHeight="1">
      <c r="A165" s="44" t="s">
        <v>192</v>
      </c>
      <c r="B165" s="51"/>
      <c r="C165" s="44" t="s">
        <v>38</v>
      </c>
      <c r="D165" s="35"/>
      <c r="E165" s="45">
        <f>1711763+4968</f>
        <v>1716731</v>
      </c>
      <c r="F165" s="45"/>
      <c r="G165" s="45">
        <v>3787671</v>
      </c>
      <c r="H165" s="45"/>
      <c r="I165" s="45">
        <v>318364</v>
      </c>
      <c r="J165" s="45"/>
      <c r="K165" s="45">
        <v>1099891</v>
      </c>
      <c r="L165" s="45"/>
      <c r="M165" s="45">
        <v>137257</v>
      </c>
      <c r="N165" s="45"/>
      <c r="O165" s="45">
        <v>0</v>
      </c>
      <c r="P165" s="45"/>
      <c r="Q165" s="45">
        <v>2550523</v>
      </c>
      <c r="R165" s="45"/>
      <c r="S165" s="45">
        <f t="shared" si="14"/>
        <v>2687780</v>
      </c>
      <c r="T165" s="45"/>
      <c r="U165" s="44">
        <f t="shared" si="15"/>
        <v>0</v>
      </c>
      <c r="V165" s="44">
        <f t="shared" si="16"/>
        <v>0</v>
      </c>
    </row>
    <row r="166" spans="1:22" s="46" customFormat="1" ht="12.75" customHeight="1">
      <c r="A166" s="46" t="s">
        <v>193</v>
      </c>
      <c r="C166" s="46" t="s">
        <v>45</v>
      </c>
      <c r="D166" s="64"/>
      <c r="E166" s="45">
        <v>2407708</v>
      </c>
      <c r="F166" s="45"/>
      <c r="G166" s="45">
        <v>8645068</v>
      </c>
      <c r="H166" s="45"/>
      <c r="I166" s="45">
        <v>4648085</v>
      </c>
      <c r="J166" s="45"/>
      <c r="K166" s="45">
        <v>5951193</v>
      </c>
      <c r="L166" s="45"/>
      <c r="M166" s="45">
        <v>202758</v>
      </c>
      <c r="N166" s="45"/>
      <c r="O166" s="45">
        <v>0</v>
      </c>
      <c r="P166" s="45"/>
      <c r="Q166" s="45">
        <v>2491117</v>
      </c>
      <c r="R166" s="45"/>
      <c r="S166" s="45">
        <f t="shared" si="14"/>
        <v>2693875</v>
      </c>
      <c r="T166" s="45"/>
      <c r="U166" s="44">
        <f t="shared" si="15"/>
        <v>0</v>
      </c>
      <c r="V166" s="44">
        <f t="shared" si="16"/>
        <v>0</v>
      </c>
    </row>
    <row r="167" spans="1:22" s="44" customFormat="1" ht="12.75" customHeight="1">
      <c r="A167" s="44" t="s">
        <v>194</v>
      </c>
      <c r="B167" s="51"/>
      <c r="C167" s="44" t="s">
        <v>66</v>
      </c>
      <c r="D167" s="35"/>
      <c r="E167" s="45">
        <f>1454748+9504</f>
        <v>1464252</v>
      </c>
      <c r="F167" s="45"/>
      <c r="G167" s="45">
        <v>15468032</v>
      </c>
      <c r="H167" s="45"/>
      <c r="I167" s="45">
        <v>4059966</v>
      </c>
      <c r="J167" s="45"/>
      <c r="K167" s="45">
        <v>7866283</v>
      </c>
      <c r="L167" s="45"/>
      <c r="M167" s="45">
        <f>46430+23980+24706</f>
        <v>95116</v>
      </c>
      <c r="N167" s="45"/>
      <c r="O167" s="45">
        <v>0</v>
      </c>
      <c r="P167" s="45"/>
      <c r="Q167" s="45">
        <v>7506633</v>
      </c>
      <c r="R167" s="45"/>
      <c r="S167" s="45">
        <f t="shared" si="14"/>
        <v>7601749</v>
      </c>
      <c r="T167" s="45"/>
      <c r="U167" s="44">
        <f t="shared" si="15"/>
        <v>0</v>
      </c>
      <c r="V167" s="44">
        <f>+G167-K167-S167</f>
        <v>0</v>
      </c>
    </row>
    <row r="168" spans="1:22" s="44" customFormat="1" ht="12.75" customHeight="1">
      <c r="A168" s="44" t="s">
        <v>195</v>
      </c>
      <c r="B168" s="51"/>
      <c r="C168" s="44" t="s">
        <v>17</v>
      </c>
      <c r="D168" s="35"/>
      <c r="E168" s="45">
        <f>720301+7824769</f>
        <v>8545070</v>
      </c>
      <c r="F168" s="45"/>
      <c r="G168" s="45">
        <v>11234549</v>
      </c>
      <c r="H168" s="45"/>
      <c r="I168" s="45">
        <v>981318</v>
      </c>
      <c r="J168" s="45"/>
      <c r="K168" s="45">
        <v>1402863</v>
      </c>
      <c r="L168" s="45"/>
      <c r="M168" s="45">
        <f>228733+14661+3258</f>
        <v>246652</v>
      </c>
      <c r="N168" s="45"/>
      <c r="O168" s="45">
        <v>0</v>
      </c>
      <c r="P168" s="45"/>
      <c r="Q168" s="45">
        <v>9585034</v>
      </c>
      <c r="R168" s="45"/>
      <c r="S168" s="45">
        <f t="shared" si="14"/>
        <v>9831686</v>
      </c>
      <c r="T168" s="45"/>
      <c r="U168" s="44">
        <f t="shared" si="15"/>
        <v>0</v>
      </c>
      <c r="V168" s="44">
        <f t="shared" si="16"/>
        <v>0</v>
      </c>
    </row>
    <row r="169" spans="1:22" s="121" customFormat="1" ht="12.75" hidden="1" customHeight="1">
      <c r="A169" s="44" t="s">
        <v>196</v>
      </c>
      <c r="B169" s="51"/>
      <c r="C169" s="44" t="s">
        <v>27</v>
      </c>
      <c r="D169" s="35"/>
      <c r="E169" s="45">
        <v>0</v>
      </c>
      <c r="F169" s="45"/>
      <c r="G169" s="45">
        <v>0</v>
      </c>
      <c r="H169" s="45"/>
      <c r="I169" s="45">
        <v>0</v>
      </c>
      <c r="J169" s="45"/>
      <c r="K169" s="45">
        <v>0</v>
      </c>
      <c r="L169" s="45"/>
      <c r="M169" s="45">
        <v>0</v>
      </c>
      <c r="N169" s="45"/>
      <c r="O169" s="45">
        <v>0</v>
      </c>
      <c r="P169" s="45"/>
      <c r="Q169" s="45">
        <v>0</v>
      </c>
      <c r="R169" s="45"/>
      <c r="S169" s="45">
        <f t="shared" si="14"/>
        <v>0</v>
      </c>
      <c r="T169" s="45"/>
      <c r="U169" s="44">
        <f t="shared" si="15"/>
        <v>0</v>
      </c>
      <c r="V169" s="44">
        <f t="shared" si="16"/>
        <v>0</v>
      </c>
    </row>
    <row r="170" spans="1:22" s="121" customFormat="1" ht="12.75" customHeight="1">
      <c r="A170" s="44" t="s">
        <v>386</v>
      </c>
      <c r="B170" s="51"/>
      <c r="C170" s="44" t="s">
        <v>153</v>
      </c>
      <c r="D170" s="35"/>
      <c r="E170" s="45">
        <v>1948666</v>
      </c>
      <c r="F170" s="45"/>
      <c r="G170" s="45">
        <v>3127372</v>
      </c>
      <c r="H170" s="45"/>
      <c r="I170" s="45">
        <v>259956</v>
      </c>
      <c r="J170" s="45"/>
      <c r="K170" s="45">
        <v>899479</v>
      </c>
      <c r="L170" s="45"/>
      <c r="M170" s="45">
        <v>141608</v>
      </c>
      <c r="N170" s="45"/>
      <c r="O170" s="45">
        <v>0</v>
      </c>
      <c r="P170" s="45"/>
      <c r="Q170" s="45">
        <v>2086285</v>
      </c>
      <c r="R170" s="45"/>
      <c r="S170" s="45">
        <f>+Q170+O170+M170</f>
        <v>2227893</v>
      </c>
      <c r="T170" s="45"/>
      <c r="U170" s="44">
        <f t="shared" si="15"/>
        <v>0</v>
      </c>
      <c r="V170" s="44">
        <f t="shared" si="16"/>
        <v>0</v>
      </c>
    </row>
    <row r="171" spans="1:22" s="44" customFormat="1" ht="12.75" customHeight="1">
      <c r="A171" s="46" t="s">
        <v>197</v>
      </c>
      <c r="B171" s="46"/>
      <c r="C171" s="46" t="s">
        <v>163</v>
      </c>
      <c r="D171" s="64"/>
      <c r="E171" s="45">
        <f>1584704+13031606</f>
        <v>14616310</v>
      </c>
      <c r="F171" s="45"/>
      <c r="G171" s="45">
        <v>19583573</v>
      </c>
      <c r="H171" s="45"/>
      <c r="I171" s="45">
        <v>2060145</v>
      </c>
      <c r="J171" s="45"/>
      <c r="K171" s="45">
        <v>2856773</v>
      </c>
      <c r="L171" s="45"/>
      <c r="M171" s="45">
        <f>352551+104802+527216</f>
        <v>984569</v>
      </c>
      <c r="N171" s="45"/>
      <c r="O171" s="45">
        <v>0</v>
      </c>
      <c r="P171" s="45"/>
      <c r="Q171" s="45">
        <v>15742231</v>
      </c>
      <c r="R171" s="45"/>
      <c r="S171" s="45">
        <f t="shared" si="14"/>
        <v>16726800</v>
      </c>
      <c r="T171" s="45"/>
      <c r="U171" s="44">
        <f t="shared" si="15"/>
        <v>0</v>
      </c>
      <c r="V171" s="44">
        <f t="shared" si="16"/>
        <v>0</v>
      </c>
    </row>
    <row r="172" spans="1:22" s="44" customFormat="1" ht="12.75" customHeight="1">
      <c r="A172" s="44" t="s">
        <v>198</v>
      </c>
      <c r="B172" s="51"/>
      <c r="C172" s="44" t="s">
        <v>199</v>
      </c>
      <c r="D172" s="35"/>
      <c r="E172" s="45">
        <v>1901197</v>
      </c>
      <c r="F172" s="45"/>
      <c r="G172" s="45">
        <v>4674959</v>
      </c>
      <c r="H172" s="45"/>
      <c r="I172" s="45">
        <v>973288</v>
      </c>
      <c r="J172" s="45"/>
      <c r="K172" s="45">
        <v>1238333</v>
      </c>
      <c r="L172" s="45"/>
      <c r="M172" s="45">
        <v>149410</v>
      </c>
      <c r="N172" s="45"/>
      <c r="O172" s="45">
        <v>0</v>
      </c>
      <c r="P172" s="45"/>
      <c r="Q172" s="45">
        <v>3287216</v>
      </c>
      <c r="R172" s="45"/>
      <c r="S172" s="45">
        <f t="shared" si="14"/>
        <v>3436626</v>
      </c>
      <c r="T172" s="45"/>
      <c r="U172" s="44">
        <f t="shared" si="15"/>
        <v>0</v>
      </c>
      <c r="V172" s="44">
        <f t="shared" si="16"/>
        <v>0</v>
      </c>
    </row>
    <row r="173" spans="1:22" s="44" customFormat="1" ht="12.75" customHeight="1">
      <c r="A173" s="44" t="s">
        <v>200</v>
      </c>
      <c r="B173" s="51"/>
      <c r="C173" s="44" t="s">
        <v>103</v>
      </c>
      <c r="D173" s="35"/>
      <c r="E173" s="45">
        <v>5933914</v>
      </c>
      <c r="F173" s="45"/>
      <c r="G173" s="45">
        <v>9417790</v>
      </c>
      <c r="H173" s="45"/>
      <c r="I173" s="45">
        <v>2172824</v>
      </c>
      <c r="J173" s="45"/>
      <c r="K173" s="45">
        <v>2662765</v>
      </c>
      <c r="L173" s="45"/>
      <c r="M173" s="45">
        <f>47763+559026</f>
        <v>606789</v>
      </c>
      <c r="N173" s="45"/>
      <c r="O173" s="45">
        <v>0</v>
      </c>
      <c r="P173" s="45"/>
      <c r="Q173" s="45">
        <v>6148236</v>
      </c>
      <c r="R173" s="45"/>
      <c r="S173" s="45">
        <f t="shared" si="14"/>
        <v>6755025</v>
      </c>
      <c r="T173" s="45"/>
      <c r="U173" s="44">
        <f t="shared" si="15"/>
        <v>0</v>
      </c>
      <c r="V173" s="44">
        <f t="shared" si="16"/>
        <v>0</v>
      </c>
    </row>
    <row r="174" spans="1:22" s="44" customFormat="1" ht="12.75" customHeight="1">
      <c r="A174" s="44" t="s">
        <v>201</v>
      </c>
      <c r="C174" s="44" t="s">
        <v>92</v>
      </c>
      <c r="D174" s="35"/>
      <c r="E174" s="45">
        <f>16781+5332968</f>
        <v>5349749</v>
      </c>
      <c r="F174" s="45"/>
      <c r="G174" s="45">
        <v>9310423</v>
      </c>
      <c r="H174" s="45"/>
      <c r="I174" s="45">
        <v>1107815</v>
      </c>
      <c r="J174" s="45"/>
      <c r="K174" s="45">
        <v>2304565</v>
      </c>
      <c r="L174" s="45"/>
      <c r="M174" s="45">
        <f>370501+78116+174614</f>
        <v>623231</v>
      </c>
      <c r="N174" s="45"/>
      <c r="O174" s="45">
        <v>0</v>
      </c>
      <c r="P174" s="45"/>
      <c r="Q174" s="45">
        <v>6382627</v>
      </c>
      <c r="R174" s="45"/>
      <c r="S174" s="45">
        <f t="shared" si="14"/>
        <v>7005858</v>
      </c>
      <c r="T174" s="45"/>
      <c r="U174" s="44">
        <f t="shared" si="15"/>
        <v>0</v>
      </c>
      <c r="V174" s="44">
        <f t="shared" si="16"/>
        <v>0</v>
      </c>
    </row>
    <row r="175" spans="1:22" s="44" customFormat="1" ht="12.75" customHeight="1">
      <c r="A175" s="44" t="s">
        <v>202</v>
      </c>
      <c r="B175" s="51"/>
      <c r="C175" s="44" t="s">
        <v>27</v>
      </c>
      <c r="D175" s="35"/>
      <c r="E175" s="45">
        <f>2238893+818</f>
        <v>2239711</v>
      </c>
      <c r="F175" s="45"/>
      <c r="G175" s="45">
        <v>13743133</v>
      </c>
      <c r="H175" s="45"/>
      <c r="I175" s="45">
        <v>7584110</v>
      </c>
      <c r="J175" s="45"/>
      <c r="K175" s="45">
        <v>9960653</v>
      </c>
      <c r="L175" s="45"/>
      <c r="M175" s="45">
        <f>209559+191318</f>
        <v>400877</v>
      </c>
      <c r="N175" s="45"/>
      <c r="O175" s="45">
        <v>0</v>
      </c>
      <c r="P175" s="45"/>
      <c r="Q175" s="45">
        <v>3381603</v>
      </c>
      <c r="R175" s="45"/>
      <c r="S175" s="45">
        <f t="shared" si="14"/>
        <v>3782480</v>
      </c>
      <c r="T175" s="45"/>
      <c r="U175" s="44">
        <f t="shared" si="15"/>
        <v>0</v>
      </c>
      <c r="V175" s="44">
        <f t="shared" si="16"/>
        <v>0</v>
      </c>
    </row>
    <row r="176" spans="1:22" s="44" customFormat="1" ht="12.75" customHeight="1">
      <c r="A176" s="46" t="s">
        <v>203</v>
      </c>
      <c r="B176" s="46"/>
      <c r="C176" s="46" t="s">
        <v>27</v>
      </c>
      <c r="D176" s="64"/>
      <c r="E176" s="45">
        <v>685180</v>
      </c>
      <c r="F176" s="45"/>
      <c r="G176" s="45">
        <v>8358348</v>
      </c>
      <c r="H176" s="45"/>
      <c r="I176" s="45">
        <v>6359391</v>
      </c>
      <c r="J176" s="45"/>
      <c r="K176" s="45">
        <v>7758613</v>
      </c>
      <c r="L176" s="45"/>
      <c r="M176" s="45">
        <f>37117+31278+35295</f>
        <v>103690</v>
      </c>
      <c r="N176" s="45"/>
      <c r="O176" s="45">
        <v>0</v>
      </c>
      <c r="P176" s="45"/>
      <c r="Q176" s="45">
        <v>496045</v>
      </c>
      <c r="R176" s="45"/>
      <c r="S176" s="45">
        <f t="shared" si="14"/>
        <v>599735</v>
      </c>
      <c r="T176" s="45"/>
      <c r="U176" s="44">
        <f t="shared" si="15"/>
        <v>0</v>
      </c>
      <c r="V176" s="44">
        <f t="shared" si="16"/>
        <v>0</v>
      </c>
    </row>
    <row r="177" spans="1:22" s="44" customFormat="1" ht="12.75" customHeight="1">
      <c r="A177" s="44" t="s">
        <v>204</v>
      </c>
      <c r="B177" s="51"/>
      <c r="C177" s="44" t="s">
        <v>125</v>
      </c>
      <c r="D177" s="35"/>
      <c r="E177" s="45">
        <v>1104594</v>
      </c>
      <c r="F177" s="45"/>
      <c r="G177" s="45">
        <v>2185068</v>
      </c>
      <c r="H177" s="45"/>
      <c r="I177" s="45">
        <v>163132</v>
      </c>
      <c r="J177" s="45"/>
      <c r="K177" s="45">
        <v>983468</v>
      </c>
      <c r="L177" s="45"/>
      <c r="M177" s="45">
        <v>7825</v>
      </c>
      <c r="N177" s="45"/>
      <c r="O177" s="45">
        <v>0</v>
      </c>
      <c r="P177" s="45"/>
      <c r="Q177" s="45">
        <v>1193775</v>
      </c>
      <c r="R177" s="45"/>
      <c r="S177" s="45">
        <f t="shared" si="14"/>
        <v>1201600</v>
      </c>
      <c r="T177" s="45"/>
      <c r="U177" s="44">
        <f t="shared" si="15"/>
        <v>0</v>
      </c>
      <c r="V177" s="44">
        <f t="shared" si="16"/>
        <v>0</v>
      </c>
    </row>
    <row r="178" spans="1:22" s="46" customFormat="1" ht="12.75" customHeight="1">
      <c r="A178" s="46" t="s">
        <v>205</v>
      </c>
      <c r="C178" s="46" t="s">
        <v>27</v>
      </c>
      <c r="D178" s="64"/>
      <c r="E178" s="45">
        <v>929310</v>
      </c>
      <c r="F178" s="45"/>
      <c r="G178" s="45">
        <v>4677961</v>
      </c>
      <c r="H178" s="45"/>
      <c r="I178" s="45">
        <v>2315632</v>
      </c>
      <c r="J178" s="45"/>
      <c r="K178" s="45">
        <v>2856732</v>
      </c>
      <c r="L178" s="45"/>
      <c r="M178" s="45">
        <f>219929+199683</f>
        <v>419612</v>
      </c>
      <c r="N178" s="45"/>
      <c r="O178" s="45">
        <v>0</v>
      </c>
      <c r="P178" s="45"/>
      <c r="Q178" s="45">
        <v>1401617</v>
      </c>
      <c r="R178" s="45"/>
      <c r="S178" s="45">
        <f t="shared" si="14"/>
        <v>1821229</v>
      </c>
      <c r="T178" s="45"/>
      <c r="U178" s="44">
        <f t="shared" si="15"/>
        <v>0</v>
      </c>
      <c r="V178" s="44">
        <f t="shared" si="16"/>
        <v>0</v>
      </c>
    </row>
    <row r="179" spans="1:22" s="44" customFormat="1" ht="12.75" customHeight="1">
      <c r="A179" s="44" t="s">
        <v>206</v>
      </c>
      <c r="C179" s="44" t="s">
        <v>47</v>
      </c>
      <c r="D179" s="35"/>
      <c r="E179" s="45">
        <f>1086748+2624894</f>
        <v>3711642</v>
      </c>
      <c r="F179" s="45"/>
      <c r="G179" s="45">
        <v>7681357</v>
      </c>
      <c r="H179" s="45"/>
      <c r="I179" s="45">
        <v>1925961</v>
      </c>
      <c r="J179" s="45"/>
      <c r="K179" s="45">
        <v>2441795</v>
      </c>
      <c r="L179" s="45"/>
      <c r="M179" s="45">
        <f>148562+99027</f>
        <v>247589</v>
      </c>
      <c r="N179" s="45"/>
      <c r="O179" s="45">
        <v>0</v>
      </c>
      <c r="P179" s="45"/>
      <c r="Q179" s="45">
        <v>4991973</v>
      </c>
      <c r="R179" s="45"/>
      <c r="S179" s="45">
        <f t="shared" si="14"/>
        <v>5239562</v>
      </c>
      <c r="T179" s="45"/>
      <c r="U179" s="44">
        <f t="shared" si="15"/>
        <v>0</v>
      </c>
      <c r="V179" s="44">
        <f t="shared" si="16"/>
        <v>0</v>
      </c>
    </row>
    <row r="180" spans="1:22" s="44" customFormat="1" ht="12.75" customHeight="1">
      <c r="A180" s="44" t="s">
        <v>207</v>
      </c>
      <c r="B180" s="51"/>
      <c r="C180" s="44" t="s">
        <v>102</v>
      </c>
      <c r="D180" s="35"/>
      <c r="E180" s="45">
        <v>2854677</v>
      </c>
      <c r="F180" s="45"/>
      <c r="G180" s="45">
        <v>5041187</v>
      </c>
      <c r="H180" s="45"/>
      <c r="I180" s="45">
        <v>1444916</v>
      </c>
      <c r="J180" s="45"/>
      <c r="K180" s="45">
        <v>1914318</v>
      </c>
      <c r="L180" s="45"/>
      <c r="M180" s="45">
        <f>75568+5756</f>
        <v>81324</v>
      </c>
      <c r="N180" s="45"/>
      <c r="O180" s="45">
        <v>0</v>
      </c>
      <c r="P180" s="45"/>
      <c r="Q180" s="45">
        <v>3045545</v>
      </c>
      <c r="R180" s="45"/>
      <c r="S180" s="45">
        <f t="shared" si="14"/>
        <v>3126869</v>
      </c>
      <c r="T180" s="45"/>
      <c r="U180" s="44">
        <f t="shared" si="15"/>
        <v>0</v>
      </c>
      <c r="V180" s="44">
        <f t="shared" si="16"/>
        <v>0</v>
      </c>
    </row>
    <row r="181" spans="1:22" s="44" customFormat="1" ht="12.75" customHeight="1">
      <c r="A181" s="44" t="s">
        <v>208</v>
      </c>
      <c r="B181" s="51"/>
      <c r="C181" s="44" t="s">
        <v>209</v>
      </c>
      <c r="D181" s="35"/>
      <c r="E181" s="45">
        <f>5084863+1844021</f>
        <v>6928884</v>
      </c>
      <c r="F181" s="45"/>
      <c r="G181" s="45">
        <v>22394523</v>
      </c>
      <c r="H181" s="45"/>
      <c r="I181" s="45">
        <v>2112862</v>
      </c>
      <c r="J181" s="45"/>
      <c r="K181" s="45">
        <v>2869379</v>
      </c>
      <c r="L181" s="45"/>
      <c r="M181" s="45">
        <f>12071866+20665</f>
        <v>12092531</v>
      </c>
      <c r="N181" s="45"/>
      <c r="O181" s="45">
        <v>2138600</v>
      </c>
      <c r="P181" s="45"/>
      <c r="Q181" s="45">
        <v>5294013</v>
      </c>
      <c r="R181" s="45"/>
      <c r="S181" s="45">
        <f t="shared" si="14"/>
        <v>19525144</v>
      </c>
      <c r="T181" s="45"/>
      <c r="U181" s="44">
        <f t="shared" si="15"/>
        <v>0</v>
      </c>
      <c r="V181" s="44">
        <f>+G181-K181-S181</f>
        <v>0</v>
      </c>
    </row>
    <row r="182" spans="1:22" s="46" customFormat="1" ht="12.75" customHeight="1">
      <c r="A182" s="44" t="s">
        <v>210</v>
      </c>
      <c r="B182" s="44"/>
      <c r="C182" s="44" t="s">
        <v>211</v>
      </c>
      <c r="D182" s="35"/>
      <c r="E182" s="45">
        <v>688070</v>
      </c>
      <c r="F182" s="45"/>
      <c r="G182" s="45">
        <v>2384102</v>
      </c>
      <c r="H182" s="45"/>
      <c r="I182" s="45">
        <v>1237107</v>
      </c>
      <c r="J182" s="45"/>
      <c r="K182" s="45">
        <v>1449685</v>
      </c>
      <c r="L182" s="45"/>
      <c r="M182" s="45">
        <f>166418+23756+18373</f>
        <v>208547</v>
      </c>
      <c r="N182" s="45"/>
      <c r="O182" s="45">
        <v>0</v>
      </c>
      <c r="P182" s="45"/>
      <c r="Q182" s="45">
        <v>725870</v>
      </c>
      <c r="R182" s="45"/>
      <c r="S182" s="45">
        <f t="shared" si="14"/>
        <v>934417</v>
      </c>
      <c r="T182" s="45"/>
      <c r="U182" s="44">
        <f t="shared" si="15"/>
        <v>0</v>
      </c>
      <c r="V182" s="44">
        <f t="shared" si="16"/>
        <v>0</v>
      </c>
    </row>
    <row r="183" spans="1:22" s="44" customFormat="1" ht="12.75" customHeight="1">
      <c r="A183" s="44" t="s">
        <v>212</v>
      </c>
      <c r="B183" s="51"/>
      <c r="C183" s="44" t="s">
        <v>213</v>
      </c>
      <c r="D183" s="35"/>
      <c r="E183" s="45">
        <v>0</v>
      </c>
      <c r="F183" s="45"/>
      <c r="G183" s="45">
        <v>3516244</v>
      </c>
      <c r="H183" s="45"/>
      <c r="I183" s="45">
        <v>2492913</v>
      </c>
      <c r="J183" s="45"/>
      <c r="K183" s="45">
        <v>3515907</v>
      </c>
      <c r="L183" s="45"/>
      <c r="M183" s="45">
        <f>26134+19958+26592</f>
        <v>72684</v>
      </c>
      <c r="N183" s="45"/>
      <c r="O183" s="45">
        <v>0</v>
      </c>
      <c r="P183" s="45"/>
      <c r="Q183" s="45">
        <v>-72347</v>
      </c>
      <c r="R183" s="45"/>
      <c r="S183" s="45">
        <f t="shared" si="14"/>
        <v>337</v>
      </c>
      <c r="T183" s="45"/>
      <c r="U183" s="44">
        <f t="shared" si="15"/>
        <v>0</v>
      </c>
      <c r="V183" s="44">
        <f t="shared" si="16"/>
        <v>0</v>
      </c>
    </row>
    <row r="184" spans="1:22" s="44" customFormat="1" ht="12.75" customHeight="1">
      <c r="A184" s="44" t="s">
        <v>214</v>
      </c>
      <c r="C184" s="44" t="s">
        <v>86</v>
      </c>
      <c r="D184" s="35"/>
      <c r="E184" s="45">
        <v>6628120</v>
      </c>
      <c r="F184" s="45"/>
      <c r="G184" s="45">
        <v>8751293</v>
      </c>
      <c r="H184" s="45"/>
      <c r="I184" s="45">
        <v>1752369</v>
      </c>
      <c r="J184" s="45"/>
      <c r="K184" s="45">
        <v>2061913</v>
      </c>
      <c r="L184" s="45"/>
      <c r="M184" s="45">
        <f>241732+25082</f>
        <v>266814</v>
      </c>
      <c r="N184" s="45"/>
      <c r="O184" s="45">
        <v>0</v>
      </c>
      <c r="P184" s="45"/>
      <c r="Q184" s="45">
        <v>6422566</v>
      </c>
      <c r="R184" s="45"/>
      <c r="S184" s="45">
        <f t="shared" si="14"/>
        <v>6689380</v>
      </c>
      <c r="T184" s="45"/>
      <c r="U184" s="44">
        <f t="shared" si="15"/>
        <v>0</v>
      </c>
      <c r="V184" s="44">
        <f t="shared" si="16"/>
        <v>0</v>
      </c>
    </row>
    <row r="185" spans="1:22" s="46" customFormat="1" ht="12.75" customHeight="1">
      <c r="A185" s="44" t="s">
        <v>215</v>
      </c>
      <c r="B185" s="44"/>
      <c r="C185" s="44" t="s">
        <v>22</v>
      </c>
      <c r="D185" s="35"/>
      <c r="E185" s="45">
        <v>2577191</v>
      </c>
      <c r="F185" s="45"/>
      <c r="G185" s="45">
        <v>4861539</v>
      </c>
      <c r="H185" s="45"/>
      <c r="I185" s="45">
        <v>1293529</v>
      </c>
      <c r="J185" s="45"/>
      <c r="K185" s="45">
        <v>1719885</v>
      </c>
      <c r="L185" s="45"/>
      <c r="M185" s="45">
        <f>10931+4149</f>
        <v>15080</v>
      </c>
      <c r="N185" s="45"/>
      <c r="O185" s="45">
        <v>0</v>
      </c>
      <c r="P185" s="45"/>
      <c r="Q185" s="45">
        <v>3126574</v>
      </c>
      <c r="R185" s="45"/>
      <c r="S185" s="45">
        <f t="shared" si="14"/>
        <v>3141654</v>
      </c>
      <c r="T185" s="45"/>
      <c r="U185" s="44">
        <f t="shared" si="15"/>
        <v>0</v>
      </c>
      <c r="V185" s="44">
        <f t="shared" si="16"/>
        <v>0</v>
      </c>
    </row>
    <row r="186" spans="1:22" s="44" customFormat="1" ht="12.75" customHeight="1">
      <c r="A186" s="44" t="s">
        <v>216</v>
      </c>
      <c r="B186" s="51"/>
      <c r="C186" s="44" t="s">
        <v>45</v>
      </c>
      <c r="D186" s="35"/>
      <c r="E186" s="45">
        <v>300314</v>
      </c>
      <c r="F186" s="45"/>
      <c r="G186" s="45">
        <v>2393867</v>
      </c>
      <c r="H186" s="45"/>
      <c r="I186" s="45">
        <v>1184327</v>
      </c>
      <c r="J186" s="45"/>
      <c r="K186" s="45">
        <v>2056334</v>
      </c>
      <c r="L186" s="45"/>
      <c r="M186" s="45">
        <v>0</v>
      </c>
      <c r="N186" s="45"/>
      <c r="O186" s="45">
        <v>0</v>
      </c>
      <c r="P186" s="45"/>
      <c r="Q186" s="45">
        <v>337533</v>
      </c>
      <c r="R186" s="45"/>
      <c r="S186" s="45">
        <f t="shared" si="14"/>
        <v>337533</v>
      </c>
      <c r="T186" s="45"/>
      <c r="U186" s="44">
        <f t="shared" si="15"/>
        <v>0</v>
      </c>
      <c r="V186" s="44">
        <f t="shared" si="16"/>
        <v>0</v>
      </c>
    </row>
    <row r="187" spans="1:22" s="44" customFormat="1" ht="12.75" customHeight="1">
      <c r="A187" s="44" t="s">
        <v>217</v>
      </c>
      <c r="B187" s="51"/>
      <c r="C187" s="44" t="s">
        <v>43</v>
      </c>
      <c r="D187" s="35"/>
      <c r="E187" s="45">
        <f>1193504+3368326</f>
        <v>4561830</v>
      </c>
      <c r="F187" s="45"/>
      <c r="G187" s="45">
        <v>7779054</v>
      </c>
      <c r="H187" s="45"/>
      <c r="I187" s="45">
        <v>1283564</v>
      </c>
      <c r="J187" s="45"/>
      <c r="K187" s="45">
        <v>2099758</v>
      </c>
      <c r="L187" s="45"/>
      <c r="M187" s="45">
        <f>182718+26482+3624</f>
        <v>212824</v>
      </c>
      <c r="N187" s="45"/>
      <c r="O187" s="45">
        <v>0</v>
      </c>
      <c r="P187" s="45"/>
      <c r="Q187" s="45">
        <v>5466472</v>
      </c>
      <c r="R187" s="45"/>
      <c r="S187" s="45">
        <f t="shared" si="14"/>
        <v>5679296</v>
      </c>
      <c r="T187" s="45"/>
      <c r="U187" s="44">
        <f t="shared" si="15"/>
        <v>0</v>
      </c>
      <c r="V187" s="44">
        <f t="shared" si="16"/>
        <v>0</v>
      </c>
    </row>
    <row r="188" spans="1:22" s="44" customFormat="1" ht="12.75" hidden="1" customHeight="1">
      <c r="A188" s="46" t="s">
        <v>218</v>
      </c>
      <c r="B188" s="46"/>
      <c r="C188" s="46" t="s">
        <v>27</v>
      </c>
      <c r="D188" s="64"/>
      <c r="E188" s="45">
        <v>0</v>
      </c>
      <c r="F188" s="45"/>
      <c r="G188" s="45">
        <v>0</v>
      </c>
      <c r="H188" s="45"/>
      <c r="I188" s="45">
        <v>0</v>
      </c>
      <c r="J188" s="45"/>
      <c r="K188" s="45">
        <v>0</v>
      </c>
      <c r="L188" s="45"/>
      <c r="M188" s="45">
        <v>0</v>
      </c>
      <c r="N188" s="45"/>
      <c r="O188" s="45">
        <v>0</v>
      </c>
      <c r="P188" s="45"/>
      <c r="Q188" s="45">
        <v>0</v>
      </c>
      <c r="R188" s="45"/>
      <c r="S188" s="45">
        <f t="shared" si="14"/>
        <v>0</v>
      </c>
      <c r="T188" s="45"/>
      <c r="U188" s="44">
        <f t="shared" si="15"/>
        <v>0</v>
      </c>
      <c r="V188" s="44">
        <f t="shared" si="16"/>
        <v>0</v>
      </c>
    </row>
    <row r="189" spans="1:22" s="44" customFormat="1" ht="12.75" customHeight="1">
      <c r="A189" s="44" t="s">
        <v>219</v>
      </c>
      <c r="B189" s="51"/>
      <c r="C189" s="44" t="s">
        <v>199</v>
      </c>
      <c r="D189" s="35"/>
      <c r="E189" s="45">
        <v>728586</v>
      </c>
      <c r="F189" s="45"/>
      <c r="G189" s="45">
        <v>1838746</v>
      </c>
      <c r="H189" s="45"/>
      <c r="I189" s="45">
        <v>719352</v>
      </c>
      <c r="J189" s="45"/>
      <c r="K189" s="45">
        <v>855172</v>
      </c>
      <c r="L189" s="45"/>
      <c r="M189" s="45">
        <f>20276+2370+44362</f>
        <v>67008</v>
      </c>
      <c r="N189" s="45"/>
      <c r="O189" s="45">
        <f>96660+133149</f>
        <v>229809</v>
      </c>
      <c r="P189" s="45"/>
      <c r="Q189" s="45">
        <v>686757</v>
      </c>
      <c r="R189" s="45"/>
      <c r="S189" s="45">
        <f t="shared" si="14"/>
        <v>983574</v>
      </c>
      <c r="T189" s="45"/>
      <c r="U189" s="44">
        <f t="shared" si="15"/>
        <v>0</v>
      </c>
      <c r="V189" s="44">
        <f t="shared" si="16"/>
        <v>0</v>
      </c>
    </row>
    <row r="190" spans="1:22" s="44" customFormat="1" ht="12.75" customHeight="1">
      <c r="A190" s="44" t="s">
        <v>220</v>
      </c>
      <c r="B190" s="51"/>
      <c r="C190" s="44" t="s">
        <v>66</v>
      </c>
      <c r="D190" s="35"/>
      <c r="E190" s="45">
        <v>7153651</v>
      </c>
      <c r="F190" s="45"/>
      <c r="G190" s="45">
        <v>9764231</v>
      </c>
      <c r="H190" s="45"/>
      <c r="I190" s="45">
        <v>1958000</v>
      </c>
      <c r="J190" s="45"/>
      <c r="K190" s="45">
        <v>2118388</v>
      </c>
      <c r="L190" s="45"/>
      <c r="M190" s="45">
        <v>35975</v>
      </c>
      <c r="N190" s="45"/>
      <c r="O190" s="45">
        <v>540634</v>
      </c>
      <c r="P190" s="45"/>
      <c r="Q190" s="45">
        <v>7069234</v>
      </c>
      <c r="R190" s="45"/>
      <c r="S190" s="45">
        <f>+Q190+O190+M190</f>
        <v>7645843</v>
      </c>
      <c r="T190" s="45"/>
      <c r="U190" s="44">
        <f t="shared" si="15"/>
        <v>0</v>
      </c>
      <c r="V190" s="44">
        <f t="shared" si="16"/>
        <v>0</v>
      </c>
    </row>
    <row r="191" spans="1:22" s="44" customFormat="1" ht="12.75" customHeight="1">
      <c r="A191" s="44" t="s">
        <v>221</v>
      </c>
      <c r="B191" s="51"/>
      <c r="C191" s="44" t="s">
        <v>27</v>
      </c>
      <c r="D191" s="35"/>
      <c r="E191" s="45">
        <v>3724727</v>
      </c>
      <c r="F191" s="45"/>
      <c r="G191" s="45">
        <v>11558360</v>
      </c>
      <c r="H191" s="45"/>
      <c r="I191" s="45">
        <v>5890840</v>
      </c>
      <c r="J191" s="45"/>
      <c r="K191" s="45">
        <v>7076082</v>
      </c>
      <c r="L191" s="45"/>
      <c r="M191" s="45">
        <f>103173+15690</f>
        <v>118863</v>
      </c>
      <c r="N191" s="45"/>
      <c r="O191" s="45">
        <v>0</v>
      </c>
      <c r="P191" s="45"/>
      <c r="Q191" s="45">
        <v>4363415</v>
      </c>
      <c r="R191" s="45"/>
      <c r="S191" s="45">
        <f>+Q191+O191+M191</f>
        <v>4482278</v>
      </c>
      <c r="T191" s="45"/>
      <c r="U191" s="44">
        <f t="shared" si="15"/>
        <v>0</v>
      </c>
      <c r="V191" s="44">
        <f t="shared" si="16"/>
        <v>0</v>
      </c>
    </row>
    <row r="192" spans="1:22" s="44" customFormat="1" ht="12.75" customHeight="1">
      <c r="A192" s="44" t="s">
        <v>222</v>
      </c>
      <c r="C192" s="44" t="s">
        <v>47</v>
      </c>
      <c r="D192" s="35"/>
      <c r="E192" s="45">
        <v>277747</v>
      </c>
      <c r="F192" s="45"/>
      <c r="G192" s="45">
        <v>4728380</v>
      </c>
      <c r="H192" s="45"/>
      <c r="I192" s="45">
        <v>1317411</v>
      </c>
      <c r="J192" s="45"/>
      <c r="K192" s="45">
        <v>1576106</v>
      </c>
      <c r="L192" s="45"/>
      <c r="M192" s="45">
        <f>78940+42354</f>
        <v>121294</v>
      </c>
      <c r="N192" s="45"/>
      <c r="O192" s="45">
        <v>0</v>
      </c>
      <c r="P192" s="45"/>
      <c r="Q192" s="45">
        <v>3030980</v>
      </c>
      <c r="R192" s="45"/>
      <c r="S192" s="45">
        <f t="shared" si="14"/>
        <v>3152274</v>
      </c>
      <c r="T192" s="45"/>
      <c r="U192" s="44">
        <f t="shared" si="15"/>
        <v>0</v>
      </c>
      <c r="V192" s="44">
        <f t="shared" si="16"/>
        <v>0</v>
      </c>
    </row>
    <row r="193" spans="1:22" s="44" customFormat="1" ht="12.75" customHeight="1">
      <c r="A193" s="44" t="s">
        <v>223</v>
      </c>
      <c r="B193" s="51"/>
      <c r="C193" s="44" t="s">
        <v>94</v>
      </c>
      <c r="D193" s="35"/>
      <c r="E193" s="45">
        <v>11308115</v>
      </c>
      <c r="F193" s="45"/>
      <c r="G193" s="45">
        <v>9522238</v>
      </c>
      <c r="H193" s="45"/>
      <c r="I193" s="45">
        <v>1016596</v>
      </c>
      <c r="J193" s="45"/>
      <c r="K193" s="45">
        <v>1687957</v>
      </c>
      <c r="L193" s="45"/>
      <c r="M193" s="45">
        <f>152780+39582+61557</f>
        <v>253919</v>
      </c>
      <c r="N193" s="45"/>
      <c r="O193" s="45">
        <v>0</v>
      </c>
      <c r="P193" s="45"/>
      <c r="Q193" s="45">
        <v>7580362</v>
      </c>
      <c r="R193" s="45"/>
      <c r="S193" s="45">
        <f t="shared" si="14"/>
        <v>7834281</v>
      </c>
      <c r="T193" s="45"/>
      <c r="U193" s="44">
        <f t="shared" si="15"/>
        <v>0</v>
      </c>
      <c r="V193" s="44">
        <f t="shared" si="16"/>
        <v>0</v>
      </c>
    </row>
    <row r="194" spans="1:22" s="44" customFormat="1" ht="12.75" customHeight="1">
      <c r="A194" s="44" t="s">
        <v>76</v>
      </c>
      <c r="B194" s="51"/>
      <c r="C194" s="44" t="s">
        <v>132</v>
      </c>
      <c r="D194" s="35"/>
      <c r="E194" s="45">
        <v>2859534</v>
      </c>
      <c r="F194" s="45"/>
      <c r="G194" s="45">
        <v>7534519</v>
      </c>
      <c r="H194" s="45"/>
      <c r="I194" s="45">
        <v>3737325</v>
      </c>
      <c r="J194" s="45"/>
      <c r="K194" s="45">
        <v>4493664</v>
      </c>
      <c r="L194" s="45"/>
      <c r="M194" s="45">
        <f>26453+19590+86561</f>
        <v>132604</v>
      </c>
      <c r="N194" s="45"/>
      <c r="O194" s="45">
        <v>0</v>
      </c>
      <c r="P194" s="45"/>
      <c r="Q194" s="45">
        <v>2908251</v>
      </c>
      <c r="R194" s="45"/>
      <c r="S194" s="45">
        <f t="shared" si="14"/>
        <v>3040855</v>
      </c>
      <c r="T194" s="45"/>
      <c r="U194" s="44">
        <f t="shared" si="15"/>
        <v>0</v>
      </c>
      <c r="V194" s="44">
        <f t="shared" si="16"/>
        <v>0</v>
      </c>
    </row>
    <row r="195" spans="1:22" s="44" customFormat="1" ht="12.75" customHeight="1">
      <c r="A195" s="44" t="s">
        <v>224</v>
      </c>
      <c r="B195" s="51"/>
      <c r="C195" s="44" t="s">
        <v>27</v>
      </c>
      <c r="D195" s="35"/>
      <c r="E195" s="45">
        <v>4254009</v>
      </c>
      <c r="F195" s="45"/>
      <c r="G195" s="45">
        <v>7423461</v>
      </c>
      <c r="H195" s="45"/>
      <c r="I195" s="45">
        <v>2208649</v>
      </c>
      <c r="J195" s="45"/>
      <c r="K195" s="45">
        <v>2699695</v>
      </c>
      <c r="L195" s="45"/>
      <c r="M195" s="45">
        <f>7693+17135+210014</f>
        <v>234842</v>
      </c>
      <c r="N195" s="45"/>
      <c r="O195" s="45">
        <v>0</v>
      </c>
      <c r="P195" s="45"/>
      <c r="Q195" s="45">
        <v>4488924</v>
      </c>
      <c r="R195" s="45"/>
      <c r="S195" s="45">
        <f>+Q195+O195+M195</f>
        <v>4723766</v>
      </c>
      <c r="T195" s="45"/>
      <c r="U195" s="44">
        <f t="shared" si="15"/>
        <v>0</v>
      </c>
      <c r="V195" s="44">
        <f t="shared" si="16"/>
        <v>0</v>
      </c>
    </row>
    <row r="196" spans="1:22" s="44" customFormat="1" ht="12.75" customHeight="1">
      <c r="A196" s="44" t="s">
        <v>225</v>
      </c>
      <c r="C196" s="44" t="s">
        <v>27</v>
      </c>
      <c r="D196" s="35"/>
      <c r="E196" s="45">
        <v>7849765</v>
      </c>
      <c r="F196" s="45"/>
      <c r="G196" s="45">
        <v>25515364</v>
      </c>
      <c r="H196" s="45"/>
      <c r="I196" s="45">
        <v>12724701</v>
      </c>
      <c r="J196" s="45"/>
      <c r="K196" s="45">
        <v>14010157</v>
      </c>
      <c r="L196" s="45"/>
      <c r="M196" s="45">
        <v>672271</v>
      </c>
      <c r="N196" s="45"/>
      <c r="O196" s="45">
        <v>0</v>
      </c>
      <c r="P196" s="45"/>
      <c r="Q196" s="45">
        <v>10832936</v>
      </c>
      <c r="R196" s="45"/>
      <c r="S196" s="45">
        <f t="shared" si="14"/>
        <v>11505207</v>
      </c>
      <c r="T196" s="94"/>
      <c r="U196" s="46">
        <f t="shared" si="15"/>
        <v>0</v>
      </c>
      <c r="V196" s="46">
        <f t="shared" si="16"/>
        <v>0</v>
      </c>
    </row>
    <row r="197" spans="1:22" s="44" customFormat="1" ht="12.75" customHeight="1">
      <c r="A197" s="46" t="s">
        <v>226</v>
      </c>
      <c r="B197" s="46"/>
      <c r="C197" s="46" t="s">
        <v>45</v>
      </c>
      <c r="D197" s="64"/>
      <c r="E197" s="45">
        <f>3008960+200000</f>
        <v>3208960</v>
      </c>
      <c r="F197" s="45"/>
      <c r="G197" s="45">
        <v>5659125</v>
      </c>
      <c r="H197" s="45"/>
      <c r="I197" s="45">
        <v>663157</v>
      </c>
      <c r="J197" s="45"/>
      <c r="K197" s="45">
        <v>1310636</v>
      </c>
      <c r="L197" s="45"/>
      <c r="M197" s="45">
        <f>174272+36461</f>
        <v>210733</v>
      </c>
      <c r="N197" s="45"/>
      <c r="O197" s="45">
        <v>0</v>
      </c>
      <c r="P197" s="45"/>
      <c r="Q197" s="45">
        <v>4137756</v>
      </c>
      <c r="R197" s="45"/>
      <c r="S197" s="45">
        <f t="shared" si="14"/>
        <v>4348489</v>
      </c>
      <c r="T197" s="45"/>
      <c r="U197" s="44">
        <f t="shared" si="15"/>
        <v>0</v>
      </c>
      <c r="V197" s="44">
        <f t="shared" si="16"/>
        <v>0</v>
      </c>
    </row>
    <row r="198" spans="1:22" s="46" customFormat="1" ht="12.75" customHeight="1">
      <c r="A198" s="46" t="s">
        <v>227</v>
      </c>
      <c r="B198" s="66"/>
      <c r="C198" s="46" t="s">
        <v>17</v>
      </c>
      <c r="D198" s="64"/>
      <c r="E198" s="45">
        <v>229486</v>
      </c>
      <c r="F198" s="45"/>
      <c r="G198" s="45">
        <v>1965786</v>
      </c>
      <c r="H198" s="45"/>
      <c r="I198" s="45">
        <v>1150868</v>
      </c>
      <c r="J198" s="45"/>
      <c r="K198" s="45">
        <v>1743109</v>
      </c>
      <c r="L198" s="45"/>
      <c r="M198" s="45">
        <f>4683+20200+3681</f>
        <v>28564</v>
      </c>
      <c r="N198" s="45"/>
      <c r="O198" s="45">
        <v>0</v>
      </c>
      <c r="P198" s="45"/>
      <c r="Q198" s="45">
        <v>194113</v>
      </c>
      <c r="R198" s="45"/>
      <c r="S198" s="45">
        <f t="shared" si="14"/>
        <v>222677</v>
      </c>
      <c r="T198" s="45"/>
      <c r="U198" s="44">
        <f t="shared" si="15"/>
        <v>0</v>
      </c>
      <c r="V198" s="44">
        <f t="shared" si="16"/>
        <v>0</v>
      </c>
    </row>
    <row r="199" spans="1:22" s="44" customFormat="1" ht="12.75" customHeight="1">
      <c r="A199" s="44" t="s">
        <v>228</v>
      </c>
      <c r="B199" s="51"/>
      <c r="C199" s="44" t="s">
        <v>153</v>
      </c>
      <c r="D199" s="35"/>
      <c r="E199" s="45">
        <v>410414</v>
      </c>
      <c r="F199" s="45"/>
      <c r="G199" s="45">
        <v>1385777</v>
      </c>
      <c r="H199" s="45"/>
      <c r="I199" s="45">
        <v>265507</v>
      </c>
      <c r="J199" s="45"/>
      <c r="K199" s="45">
        <v>698870</v>
      </c>
      <c r="L199" s="45"/>
      <c r="M199" s="45">
        <f>34685+33192+20176</f>
        <v>88053</v>
      </c>
      <c r="N199" s="45"/>
      <c r="O199" s="45">
        <v>0</v>
      </c>
      <c r="P199" s="45"/>
      <c r="Q199" s="45">
        <v>598854</v>
      </c>
      <c r="R199" s="45"/>
      <c r="S199" s="45">
        <f t="shared" si="14"/>
        <v>686907</v>
      </c>
      <c r="T199" s="45"/>
      <c r="U199" s="44">
        <f t="shared" si="15"/>
        <v>0</v>
      </c>
      <c r="V199" s="44">
        <f t="shared" si="16"/>
        <v>0</v>
      </c>
    </row>
    <row r="200" spans="1:22" s="44" customFormat="1" ht="12.75" customHeight="1">
      <c r="A200" s="44" t="s">
        <v>229</v>
      </c>
      <c r="B200" s="51"/>
      <c r="C200" s="44" t="s">
        <v>228</v>
      </c>
      <c r="D200" s="35"/>
      <c r="E200" s="45">
        <v>1179164</v>
      </c>
      <c r="F200" s="45"/>
      <c r="G200" s="45">
        <v>9410559</v>
      </c>
      <c r="H200" s="45"/>
      <c r="I200" s="45">
        <v>3818660</v>
      </c>
      <c r="J200" s="45"/>
      <c r="K200" s="45">
        <v>5371326</v>
      </c>
      <c r="L200" s="45"/>
      <c r="M200" s="45">
        <f>51953+33350+69040</f>
        <v>154343</v>
      </c>
      <c r="N200" s="45"/>
      <c r="O200" s="45">
        <v>0</v>
      </c>
      <c r="P200" s="45"/>
      <c r="Q200" s="45">
        <v>3884890</v>
      </c>
      <c r="R200" s="45"/>
      <c r="S200" s="45">
        <f t="shared" si="14"/>
        <v>4039233</v>
      </c>
      <c r="T200" s="45"/>
      <c r="U200" s="44">
        <f t="shared" si="15"/>
        <v>0</v>
      </c>
      <c r="V200" s="44">
        <f t="shared" si="16"/>
        <v>0</v>
      </c>
    </row>
    <row r="201" spans="1:22" s="44" customFormat="1" ht="12.75" customHeight="1">
      <c r="A201" s="44" t="s">
        <v>230</v>
      </c>
      <c r="C201" s="44" t="s">
        <v>45</v>
      </c>
      <c r="D201" s="35"/>
      <c r="E201" s="45">
        <f>937071+2659</f>
        <v>939730</v>
      </c>
      <c r="F201" s="45"/>
      <c r="G201" s="45">
        <v>2558376</v>
      </c>
      <c r="H201" s="45"/>
      <c r="I201" s="45">
        <v>1447866</v>
      </c>
      <c r="J201" s="45"/>
      <c r="K201" s="45">
        <v>1576131</v>
      </c>
      <c r="L201" s="45"/>
      <c r="M201" s="45">
        <v>24826</v>
      </c>
      <c r="N201" s="45"/>
      <c r="O201" s="45">
        <v>0</v>
      </c>
      <c r="P201" s="45"/>
      <c r="Q201" s="45">
        <v>957419</v>
      </c>
      <c r="R201" s="45"/>
      <c r="S201" s="45">
        <f t="shared" si="14"/>
        <v>982245</v>
      </c>
      <c r="T201" s="45"/>
      <c r="U201" s="44">
        <f t="shared" si="15"/>
        <v>0</v>
      </c>
      <c r="V201" s="44">
        <f t="shared" si="16"/>
        <v>0</v>
      </c>
    </row>
    <row r="202" spans="1:22" s="44" customFormat="1" ht="12.75" customHeight="1">
      <c r="A202" s="44" t="s">
        <v>231</v>
      </c>
      <c r="C202" s="44" t="s">
        <v>27</v>
      </c>
      <c r="D202" s="35"/>
      <c r="E202" s="45">
        <v>22269589</v>
      </c>
      <c r="F202" s="45"/>
      <c r="G202" s="45">
        <v>28182881</v>
      </c>
      <c r="H202" s="45"/>
      <c r="I202" s="45">
        <v>2683606</v>
      </c>
      <c r="J202" s="45"/>
      <c r="K202" s="45">
        <v>3648373</v>
      </c>
      <c r="L202" s="45"/>
      <c r="M202" s="45">
        <f>200112+82981</f>
        <v>283093</v>
      </c>
      <c r="N202" s="45"/>
      <c r="O202" s="45">
        <v>0</v>
      </c>
      <c r="P202" s="45"/>
      <c r="Q202" s="45">
        <v>24251415</v>
      </c>
      <c r="R202" s="45"/>
      <c r="S202" s="45">
        <f t="shared" si="14"/>
        <v>24534508</v>
      </c>
      <c r="T202" s="45"/>
      <c r="U202" s="44">
        <f t="shared" si="15"/>
        <v>0</v>
      </c>
      <c r="V202" s="44">
        <f t="shared" si="16"/>
        <v>0</v>
      </c>
    </row>
    <row r="203" spans="1:22" s="44" customFormat="1" ht="12.75" customHeight="1">
      <c r="A203" s="44" t="s">
        <v>232</v>
      </c>
      <c r="B203" s="51"/>
      <c r="C203" s="44" t="s">
        <v>27</v>
      </c>
      <c r="D203" s="35"/>
      <c r="E203" s="45">
        <f>4225187+84586</f>
        <v>4309773</v>
      </c>
      <c r="F203" s="45"/>
      <c r="G203" s="45">
        <v>13982025</v>
      </c>
      <c r="H203" s="45"/>
      <c r="I203" s="45">
        <v>8246382</v>
      </c>
      <c r="J203" s="45"/>
      <c r="K203" s="45">
        <v>9492322</v>
      </c>
      <c r="L203" s="45"/>
      <c r="M203" s="45">
        <v>319845</v>
      </c>
      <c r="N203" s="45"/>
      <c r="O203" s="45">
        <v>2827</v>
      </c>
      <c r="P203" s="45"/>
      <c r="Q203" s="45">
        <v>4167031</v>
      </c>
      <c r="R203" s="45"/>
      <c r="S203" s="45">
        <f>+Q203+O203+M203</f>
        <v>4489703</v>
      </c>
      <c r="T203" s="45"/>
      <c r="U203" s="44">
        <f t="shared" si="15"/>
        <v>0</v>
      </c>
      <c r="V203" s="44">
        <f t="shared" si="16"/>
        <v>0</v>
      </c>
    </row>
    <row r="204" spans="1:22" s="44" customFormat="1" ht="12.75" customHeight="1">
      <c r="A204" s="44" t="s">
        <v>233</v>
      </c>
      <c r="B204" s="51"/>
      <c r="C204" s="44" t="s">
        <v>111</v>
      </c>
      <c r="D204" s="35"/>
      <c r="E204" s="45">
        <f>132115+5880189</f>
        <v>6012304</v>
      </c>
      <c r="F204" s="45"/>
      <c r="G204" s="45">
        <v>8213181</v>
      </c>
      <c r="H204" s="45"/>
      <c r="I204" s="45">
        <v>1361361</v>
      </c>
      <c r="J204" s="45"/>
      <c r="K204" s="45">
        <v>1787150</v>
      </c>
      <c r="L204" s="45"/>
      <c r="M204" s="45">
        <f>402860+43224+12682</f>
        <v>458766</v>
      </c>
      <c r="N204" s="45"/>
      <c r="O204" s="45">
        <v>0</v>
      </c>
      <c r="P204" s="45"/>
      <c r="Q204" s="45">
        <v>5967265</v>
      </c>
      <c r="R204" s="45"/>
      <c r="S204" s="45">
        <f t="shared" si="14"/>
        <v>6426031</v>
      </c>
      <c r="T204" s="45"/>
      <c r="U204" s="44">
        <f t="shared" si="15"/>
        <v>0</v>
      </c>
      <c r="V204" s="44">
        <f t="shared" si="16"/>
        <v>0</v>
      </c>
    </row>
    <row r="205" spans="1:22" s="44" customFormat="1" ht="12.75" customHeight="1">
      <c r="A205" s="46" t="s">
        <v>234</v>
      </c>
      <c r="B205" s="46"/>
      <c r="C205" s="46" t="s">
        <v>45</v>
      </c>
      <c r="D205" s="64"/>
      <c r="E205" s="45">
        <f>5089309+36642</f>
        <v>5125951</v>
      </c>
      <c r="F205" s="45"/>
      <c r="G205" s="45">
        <v>11712174</v>
      </c>
      <c r="H205" s="45"/>
      <c r="I205" s="45">
        <v>2710591</v>
      </c>
      <c r="J205" s="45"/>
      <c r="K205" s="45">
        <v>4126100</v>
      </c>
      <c r="L205" s="45"/>
      <c r="M205" s="45">
        <f>74850+221641+21129</f>
        <v>317620</v>
      </c>
      <c r="N205" s="45"/>
      <c r="O205" s="45">
        <f>167895+802037</f>
        <v>969932</v>
      </c>
      <c r="P205" s="45"/>
      <c r="Q205" s="45">
        <v>6298522</v>
      </c>
      <c r="R205" s="45"/>
      <c r="S205" s="45">
        <f t="shared" si="14"/>
        <v>7586074</v>
      </c>
      <c r="T205" s="45"/>
      <c r="U205" s="44">
        <f t="shared" si="15"/>
        <v>0</v>
      </c>
      <c r="V205" s="44">
        <f t="shared" si="16"/>
        <v>0</v>
      </c>
    </row>
    <row r="206" spans="1:22" s="44" customFormat="1" ht="12.75" customHeight="1">
      <c r="A206" s="44" t="s">
        <v>235</v>
      </c>
      <c r="C206" s="44" t="s">
        <v>183</v>
      </c>
      <c r="D206" s="35"/>
      <c r="E206" s="45">
        <f>4119840+757457</f>
        <v>4877297</v>
      </c>
      <c r="F206" s="45"/>
      <c r="G206" s="45">
        <v>14966798</v>
      </c>
      <c r="H206" s="45"/>
      <c r="I206" s="45">
        <v>6429241</v>
      </c>
      <c r="J206" s="45"/>
      <c r="K206" s="45">
        <v>9315740</v>
      </c>
      <c r="L206" s="45"/>
      <c r="M206" s="45">
        <f>2902+2510382</f>
        <v>2513284</v>
      </c>
      <c r="N206" s="45"/>
      <c r="O206" s="45">
        <v>0</v>
      </c>
      <c r="P206" s="45"/>
      <c r="Q206" s="45">
        <v>3137774</v>
      </c>
      <c r="R206" s="45"/>
      <c r="S206" s="45">
        <f t="shared" si="14"/>
        <v>5651058</v>
      </c>
      <c r="T206" s="45"/>
      <c r="U206" s="44">
        <f t="shared" si="15"/>
        <v>0</v>
      </c>
      <c r="V206" s="44">
        <f t="shared" si="16"/>
        <v>0</v>
      </c>
    </row>
    <row r="207" spans="1:22" s="44" customFormat="1" ht="12.75" customHeight="1">
      <c r="A207" s="44" t="s">
        <v>236</v>
      </c>
      <c r="B207" s="51"/>
      <c r="C207" s="44" t="s">
        <v>45</v>
      </c>
      <c r="D207" s="35"/>
      <c r="E207" s="45">
        <v>1308115</v>
      </c>
      <c r="F207" s="45"/>
      <c r="G207" s="45">
        <v>9522238</v>
      </c>
      <c r="H207" s="45"/>
      <c r="I207" s="45">
        <v>1016596</v>
      </c>
      <c r="J207" s="45"/>
      <c r="K207" s="45">
        <v>1687957</v>
      </c>
      <c r="L207" s="45"/>
      <c r="M207" s="45">
        <f>152780+39582+61557</f>
        <v>253919</v>
      </c>
      <c r="N207" s="45"/>
      <c r="O207" s="45">
        <v>0</v>
      </c>
      <c r="P207" s="45"/>
      <c r="Q207" s="45">
        <v>7580362</v>
      </c>
      <c r="R207" s="45"/>
      <c r="S207" s="45">
        <f t="shared" si="14"/>
        <v>7834281</v>
      </c>
      <c r="T207" s="45"/>
      <c r="U207" s="44">
        <f t="shared" si="15"/>
        <v>0</v>
      </c>
      <c r="V207" s="44">
        <f t="shared" si="16"/>
        <v>0</v>
      </c>
    </row>
    <row r="208" spans="1:22" s="44" customFormat="1" ht="12.75" customHeight="1">
      <c r="A208" s="44" t="s">
        <v>237</v>
      </c>
      <c r="C208" s="44" t="s">
        <v>33</v>
      </c>
      <c r="D208" s="35"/>
      <c r="E208" s="45">
        <v>21243</v>
      </c>
      <c r="F208" s="45"/>
      <c r="G208" s="45">
        <v>445873</v>
      </c>
      <c r="H208" s="45"/>
      <c r="I208" s="45">
        <v>370464</v>
      </c>
      <c r="J208" s="45"/>
      <c r="K208" s="45">
        <v>498998</v>
      </c>
      <c r="L208" s="45"/>
      <c r="M208" s="45">
        <f>911+860+1761</f>
        <v>3532</v>
      </c>
      <c r="N208" s="45"/>
      <c r="O208" s="45">
        <v>0</v>
      </c>
      <c r="P208" s="45"/>
      <c r="Q208" s="45">
        <v>-56657</v>
      </c>
      <c r="R208" s="45"/>
      <c r="S208" s="45">
        <f t="shared" si="14"/>
        <v>-53125</v>
      </c>
      <c r="T208" s="45"/>
      <c r="U208" s="44">
        <f t="shared" si="15"/>
        <v>0</v>
      </c>
      <c r="V208" s="44">
        <f t="shared" si="16"/>
        <v>0</v>
      </c>
    </row>
    <row r="209" spans="1:22" s="44" customFormat="1" ht="12.75" customHeight="1">
      <c r="B209" s="51"/>
      <c r="D209" s="3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8" t="s">
        <v>484</v>
      </c>
      <c r="T209" s="45"/>
    </row>
    <row r="210" spans="1:22" s="44" customFormat="1" ht="12.75" customHeight="1">
      <c r="A210" s="44" t="s">
        <v>238</v>
      </c>
      <c r="B210" s="51"/>
      <c r="C210" s="44" t="s">
        <v>239</v>
      </c>
      <c r="D210" s="35"/>
      <c r="E210" s="94">
        <v>44198469</v>
      </c>
      <c r="F210" s="94"/>
      <c r="G210" s="94">
        <v>5464099</v>
      </c>
      <c r="H210" s="94"/>
      <c r="I210" s="94">
        <v>351587</v>
      </c>
      <c r="J210" s="94"/>
      <c r="K210" s="94">
        <v>942467</v>
      </c>
      <c r="L210" s="94"/>
      <c r="M210" s="94">
        <f>123838+30159+45797</f>
        <v>199794</v>
      </c>
      <c r="N210" s="94"/>
      <c r="O210" s="94">
        <v>0</v>
      </c>
      <c r="P210" s="94"/>
      <c r="Q210" s="94">
        <v>4321838</v>
      </c>
      <c r="R210" s="94"/>
      <c r="S210" s="94">
        <f t="shared" si="14"/>
        <v>4521632</v>
      </c>
      <c r="T210" s="45"/>
      <c r="U210" s="44">
        <f t="shared" si="15"/>
        <v>0</v>
      </c>
      <c r="V210" s="44">
        <f t="shared" si="16"/>
        <v>0</v>
      </c>
    </row>
    <row r="211" spans="1:22" s="44" customFormat="1" ht="12.75" customHeight="1">
      <c r="A211" s="44" t="s">
        <v>486</v>
      </c>
      <c r="B211" s="51"/>
      <c r="C211" s="44" t="s">
        <v>249</v>
      </c>
      <c r="D211" s="35"/>
      <c r="E211" s="45">
        <v>256816</v>
      </c>
      <c r="F211" s="45"/>
      <c r="G211" s="45">
        <v>4608516</v>
      </c>
      <c r="H211" s="45"/>
      <c r="I211" s="45">
        <v>2481874</v>
      </c>
      <c r="J211" s="45"/>
      <c r="K211" s="45">
        <v>5128313</v>
      </c>
      <c r="L211" s="45"/>
      <c r="M211" s="45">
        <f>124716+7890+187000</f>
        <v>319606</v>
      </c>
      <c r="N211" s="45"/>
      <c r="O211" s="45">
        <v>0</v>
      </c>
      <c r="P211" s="45"/>
      <c r="Q211" s="45">
        <v>-839403</v>
      </c>
      <c r="R211" s="45"/>
      <c r="S211" s="45">
        <f>+Q211+O211+M211</f>
        <v>-519797</v>
      </c>
      <c r="T211" s="45"/>
      <c r="U211" s="44">
        <f>+G211-K211-S211</f>
        <v>0</v>
      </c>
      <c r="V211" s="44">
        <f>+G211-K211-S211</f>
        <v>0</v>
      </c>
    </row>
    <row r="212" spans="1:22" s="44" customFormat="1" ht="12.75" customHeight="1">
      <c r="A212" s="44" t="s">
        <v>240</v>
      </c>
      <c r="B212" s="51"/>
      <c r="C212" s="44" t="s">
        <v>13</v>
      </c>
      <c r="D212" s="35"/>
      <c r="E212" s="45">
        <v>4089300</v>
      </c>
      <c r="F212" s="45"/>
      <c r="G212" s="45">
        <v>12147982</v>
      </c>
      <c r="H212" s="45"/>
      <c r="I212" s="45">
        <v>1578310</v>
      </c>
      <c r="J212" s="45"/>
      <c r="K212" s="45">
        <v>7685972</v>
      </c>
      <c r="L212" s="45"/>
      <c r="M212" s="45">
        <f>321138+134040+150000</f>
        <v>605178</v>
      </c>
      <c r="N212" s="45"/>
      <c r="O212" s="45">
        <v>0</v>
      </c>
      <c r="P212" s="45"/>
      <c r="Q212" s="45">
        <v>3856832</v>
      </c>
      <c r="R212" s="45"/>
      <c r="S212" s="45">
        <f t="shared" si="14"/>
        <v>4462010</v>
      </c>
      <c r="T212" s="45"/>
      <c r="U212" s="44">
        <f t="shared" si="15"/>
        <v>0</v>
      </c>
      <c r="V212" s="44">
        <f t="shared" si="16"/>
        <v>0</v>
      </c>
    </row>
    <row r="213" spans="1:22" s="44" customFormat="1" ht="12.75" customHeight="1">
      <c r="A213" s="44" t="s">
        <v>241</v>
      </c>
      <c r="C213" s="44" t="s">
        <v>22</v>
      </c>
      <c r="D213" s="35"/>
      <c r="E213" s="45">
        <v>835095</v>
      </c>
      <c r="F213" s="45"/>
      <c r="G213" s="45">
        <v>4533119</v>
      </c>
      <c r="H213" s="45"/>
      <c r="I213" s="45">
        <v>154451</v>
      </c>
      <c r="J213" s="45"/>
      <c r="K213" s="45">
        <v>2727179</v>
      </c>
      <c r="L213" s="45"/>
      <c r="M213" s="45">
        <f>227414+5367+5128</f>
        <v>237909</v>
      </c>
      <c r="N213" s="45"/>
      <c r="O213" s="45">
        <v>0</v>
      </c>
      <c r="P213" s="45"/>
      <c r="Q213" s="45">
        <v>1568031</v>
      </c>
      <c r="R213" s="45"/>
      <c r="S213" s="45">
        <f t="shared" si="14"/>
        <v>1805940</v>
      </c>
      <c r="T213" s="45"/>
      <c r="U213" s="44">
        <f t="shared" si="15"/>
        <v>0</v>
      </c>
      <c r="V213" s="44">
        <f t="shared" si="16"/>
        <v>0</v>
      </c>
    </row>
    <row r="214" spans="1:22" s="44" customFormat="1" ht="12.75" customHeight="1">
      <c r="A214" s="44" t="s">
        <v>242</v>
      </c>
      <c r="B214" s="51"/>
      <c r="C214" s="44" t="s">
        <v>27</v>
      </c>
      <c r="D214" s="35"/>
      <c r="E214" s="45">
        <v>8381760</v>
      </c>
      <c r="F214" s="45"/>
      <c r="G214" s="45">
        <v>16578028</v>
      </c>
      <c r="H214" s="45"/>
      <c r="I214" s="45">
        <v>3733512</v>
      </c>
      <c r="J214" s="45"/>
      <c r="K214" s="45">
        <v>5073674</v>
      </c>
      <c r="L214" s="45"/>
      <c r="M214" s="45">
        <f>70553+272303</f>
        <v>342856</v>
      </c>
      <c r="N214" s="45"/>
      <c r="O214" s="45">
        <v>0</v>
      </c>
      <c r="P214" s="45"/>
      <c r="Q214" s="45">
        <v>11161498</v>
      </c>
      <c r="R214" s="45"/>
      <c r="S214" s="45">
        <f t="shared" si="14"/>
        <v>11504354</v>
      </c>
      <c r="T214" s="45"/>
      <c r="U214" s="44">
        <f t="shared" si="15"/>
        <v>0</v>
      </c>
      <c r="V214" s="44">
        <f>+G214-K214-S214</f>
        <v>0</v>
      </c>
    </row>
    <row r="215" spans="1:22" s="44" customFormat="1" ht="12.75" customHeight="1">
      <c r="A215" s="44" t="s">
        <v>243</v>
      </c>
      <c r="C215" s="44" t="s">
        <v>163</v>
      </c>
      <c r="D215" s="35"/>
      <c r="E215" s="45">
        <f>118661+610919</f>
        <v>729580</v>
      </c>
      <c r="F215" s="45"/>
      <c r="G215" s="45">
        <v>3449075</v>
      </c>
      <c r="H215" s="45"/>
      <c r="I215" s="45">
        <v>1535615</v>
      </c>
      <c r="J215" s="45"/>
      <c r="K215" s="45">
        <v>1966031</v>
      </c>
      <c r="L215" s="45"/>
      <c r="M215" s="45">
        <f>6763+55130+354676</f>
        <v>416569</v>
      </c>
      <c r="N215" s="45"/>
      <c r="O215" s="45">
        <v>0</v>
      </c>
      <c r="P215" s="45"/>
      <c r="Q215" s="45">
        <v>1066475</v>
      </c>
      <c r="R215" s="45"/>
      <c r="S215" s="45">
        <f t="shared" ref="S215" si="17">+Q215+O215+M215</f>
        <v>1483044</v>
      </c>
      <c r="T215" s="45"/>
      <c r="U215" s="44">
        <f t="shared" ref="U215" si="18">+G215-K215-S215</f>
        <v>0</v>
      </c>
      <c r="V215" s="44">
        <f t="shared" ref="V215" si="19">+G215-K215-S215</f>
        <v>0</v>
      </c>
    </row>
    <row r="216" spans="1:22" s="44" customFormat="1" ht="12.75" customHeight="1">
      <c r="A216" s="44" t="s">
        <v>244</v>
      </c>
      <c r="B216" s="51"/>
      <c r="C216" s="44" t="s">
        <v>13</v>
      </c>
      <c r="D216" s="35"/>
      <c r="E216" s="45">
        <v>2790321</v>
      </c>
      <c r="F216" s="45"/>
      <c r="G216" s="45">
        <v>5845042</v>
      </c>
      <c r="H216" s="45"/>
      <c r="I216" s="45">
        <v>11036395</v>
      </c>
      <c r="J216" s="45"/>
      <c r="K216" s="45">
        <v>2365637</v>
      </c>
      <c r="L216" s="45"/>
      <c r="M216" s="45">
        <f>235292+84014+55413</f>
        <v>374719</v>
      </c>
      <c r="N216" s="45"/>
      <c r="O216" s="45">
        <v>0</v>
      </c>
      <c r="P216" s="45"/>
      <c r="Q216" s="45">
        <v>3104686</v>
      </c>
      <c r="R216" s="45"/>
      <c r="S216" s="45">
        <f t="shared" ref="S216:S256" si="20">+Q216+O216+M216</f>
        <v>3479405</v>
      </c>
      <c r="T216" s="45"/>
      <c r="U216" s="44">
        <f t="shared" ref="U216:U256" si="21">+G216-K216-S216</f>
        <v>0</v>
      </c>
      <c r="V216" s="44">
        <f t="shared" ref="V216:V256" si="22">+G216-K216-S216</f>
        <v>0</v>
      </c>
    </row>
    <row r="217" spans="1:22" s="44" customFormat="1" ht="12.75" customHeight="1">
      <c r="A217" s="44" t="s">
        <v>245</v>
      </c>
      <c r="B217" s="51"/>
      <c r="C217" s="44" t="s">
        <v>110</v>
      </c>
      <c r="D217" s="35"/>
      <c r="E217" s="45">
        <v>518591</v>
      </c>
      <c r="F217" s="45"/>
      <c r="G217" s="45">
        <v>3899664</v>
      </c>
      <c r="H217" s="45"/>
      <c r="I217" s="45">
        <v>1414223</v>
      </c>
      <c r="J217" s="45"/>
      <c r="K217" s="45">
        <v>2861377</v>
      </c>
      <c r="L217" s="45"/>
      <c r="M217" s="45">
        <f>54245+13548+108869</f>
        <v>176662</v>
      </c>
      <c r="N217" s="45"/>
      <c r="O217" s="45">
        <v>0</v>
      </c>
      <c r="P217" s="45"/>
      <c r="Q217" s="45">
        <v>861625</v>
      </c>
      <c r="R217" s="45"/>
      <c r="S217" s="45">
        <f t="shared" si="20"/>
        <v>1038287</v>
      </c>
      <c r="T217" s="45"/>
      <c r="U217" s="44">
        <f t="shared" si="21"/>
        <v>0</v>
      </c>
      <c r="V217" s="44">
        <f t="shared" si="22"/>
        <v>0</v>
      </c>
    </row>
    <row r="218" spans="1:22" s="46" customFormat="1" ht="12.75" customHeight="1">
      <c r="A218" s="46" t="s">
        <v>246</v>
      </c>
      <c r="C218" s="46" t="s">
        <v>209</v>
      </c>
      <c r="D218" s="64"/>
      <c r="E218" s="45">
        <f>1120735+2536744</f>
        <v>3657479</v>
      </c>
      <c r="F218" s="45"/>
      <c r="G218" s="45">
        <v>5189211</v>
      </c>
      <c r="H218" s="45"/>
      <c r="I218" s="45">
        <v>870506</v>
      </c>
      <c r="J218" s="45"/>
      <c r="K218" s="45">
        <v>1185257</v>
      </c>
      <c r="L218" s="45"/>
      <c r="M218" s="45">
        <f>72121+23241+52499</f>
        <v>147861</v>
      </c>
      <c r="N218" s="45"/>
      <c r="O218" s="45">
        <v>0</v>
      </c>
      <c r="P218" s="45"/>
      <c r="Q218" s="45">
        <v>3856093</v>
      </c>
      <c r="R218" s="45"/>
      <c r="S218" s="45">
        <f t="shared" si="20"/>
        <v>4003954</v>
      </c>
      <c r="T218" s="45"/>
      <c r="U218" s="44">
        <f t="shared" si="21"/>
        <v>0</v>
      </c>
      <c r="V218" s="44">
        <f t="shared" si="22"/>
        <v>0</v>
      </c>
    </row>
    <row r="219" spans="1:22" s="44" customFormat="1" ht="12.75" customHeight="1">
      <c r="A219" s="44" t="s">
        <v>247</v>
      </c>
      <c r="C219" s="44" t="s">
        <v>163</v>
      </c>
      <c r="D219" s="35"/>
      <c r="E219" s="45">
        <f>122000+31000+756000</f>
        <v>909000</v>
      </c>
      <c r="F219" s="45"/>
      <c r="G219" s="45">
        <v>72791000</v>
      </c>
      <c r="H219" s="45"/>
      <c r="I219" s="45">
        <v>28982000</v>
      </c>
      <c r="J219" s="45"/>
      <c r="K219" s="45">
        <v>80811000</v>
      </c>
      <c r="L219" s="45"/>
      <c r="M219" s="45">
        <f>2982000+655000+4161000</f>
        <v>7798000</v>
      </c>
      <c r="N219" s="45"/>
      <c r="O219" s="45">
        <v>0</v>
      </c>
      <c r="P219" s="45"/>
      <c r="Q219" s="45">
        <f>465000-16283000</f>
        <v>-15818000</v>
      </c>
      <c r="R219" s="45"/>
      <c r="S219" s="45">
        <f t="shared" si="20"/>
        <v>-8020000</v>
      </c>
      <c r="T219" s="45"/>
      <c r="U219" s="44">
        <f t="shared" si="21"/>
        <v>0</v>
      </c>
      <c r="V219" s="44">
        <f t="shared" si="22"/>
        <v>0</v>
      </c>
    </row>
    <row r="220" spans="1:22" s="44" customFormat="1" ht="12.75" customHeight="1">
      <c r="A220" s="44" t="s">
        <v>248</v>
      </c>
      <c r="C220" s="44" t="s">
        <v>249</v>
      </c>
      <c r="D220" s="35"/>
      <c r="E220" s="45">
        <v>724981</v>
      </c>
      <c r="F220" s="45"/>
      <c r="G220" s="45">
        <v>1815990</v>
      </c>
      <c r="H220" s="45"/>
      <c r="I220" s="45">
        <v>926124</v>
      </c>
      <c r="J220" s="45"/>
      <c r="K220" s="45">
        <v>982543</v>
      </c>
      <c r="L220" s="45"/>
      <c r="M220" s="45">
        <v>0</v>
      </c>
      <c r="N220" s="45"/>
      <c r="O220" s="45">
        <v>0</v>
      </c>
      <c r="P220" s="45"/>
      <c r="Q220" s="45">
        <v>833447</v>
      </c>
      <c r="R220" s="45"/>
      <c r="S220" s="45">
        <f t="shared" si="20"/>
        <v>833447</v>
      </c>
      <c r="T220" s="45"/>
      <c r="U220" s="44">
        <f t="shared" si="21"/>
        <v>0</v>
      </c>
      <c r="V220" s="44">
        <f t="shared" si="22"/>
        <v>0</v>
      </c>
    </row>
    <row r="221" spans="1:22" s="44" customFormat="1" ht="12.75" customHeight="1">
      <c r="A221" s="44" t="s">
        <v>250</v>
      </c>
      <c r="B221" s="51"/>
      <c r="C221" s="44" t="s">
        <v>103</v>
      </c>
      <c r="D221" s="35"/>
      <c r="E221" s="45">
        <v>2092725</v>
      </c>
      <c r="F221" s="45"/>
      <c r="G221" s="45">
        <v>3006817</v>
      </c>
      <c r="H221" s="45"/>
      <c r="I221" s="45">
        <v>742517</v>
      </c>
      <c r="J221" s="45"/>
      <c r="K221" s="45">
        <v>864442</v>
      </c>
      <c r="L221" s="45"/>
      <c r="M221" s="45">
        <v>39517</v>
      </c>
      <c r="N221" s="45"/>
      <c r="O221" s="45">
        <v>0</v>
      </c>
      <c r="P221" s="45"/>
      <c r="Q221" s="45">
        <v>2102858</v>
      </c>
      <c r="R221" s="45"/>
      <c r="S221" s="45">
        <f t="shared" si="20"/>
        <v>2142375</v>
      </c>
      <c r="T221" s="45"/>
      <c r="U221" s="44">
        <f t="shared" si="21"/>
        <v>0</v>
      </c>
      <c r="V221" s="44">
        <f t="shared" si="22"/>
        <v>0</v>
      </c>
    </row>
    <row r="222" spans="1:22" s="44" customFormat="1" ht="12.75" customHeight="1">
      <c r="A222" s="44" t="s">
        <v>251</v>
      </c>
      <c r="B222" s="51"/>
      <c r="C222" s="44" t="s">
        <v>66</v>
      </c>
      <c r="D222" s="35"/>
      <c r="E222" s="45">
        <v>809726</v>
      </c>
      <c r="F222" s="45"/>
      <c r="G222" s="45">
        <v>5710596</v>
      </c>
      <c r="H222" s="45"/>
      <c r="I222" s="45">
        <v>3714094</v>
      </c>
      <c r="J222" s="45"/>
      <c r="K222" s="45">
        <v>4778343</v>
      </c>
      <c r="L222" s="45"/>
      <c r="M222" s="45">
        <v>32781</v>
      </c>
      <c r="N222" s="45"/>
      <c r="O222" s="45">
        <v>0</v>
      </c>
      <c r="P222" s="45"/>
      <c r="Q222" s="45">
        <v>899472</v>
      </c>
      <c r="R222" s="45"/>
      <c r="S222" s="45">
        <f t="shared" si="20"/>
        <v>932253</v>
      </c>
      <c r="T222" s="45"/>
      <c r="U222" s="44">
        <f t="shared" si="21"/>
        <v>0</v>
      </c>
      <c r="V222" s="44">
        <f t="shared" si="22"/>
        <v>0</v>
      </c>
    </row>
    <row r="223" spans="1:22" s="44" customFormat="1" ht="12.75" customHeight="1">
      <c r="A223" s="44" t="s">
        <v>252</v>
      </c>
      <c r="B223" s="51"/>
      <c r="C223" s="44" t="s">
        <v>209</v>
      </c>
      <c r="D223" s="35"/>
      <c r="E223" s="45">
        <v>41250207</v>
      </c>
      <c r="F223" s="45"/>
      <c r="G223" s="45">
        <v>45576724</v>
      </c>
      <c r="H223" s="45"/>
      <c r="I223" s="45">
        <v>2224282</v>
      </c>
      <c r="J223" s="45"/>
      <c r="K223" s="45">
        <v>3091466</v>
      </c>
      <c r="L223" s="45"/>
      <c r="M223" s="45">
        <f>328312+103033</f>
        <v>431345</v>
      </c>
      <c r="N223" s="45"/>
      <c r="O223" s="45">
        <v>0</v>
      </c>
      <c r="P223" s="45"/>
      <c r="Q223" s="45">
        <v>42053913</v>
      </c>
      <c r="R223" s="45"/>
      <c r="S223" s="45">
        <f t="shared" si="20"/>
        <v>42485258</v>
      </c>
      <c r="T223" s="45"/>
      <c r="U223" s="44">
        <f t="shared" si="21"/>
        <v>0</v>
      </c>
      <c r="V223" s="44">
        <f t="shared" si="22"/>
        <v>0</v>
      </c>
    </row>
    <row r="224" spans="1:22" s="44" customFormat="1" ht="12.75" customHeight="1">
      <c r="A224" s="44" t="s">
        <v>253</v>
      </c>
      <c r="B224" s="51"/>
      <c r="C224" s="44" t="s">
        <v>13</v>
      </c>
      <c r="D224" s="35"/>
      <c r="E224" s="45">
        <f>6717734+35841</f>
        <v>6753575</v>
      </c>
      <c r="F224" s="45"/>
      <c r="G224" s="45">
        <v>11276310</v>
      </c>
      <c r="H224" s="45"/>
      <c r="I224" s="45">
        <v>1504277</v>
      </c>
      <c r="J224" s="45"/>
      <c r="K224" s="45">
        <v>2482270</v>
      </c>
      <c r="L224" s="45"/>
      <c r="M224" s="45">
        <f>53115+219928+35841</f>
        <v>308884</v>
      </c>
      <c r="N224" s="45"/>
      <c r="O224" s="45">
        <v>0</v>
      </c>
      <c r="P224" s="45"/>
      <c r="Q224" s="45">
        <v>8485156</v>
      </c>
      <c r="R224" s="45"/>
      <c r="S224" s="45">
        <f>+Q224+O224+M224</f>
        <v>8794040</v>
      </c>
      <c r="T224" s="45"/>
      <c r="U224" s="44">
        <f t="shared" si="21"/>
        <v>0</v>
      </c>
      <c r="V224" s="44">
        <f t="shared" si="22"/>
        <v>0</v>
      </c>
    </row>
    <row r="225" spans="1:22" s="44" customFormat="1" ht="12.75" customHeight="1">
      <c r="A225" s="44" t="s">
        <v>254</v>
      </c>
      <c r="B225" s="51"/>
      <c r="C225" s="44" t="s">
        <v>89</v>
      </c>
      <c r="D225" s="35"/>
      <c r="E225" s="45">
        <v>816367</v>
      </c>
      <c r="F225" s="45"/>
      <c r="G225" s="45">
        <v>1564610</v>
      </c>
      <c r="H225" s="45"/>
      <c r="I225" s="45">
        <v>542058</v>
      </c>
      <c r="J225" s="45"/>
      <c r="K225" s="45">
        <v>583976</v>
      </c>
      <c r="L225" s="45"/>
      <c r="M225" s="45">
        <v>0</v>
      </c>
      <c r="N225" s="45"/>
      <c r="O225" s="45">
        <v>0</v>
      </c>
      <c r="P225" s="45"/>
      <c r="Q225" s="45">
        <v>980634</v>
      </c>
      <c r="R225" s="45"/>
      <c r="S225" s="45">
        <f t="shared" si="20"/>
        <v>980634</v>
      </c>
      <c r="T225" s="45"/>
      <c r="U225" s="44">
        <f t="shared" si="21"/>
        <v>0</v>
      </c>
      <c r="V225" s="44">
        <f t="shared" si="22"/>
        <v>0</v>
      </c>
    </row>
    <row r="226" spans="1:22" s="44" customFormat="1" ht="12.75" customHeight="1">
      <c r="A226" s="44" t="s">
        <v>159</v>
      </c>
      <c r="C226" s="44" t="s">
        <v>66</v>
      </c>
      <c r="D226" s="35"/>
      <c r="E226" s="45">
        <v>429281</v>
      </c>
      <c r="F226" s="45"/>
      <c r="G226" s="45">
        <v>982722</v>
      </c>
      <c r="H226" s="45"/>
      <c r="I226" s="45">
        <v>437126</v>
      </c>
      <c r="J226" s="45"/>
      <c r="K226" s="45">
        <v>457447</v>
      </c>
      <c r="L226" s="45"/>
      <c r="M226" s="45">
        <f>3513+21570+1627</f>
        <v>26710</v>
      </c>
      <c r="N226" s="45"/>
      <c r="O226" s="45">
        <v>0</v>
      </c>
      <c r="P226" s="45"/>
      <c r="Q226" s="45">
        <v>498565</v>
      </c>
      <c r="R226" s="45"/>
      <c r="S226" s="45">
        <f>+Q226+O226+M226</f>
        <v>525275</v>
      </c>
      <c r="T226" s="45"/>
      <c r="U226" s="44">
        <f t="shared" si="21"/>
        <v>0</v>
      </c>
      <c r="V226" s="44">
        <f>+G226-K226-S226</f>
        <v>0</v>
      </c>
    </row>
    <row r="227" spans="1:22" s="44" customFormat="1" ht="12.75" customHeight="1">
      <c r="A227" s="44" t="s">
        <v>255</v>
      </c>
      <c r="B227" s="51"/>
      <c r="C227" s="44" t="s">
        <v>27</v>
      </c>
      <c r="D227" s="35"/>
      <c r="E227" s="45">
        <v>199548</v>
      </c>
      <c r="F227" s="45"/>
      <c r="G227" s="45">
        <v>7287537</v>
      </c>
      <c r="H227" s="45"/>
      <c r="I227" s="45">
        <v>5366578</v>
      </c>
      <c r="J227" s="45"/>
      <c r="K227" s="45">
        <v>6134884</v>
      </c>
      <c r="L227" s="45"/>
      <c r="M227" s="45">
        <f>42374+101324+60295</f>
        <v>203993</v>
      </c>
      <c r="N227" s="45"/>
      <c r="O227" s="45">
        <v>0</v>
      </c>
      <c r="P227" s="45"/>
      <c r="Q227" s="45">
        <v>948660</v>
      </c>
      <c r="R227" s="45"/>
      <c r="S227" s="45">
        <f t="shared" si="20"/>
        <v>1152653</v>
      </c>
      <c r="T227" s="45"/>
      <c r="U227" s="44">
        <f t="shared" si="21"/>
        <v>0</v>
      </c>
      <c r="V227" s="44">
        <f t="shared" si="22"/>
        <v>0</v>
      </c>
    </row>
    <row r="228" spans="1:22" s="44" customFormat="1" ht="12.75" customHeight="1">
      <c r="A228" s="44" t="s">
        <v>256</v>
      </c>
      <c r="C228" s="44" t="s">
        <v>43</v>
      </c>
      <c r="D228" s="35"/>
      <c r="E228" s="45">
        <v>24761287</v>
      </c>
      <c r="F228" s="45"/>
      <c r="G228" s="45">
        <v>41654429</v>
      </c>
      <c r="H228" s="45"/>
      <c r="I228" s="45">
        <v>13439793</v>
      </c>
      <c r="J228" s="45"/>
      <c r="K228" s="45">
        <v>14900273</v>
      </c>
      <c r="L228" s="45"/>
      <c r="M228" s="45">
        <f>479093+114441+655031</f>
        <v>1248565</v>
      </c>
      <c r="N228" s="45"/>
      <c r="O228" s="45">
        <f>6203914+359425</f>
        <v>6563339</v>
      </c>
      <c r="P228" s="45"/>
      <c r="Q228" s="45">
        <v>18942252</v>
      </c>
      <c r="R228" s="45"/>
      <c r="S228" s="45">
        <f>+Q228+O228+M228</f>
        <v>26754156</v>
      </c>
      <c r="T228" s="45"/>
      <c r="U228" s="44">
        <f t="shared" si="21"/>
        <v>0</v>
      </c>
      <c r="V228" s="44">
        <f>+G228-K228-S228</f>
        <v>0</v>
      </c>
    </row>
    <row r="229" spans="1:22" s="44" customFormat="1" ht="12.75" customHeight="1">
      <c r="A229" s="44" t="s">
        <v>257</v>
      </c>
      <c r="B229" s="51"/>
      <c r="C229" s="44" t="s">
        <v>258</v>
      </c>
      <c r="D229" s="35"/>
      <c r="E229" s="45">
        <v>0</v>
      </c>
      <c r="F229" s="45"/>
      <c r="G229" s="45">
        <v>1324688</v>
      </c>
      <c r="H229" s="45"/>
      <c r="I229" s="45">
        <v>1193360</v>
      </c>
      <c r="J229" s="45"/>
      <c r="K229" s="45">
        <v>1560666</v>
      </c>
      <c r="L229" s="45"/>
      <c r="M229" s="45">
        <v>3412</v>
      </c>
      <c r="N229" s="45"/>
      <c r="O229" s="45">
        <v>0</v>
      </c>
      <c r="P229" s="45"/>
      <c r="Q229" s="45">
        <v>-239390</v>
      </c>
      <c r="R229" s="45"/>
      <c r="S229" s="45">
        <f>+Q229+O229+M229</f>
        <v>-235978</v>
      </c>
      <c r="T229" s="45"/>
      <c r="U229" s="44">
        <f t="shared" si="21"/>
        <v>0</v>
      </c>
      <c r="V229" s="44">
        <f>+G229-K229-S229</f>
        <v>0</v>
      </c>
    </row>
    <row r="230" spans="1:22" s="44" customFormat="1" ht="12.75" customHeight="1">
      <c r="A230" s="44" t="s">
        <v>259</v>
      </c>
      <c r="B230" s="51"/>
      <c r="C230" s="44" t="s">
        <v>260</v>
      </c>
      <c r="D230" s="35"/>
      <c r="E230" s="45">
        <v>153664</v>
      </c>
      <c r="F230" s="45"/>
      <c r="G230" s="45">
        <v>2327058</v>
      </c>
      <c r="H230" s="45"/>
      <c r="I230" s="45">
        <v>1036026</v>
      </c>
      <c r="J230" s="45"/>
      <c r="K230" s="45">
        <v>1555714</v>
      </c>
      <c r="L230" s="45"/>
      <c r="M230" s="45">
        <f>12462+23869+426460+24898</f>
        <v>487689</v>
      </c>
      <c r="N230" s="45"/>
      <c r="O230" s="45">
        <v>0</v>
      </c>
      <c r="P230" s="45"/>
      <c r="Q230" s="45">
        <v>283655</v>
      </c>
      <c r="R230" s="45"/>
      <c r="S230" s="45">
        <f t="shared" si="20"/>
        <v>771344</v>
      </c>
      <c r="T230" s="45"/>
      <c r="U230" s="44">
        <f t="shared" si="21"/>
        <v>0</v>
      </c>
      <c r="V230" s="44">
        <f t="shared" si="22"/>
        <v>0</v>
      </c>
    </row>
    <row r="231" spans="1:22" s="44" customFormat="1" ht="12.75" customHeight="1">
      <c r="A231" s="44" t="s">
        <v>261</v>
      </c>
      <c r="B231" s="51"/>
      <c r="C231" s="44" t="s">
        <v>66</v>
      </c>
      <c r="D231" s="35"/>
      <c r="E231" s="45">
        <v>15198241</v>
      </c>
      <c r="F231" s="45"/>
      <c r="G231" s="45">
        <v>20077383</v>
      </c>
      <c r="H231" s="45"/>
      <c r="I231" s="45">
        <v>3229139</v>
      </c>
      <c r="J231" s="45"/>
      <c r="K231" s="45">
        <v>6044470</v>
      </c>
      <c r="L231" s="45"/>
      <c r="M231" s="45">
        <f>856530+6657+407511+33541</f>
        <v>1304239</v>
      </c>
      <c r="N231" s="45"/>
      <c r="O231" s="45">
        <v>915000</v>
      </c>
      <c r="P231" s="45"/>
      <c r="Q231" s="45">
        <v>11813674</v>
      </c>
      <c r="R231" s="45"/>
      <c r="S231" s="45">
        <f t="shared" si="20"/>
        <v>14032913</v>
      </c>
      <c r="T231" s="45"/>
      <c r="U231" s="44">
        <f t="shared" si="21"/>
        <v>0</v>
      </c>
      <c r="V231" s="44">
        <f t="shared" si="22"/>
        <v>0</v>
      </c>
    </row>
    <row r="232" spans="1:22" s="44" customFormat="1" ht="12.75" customHeight="1">
      <c r="A232" s="44" t="s">
        <v>262</v>
      </c>
      <c r="B232" s="51"/>
      <c r="C232" s="44" t="s">
        <v>132</v>
      </c>
      <c r="D232" s="35"/>
      <c r="E232" s="45">
        <v>82190</v>
      </c>
      <c r="F232" s="45"/>
      <c r="G232" s="45">
        <v>3232565</v>
      </c>
      <c r="H232" s="45"/>
      <c r="I232" s="45">
        <v>2631487</v>
      </c>
      <c r="J232" s="45"/>
      <c r="K232" s="45">
        <v>2919286</v>
      </c>
      <c r="L232" s="45"/>
      <c r="M232" s="45">
        <f>27305+219497</f>
        <v>246802</v>
      </c>
      <c r="N232" s="45"/>
      <c r="O232" s="45">
        <v>0</v>
      </c>
      <c r="P232" s="45"/>
      <c r="Q232" s="45">
        <v>66477</v>
      </c>
      <c r="R232" s="45"/>
      <c r="S232" s="45">
        <f t="shared" si="20"/>
        <v>313279</v>
      </c>
      <c r="T232" s="45"/>
      <c r="U232" s="44">
        <f t="shared" si="21"/>
        <v>0</v>
      </c>
      <c r="V232" s="44">
        <f t="shared" si="22"/>
        <v>0</v>
      </c>
    </row>
    <row r="233" spans="1:22" s="44" customFormat="1" ht="12.75" customHeight="1">
      <c r="A233" s="44" t="s">
        <v>263</v>
      </c>
      <c r="B233" s="51"/>
      <c r="C233" s="44" t="s">
        <v>53</v>
      </c>
      <c r="D233" s="35"/>
      <c r="E233" s="45">
        <f>3329554+5579+3178</f>
        <v>3338311</v>
      </c>
      <c r="F233" s="45"/>
      <c r="G233" s="45">
        <v>6382909</v>
      </c>
      <c r="H233" s="45"/>
      <c r="I233" s="45">
        <v>766352</v>
      </c>
      <c r="J233" s="45"/>
      <c r="K233" s="45">
        <v>2321614</v>
      </c>
      <c r="L233" s="45"/>
      <c r="M233" s="45">
        <f>583995+48597+924971</f>
        <v>1557563</v>
      </c>
      <c r="N233" s="45"/>
      <c r="O233" s="45">
        <v>0</v>
      </c>
      <c r="P233" s="45"/>
      <c r="Q233" s="45">
        <v>2503732</v>
      </c>
      <c r="R233" s="45"/>
      <c r="S233" s="45">
        <f t="shared" si="20"/>
        <v>4061295</v>
      </c>
      <c r="T233" s="45"/>
      <c r="U233" s="44">
        <f t="shared" si="21"/>
        <v>0</v>
      </c>
      <c r="V233" s="44">
        <f t="shared" si="22"/>
        <v>0</v>
      </c>
    </row>
    <row r="234" spans="1:22" s="46" customFormat="1" ht="12.75" customHeight="1">
      <c r="A234" s="44" t="s">
        <v>264</v>
      </c>
      <c r="B234" s="51"/>
      <c r="C234" s="44" t="s">
        <v>239</v>
      </c>
      <c r="D234" s="35"/>
      <c r="E234" s="45">
        <v>2576205</v>
      </c>
      <c r="F234" s="45"/>
      <c r="G234" s="45">
        <v>4208594</v>
      </c>
      <c r="H234" s="45"/>
      <c r="I234" s="45">
        <v>1210988</v>
      </c>
      <c r="J234" s="45"/>
      <c r="K234" s="45">
        <v>1523416</v>
      </c>
      <c r="L234" s="45"/>
      <c r="M234" s="45">
        <f>5263+133434</f>
        <v>138697</v>
      </c>
      <c r="N234" s="45"/>
      <c r="O234" s="45">
        <v>0</v>
      </c>
      <c r="P234" s="45"/>
      <c r="Q234" s="45">
        <v>2546481</v>
      </c>
      <c r="R234" s="45"/>
      <c r="S234" s="45">
        <f t="shared" si="20"/>
        <v>2685178</v>
      </c>
      <c r="T234" s="45"/>
      <c r="U234" s="44">
        <f t="shared" si="21"/>
        <v>0</v>
      </c>
      <c r="V234" s="44">
        <f t="shared" si="22"/>
        <v>0</v>
      </c>
    </row>
    <row r="235" spans="1:22" s="44" customFormat="1" ht="12.75" customHeight="1">
      <c r="A235" s="44" t="s">
        <v>111</v>
      </c>
      <c r="B235" s="51"/>
      <c r="C235" s="44" t="s">
        <v>80</v>
      </c>
      <c r="D235" s="35"/>
      <c r="E235" s="45">
        <v>1522880</v>
      </c>
      <c r="F235" s="45"/>
      <c r="G235" s="45">
        <v>7165570</v>
      </c>
      <c r="H235" s="45"/>
      <c r="I235" s="45">
        <v>2268555</v>
      </c>
      <c r="J235" s="45"/>
      <c r="K235" s="45">
        <v>3049238</v>
      </c>
      <c r="L235" s="45"/>
      <c r="M235" s="45">
        <f>82957+5956</f>
        <v>88913</v>
      </c>
      <c r="N235" s="45"/>
      <c r="O235" s="45">
        <v>0</v>
      </c>
      <c r="P235" s="45"/>
      <c r="Q235" s="45">
        <v>4027419</v>
      </c>
      <c r="R235" s="45"/>
      <c r="S235" s="45">
        <f t="shared" si="20"/>
        <v>4116332</v>
      </c>
      <c r="T235" s="45"/>
      <c r="U235" s="44">
        <f t="shared" si="21"/>
        <v>0</v>
      </c>
      <c r="V235" s="44">
        <f t="shared" si="22"/>
        <v>0</v>
      </c>
    </row>
    <row r="236" spans="1:22" s="44" customFormat="1" ht="12.75" customHeight="1">
      <c r="A236" s="44" t="s">
        <v>265</v>
      </c>
      <c r="B236" s="51"/>
      <c r="C236" s="44" t="s">
        <v>27</v>
      </c>
      <c r="D236" s="35"/>
      <c r="E236" s="45">
        <v>0</v>
      </c>
      <c r="F236" s="45"/>
      <c r="G236" s="45">
        <v>4185758</v>
      </c>
      <c r="H236" s="45"/>
      <c r="I236" s="45">
        <v>1358420</v>
      </c>
      <c r="J236" s="45"/>
      <c r="K236" s="45">
        <v>3916199</v>
      </c>
      <c r="L236" s="45"/>
      <c r="M236" s="45">
        <v>48312</v>
      </c>
      <c r="N236" s="45"/>
      <c r="O236" s="45">
        <v>0</v>
      </c>
      <c r="P236" s="45"/>
      <c r="Q236" s="45">
        <v>221247</v>
      </c>
      <c r="R236" s="45"/>
      <c r="S236" s="45">
        <f t="shared" si="20"/>
        <v>269559</v>
      </c>
      <c r="T236" s="45"/>
      <c r="U236" s="44">
        <f t="shared" si="21"/>
        <v>0</v>
      </c>
      <c r="V236" s="44">
        <f t="shared" si="22"/>
        <v>0</v>
      </c>
    </row>
    <row r="237" spans="1:22" s="44" customFormat="1" ht="12.75" customHeight="1">
      <c r="A237" s="44" t="s">
        <v>40</v>
      </c>
      <c r="B237" s="51"/>
      <c r="C237" s="47" t="s">
        <v>451</v>
      </c>
      <c r="D237" s="35"/>
      <c r="E237" s="45">
        <f>961405+36185</f>
        <v>997590</v>
      </c>
      <c r="F237" s="45"/>
      <c r="G237" s="45">
        <v>3122862</v>
      </c>
      <c r="H237" s="45"/>
      <c r="I237" s="45">
        <v>1378399</v>
      </c>
      <c r="J237" s="45"/>
      <c r="K237" s="45">
        <v>1808045</v>
      </c>
      <c r="L237" s="45"/>
      <c r="M237" s="45">
        <f>9820+26335</f>
        <v>36155</v>
      </c>
      <c r="N237" s="45"/>
      <c r="O237" s="45">
        <v>0</v>
      </c>
      <c r="P237" s="45"/>
      <c r="Q237" s="45">
        <v>1278662</v>
      </c>
      <c r="R237" s="45"/>
      <c r="S237" s="45">
        <f t="shared" si="20"/>
        <v>1314817</v>
      </c>
      <c r="T237" s="45"/>
      <c r="U237" s="44">
        <f t="shared" si="21"/>
        <v>0</v>
      </c>
      <c r="V237" s="44">
        <f t="shared" si="22"/>
        <v>0</v>
      </c>
    </row>
    <row r="238" spans="1:22" s="46" customFormat="1" ht="12.75" customHeight="1">
      <c r="A238" s="44" t="s">
        <v>266</v>
      </c>
      <c r="B238" s="44"/>
      <c r="C238" s="44" t="s">
        <v>267</v>
      </c>
      <c r="D238" s="35"/>
      <c r="E238" s="45">
        <f>158185+183870</f>
        <v>342055</v>
      </c>
      <c r="F238" s="45"/>
      <c r="G238" s="45">
        <v>1145794</v>
      </c>
      <c r="H238" s="45"/>
      <c r="I238" s="45">
        <v>436102</v>
      </c>
      <c r="J238" s="45"/>
      <c r="K238" s="45">
        <v>692478</v>
      </c>
      <c r="L238" s="45"/>
      <c r="M238" s="45">
        <f>100354+45797+25997</f>
        <v>172148</v>
      </c>
      <c r="N238" s="45"/>
      <c r="O238" s="45">
        <v>0</v>
      </c>
      <c r="P238" s="45"/>
      <c r="Q238" s="45">
        <v>281168</v>
      </c>
      <c r="R238" s="45"/>
      <c r="S238" s="45">
        <f t="shared" si="20"/>
        <v>453316</v>
      </c>
      <c r="T238" s="45"/>
      <c r="U238" s="44">
        <f t="shared" si="21"/>
        <v>0</v>
      </c>
      <c r="V238" s="44">
        <f t="shared" si="22"/>
        <v>0</v>
      </c>
    </row>
    <row r="239" spans="1:22" s="44" customFormat="1" ht="12.75" customHeight="1">
      <c r="A239" s="44" t="s">
        <v>268</v>
      </c>
      <c r="B239" s="51"/>
      <c r="C239" s="44" t="s">
        <v>269</v>
      </c>
      <c r="D239" s="35"/>
      <c r="E239" s="45">
        <v>800330</v>
      </c>
      <c r="F239" s="45"/>
      <c r="G239" s="45">
        <v>1509472</v>
      </c>
      <c r="H239" s="45"/>
      <c r="I239" s="45">
        <v>424987</v>
      </c>
      <c r="J239" s="45"/>
      <c r="K239" s="45">
        <v>471652</v>
      </c>
      <c r="L239" s="45"/>
      <c r="M239" s="45">
        <v>43665</v>
      </c>
      <c r="N239" s="45"/>
      <c r="O239" s="45">
        <v>0</v>
      </c>
      <c r="P239" s="45"/>
      <c r="Q239" s="45">
        <v>994155</v>
      </c>
      <c r="R239" s="45"/>
      <c r="S239" s="45">
        <f t="shared" si="20"/>
        <v>1037820</v>
      </c>
      <c r="T239" s="45"/>
      <c r="U239" s="44">
        <f t="shared" si="21"/>
        <v>0</v>
      </c>
      <c r="V239" s="44">
        <f t="shared" si="22"/>
        <v>0</v>
      </c>
    </row>
    <row r="240" spans="1:22" s="44" customFormat="1" ht="12.75" customHeight="1">
      <c r="A240" s="44" t="s">
        <v>270</v>
      </c>
      <c r="B240" s="51"/>
      <c r="C240" s="44" t="s">
        <v>136</v>
      </c>
      <c r="D240" s="35"/>
      <c r="E240" s="45">
        <v>0</v>
      </c>
      <c r="F240" s="45"/>
      <c r="G240" s="45">
        <v>1797484</v>
      </c>
      <c r="H240" s="45"/>
      <c r="I240" s="45">
        <v>281813</v>
      </c>
      <c r="J240" s="45"/>
      <c r="K240" s="45">
        <v>1988071</v>
      </c>
      <c r="L240" s="45"/>
      <c r="M240" s="45">
        <v>159868</v>
      </c>
      <c r="N240" s="45"/>
      <c r="O240" s="45">
        <v>0</v>
      </c>
      <c r="P240" s="45"/>
      <c r="Q240" s="45">
        <v>-350455</v>
      </c>
      <c r="R240" s="45"/>
      <c r="S240" s="45">
        <f>+Q240+O240+M240</f>
        <v>-190587</v>
      </c>
      <c r="T240" s="45"/>
      <c r="U240" s="44">
        <f t="shared" si="21"/>
        <v>0</v>
      </c>
      <c r="V240" s="44">
        <f>+G240-K240-S240</f>
        <v>0</v>
      </c>
    </row>
    <row r="241" spans="1:22" s="44" customFormat="1" ht="12.75" customHeight="1">
      <c r="A241" s="44" t="s">
        <v>271</v>
      </c>
      <c r="B241" s="51"/>
      <c r="C241" s="44" t="s">
        <v>66</v>
      </c>
      <c r="D241" s="35"/>
      <c r="E241" s="45">
        <v>1843569</v>
      </c>
      <c r="F241" s="45"/>
      <c r="G241" s="45">
        <v>4463919</v>
      </c>
      <c r="H241" s="45"/>
      <c r="I241" s="45">
        <v>1451391</v>
      </c>
      <c r="J241" s="45"/>
      <c r="K241" s="45">
        <v>1937252</v>
      </c>
      <c r="L241" s="45"/>
      <c r="M241" s="45">
        <f>44691+2051</f>
        <v>46742</v>
      </c>
      <c r="N241" s="45"/>
      <c r="O241" s="45">
        <v>0</v>
      </c>
      <c r="P241" s="45"/>
      <c r="Q241" s="45">
        <v>2479925</v>
      </c>
      <c r="R241" s="45"/>
      <c r="S241" s="45">
        <f t="shared" si="20"/>
        <v>2526667</v>
      </c>
      <c r="T241" s="45"/>
      <c r="U241" s="44">
        <f t="shared" si="21"/>
        <v>0</v>
      </c>
      <c r="V241" s="44">
        <f t="shared" si="22"/>
        <v>0</v>
      </c>
    </row>
    <row r="242" spans="1:22" s="46" customFormat="1" ht="12.75" customHeight="1">
      <c r="A242" s="44" t="s">
        <v>272</v>
      </c>
      <c r="B242" s="51"/>
      <c r="C242" s="44" t="s">
        <v>43</v>
      </c>
      <c r="D242" s="35"/>
      <c r="E242" s="45">
        <v>17922589</v>
      </c>
      <c r="F242" s="45"/>
      <c r="G242" s="45">
        <v>37474921</v>
      </c>
      <c r="H242" s="45"/>
      <c r="I242" s="45">
        <v>6551890</v>
      </c>
      <c r="J242" s="45"/>
      <c r="K242" s="45">
        <v>7529529</v>
      </c>
      <c r="L242" s="45"/>
      <c r="M242" s="45">
        <f>220101+7754819+99126</f>
        <v>8074046</v>
      </c>
      <c r="N242" s="45"/>
      <c r="O242" s="45">
        <v>0</v>
      </c>
      <c r="P242" s="45"/>
      <c r="Q242" s="45">
        <v>21871346</v>
      </c>
      <c r="R242" s="45"/>
      <c r="S242" s="45">
        <f t="shared" si="20"/>
        <v>29945392</v>
      </c>
      <c r="T242" s="45"/>
      <c r="U242" s="44">
        <f t="shared" si="21"/>
        <v>0</v>
      </c>
      <c r="V242" s="44">
        <f t="shared" si="22"/>
        <v>0</v>
      </c>
    </row>
    <row r="243" spans="1:22" s="44" customFormat="1" ht="12.75" customHeight="1">
      <c r="A243" s="44" t="s">
        <v>273</v>
      </c>
      <c r="B243" s="51"/>
      <c r="C243" s="44" t="s">
        <v>27</v>
      </c>
      <c r="D243" s="35"/>
      <c r="E243" s="45">
        <f>22147674+3281</f>
        <v>22150955</v>
      </c>
      <c r="F243" s="45"/>
      <c r="G243" s="45">
        <v>39715143</v>
      </c>
      <c r="H243" s="45"/>
      <c r="I243" s="45">
        <v>11859062</v>
      </c>
      <c r="J243" s="45"/>
      <c r="K243" s="45">
        <v>13252612</v>
      </c>
      <c r="L243" s="45"/>
      <c r="M243" s="45">
        <f>741207+724849</f>
        <v>1466056</v>
      </c>
      <c r="N243" s="45"/>
      <c r="O243" s="45">
        <v>12627238</v>
      </c>
      <c r="P243" s="45"/>
      <c r="Q243" s="45">
        <v>12369237</v>
      </c>
      <c r="R243" s="45"/>
      <c r="S243" s="45">
        <f t="shared" si="20"/>
        <v>26462531</v>
      </c>
      <c r="T243" s="45"/>
      <c r="U243" s="44">
        <f t="shared" si="21"/>
        <v>0</v>
      </c>
      <c r="V243" s="44">
        <f t="shared" si="22"/>
        <v>0</v>
      </c>
    </row>
    <row r="244" spans="1:22" s="44" customFormat="1" ht="12.75" customHeight="1">
      <c r="A244" s="44" t="s">
        <v>274</v>
      </c>
      <c r="B244" s="51"/>
      <c r="C244" s="44" t="s">
        <v>43</v>
      </c>
      <c r="D244" s="35"/>
      <c r="E244" s="45">
        <v>5665865</v>
      </c>
      <c r="F244" s="45"/>
      <c r="G244" s="45">
        <v>9010046</v>
      </c>
      <c r="H244" s="45"/>
      <c r="I244" s="45">
        <v>1464267</v>
      </c>
      <c r="J244" s="45"/>
      <c r="K244" s="45">
        <v>3982323</v>
      </c>
      <c r="L244" s="45"/>
      <c r="M244" s="45">
        <f>411495+146086+29933+867893</f>
        <v>1455407</v>
      </c>
      <c r="N244" s="45"/>
      <c r="O244" s="45">
        <v>0</v>
      </c>
      <c r="P244" s="45"/>
      <c r="Q244" s="45">
        <v>3572316</v>
      </c>
      <c r="R244" s="45"/>
      <c r="S244" s="45">
        <f t="shared" si="20"/>
        <v>5027723</v>
      </c>
      <c r="T244" s="45"/>
      <c r="U244" s="44">
        <f t="shared" si="21"/>
        <v>0</v>
      </c>
      <c r="V244" s="44">
        <f t="shared" si="22"/>
        <v>0</v>
      </c>
    </row>
    <row r="245" spans="1:22" s="44" customFormat="1" ht="12.75" customHeight="1">
      <c r="A245" s="44" t="s">
        <v>275</v>
      </c>
      <c r="B245" s="51"/>
      <c r="C245" s="44" t="s">
        <v>92</v>
      </c>
      <c r="D245" s="35"/>
      <c r="E245" s="45">
        <f>5428557+272833</f>
        <v>5701390</v>
      </c>
      <c r="F245" s="45"/>
      <c r="G245" s="45">
        <v>9225642</v>
      </c>
      <c r="H245" s="45"/>
      <c r="I245" s="45">
        <v>2228624</v>
      </c>
      <c r="J245" s="45"/>
      <c r="K245" s="45">
        <v>2964487</v>
      </c>
      <c r="L245" s="45"/>
      <c r="M245" s="45">
        <f>13317+92772</f>
        <v>106089</v>
      </c>
      <c r="N245" s="45"/>
      <c r="O245" s="45">
        <v>0</v>
      </c>
      <c r="P245" s="45"/>
      <c r="Q245" s="45">
        <v>6155066</v>
      </c>
      <c r="R245" s="45"/>
      <c r="S245" s="45">
        <f t="shared" si="20"/>
        <v>6261155</v>
      </c>
      <c r="T245" s="45"/>
      <c r="U245" s="44">
        <f t="shared" si="21"/>
        <v>0</v>
      </c>
      <c r="V245" s="44">
        <f t="shared" si="22"/>
        <v>0</v>
      </c>
    </row>
    <row r="246" spans="1:22" s="44" customFormat="1" ht="12.75" customHeight="1">
      <c r="A246" s="44" t="s">
        <v>276</v>
      </c>
      <c r="C246" s="44" t="s">
        <v>38</v>
      </c>
      <c r="D246" s="35"/>
      <c r="E246" s="45">
        <v>1596935</v>
      </c>
      <c r="F246" s="45"/>
      <c r="G246" s="45">
        <v>2549184</v>
      </c>
      <c r="H246" s="45"/>
      <c r="I246" s="45">
        <v>1891177</v>
      </c>
      <c r="J246" s="45"/>
      <c r="K246" s="45">
        <v>649305</v>
      </c>
      <c r="L246" s="45"/>
      <c r="M246" s="45">
        <f>21079+32661+8850+3897</f>
        <v>66487</v>
      </c>
      <c r="N246" s="45"/>
      <c r="O246" s="45">
        <v>0</v>
      </c>
      <c r="P246" s="45"/>
      <c r="Q246" s="45">
        <v>1833392</v>
      </c>
      <c r="R246" s="45"/>
      <c r="S246" s="45">
        <f t="shared" si="20"/>
        <v>1899879</v>
      </c>
      <c r="T246" s="45"/>
      <c r="U246" s="44">
        <f t="shared" si="21"/>
        <v>0</v>
      </c>
      <c r="V246" s="44">
        <f>+G246-K246-S246</f>
        <v>0</v>
      </c>
    </row>
    <row r="247" spans="1:22" s="44" customFormat="1" ht="12.75" customHeight="1">
      <c r="A247" s="44" t="s">
        <v>277</v>
      </c>
      <c r="B247" s="51"/>
      <c r="C247" s="44" t="s">
        <v>92</v>
      </c>
      <c r="D247" s="35"/>
      <c r="E247" s="45">
        <v>6868018</v>
      </c>
      <c r="F247" s="45"/>
      <c r="G247" s="45">
        <v>15875257</v>
      </c>
      <c r="H247" s="45"/>
      <c r="I247" s="45">
        <v>4516128</v>
      </c>
      <c r="J247" s="45"/>
      <c r="K247" s="45">
        <v>6012773</v>
      </c>
      <c r="L247" s="45"/>
      <c r="M247" s="45">
        <f>459869+123317+2032+1325214</f>
        <v>1910432</v>
      </c>
      <c r="N247" s="45"/>
      <c r="O247" s="45">
        <v>0</v>
      </c>
      <c r="P247" s="45"/>
      <c r="Q247" s="45">
        <v>7952052</v>
      </c>
      <c r="R247" s="45"/>
      <c r="S247" s="45">
        <f t="shared" si="20"/>
        <v>9862484</v>
      </c>
      <c r="T247" s="45"/>
      <c r="U247" s="44">
        <f t="shared" si="21"/>
        <v>0</v>
      </c>
      <c r="V247" s="44">
        <f t="shared" si="22"/>
        <v>0</v>
      </c>
    </row>
    <row r="248" spans="1:22" s="44" customFormat="1" ht="12.75" customHeight="1">
      <c r="A248" s="44" t="s">
        <v>278</v>
      </c>
      <c r="B248" s="51"/>
      <c r="C248" s="44" t="s">
        <v>92</v>
      </c>
      <c r="D248" s="35"/>
      <c r="E248" s="45">
        <f>153601+174754</f>
        <v>328355</v>
      </c>
      <c r="F248" s="45"/>
      <c r="G248" s="45">
        <v>2672073</v>
      </c>
      <c r="H248" s="45"/>
      <c r="I248" s="45">
        <v>1906649</v>
      </c>
      <c r="J248" s="45"/>
      <c r="K248" s="45">
        <v>2406370</v>
      </c>
      <c r="L248" s="45"/>
      <c r="M248" s="45">
        <f>152922+21982</f>
        <v>174904</v>
      </c>
      <c r="N248" s="45"/>
      <c r="O248" s="45">
        <v>0</v>
      </c>
      <c r="P248" s="45"/>
      <c r="Q248" s="45">
        <v>90799</v>
      </c>
      <c r="R248" s="45"/>
      <c r="S248" s="45">
        <f t="shared" si="20"/>
        <v>265703</v>
      </c>
      <c r="T248" s="45"/>
      <c r="U248" s="44">
        <f t="shared" si="21"/>
        <v>0</v>
      </c>
      <c r="V248" s="44">
        <f t="shared" si="22"/>
        <v>0</v>
      </c>
    </row>
    <row r="249" spans="1:22" s="44" customFormat="1" ht="12.75" customHeight="1">
      <c r="A249" s="44" t="s">
        <v>279</v>
      </c>
      <c r="C249" s="44" t="s">
        <v>92</v>
      </c>
      <c r="D249" s="35"/>
      <c r="E249" s="45">
        <v>1103282</v>
      </c>
      <c r="F249" s="45"/>
      <c r="G249" s="45">
        <v>6032221</v>
      </c>
      <c r="H249" s="45"/>
      <c r="I249" s="45">
        <v>4095029</v>
      </c>
      <c r="J249" s="45"/>
      <c r="K249" s="45">
        <v>4558223</v>
      </c>
      <c r="L249" s="45"/>
      <c r="M249" s="45">
        <f>45336+3210</f>
        <v>48546</v>
      </c>
      <c r="N249" s="45"/>
      <c r="O249" s="45">
        <v>0</v>
      </c>
      <c r="P249" s="45"/>
      <c r="Q249" s="45">
        <v>1425452</v>
      </c>
      <c r="R249" s="45"/>
      <c r="S249" s="45">
        <f t="shared" si="20"/>
        <v>1473998</v>
      </c>
      <c r="T249" s="45"/>
      <c r="U249" s="44">
        <f t="shared" si="21"/>
        <v>0</v>
      </c>
      <c r="V249" s="44">
        <f t="shared" si="22"/>
        <v>0</v>
      </c>
    </row>
    <row r="250" spans="1:22" s="44" customFormat="1" ht="12.75" customHeight="1">
      <c r="A250" s="44" t="s">
        <v>280</v>
      </c>
      <c r="B250" s="51"/>
      <c r="C250" s="44" t="s">
        <v>281</v>
      </c>
      <c r="D250" s="35"/>
      <c r="E250" s="45">
        <v>4665990</v>
      </c>
      <c r="F250" s="45"/>
      <c r="G250" s="45">
        <v>6944763</v>
      </c>
      <c r="H250" s="45"/>
      <c r="I250" s="45">
        <v>1100830</v>
      </c>
      <c r="J250" s="45"/>
      <c r="K250" s="45">
        <v>1425155</v>
      </c>
      <c r="L250" s="45"/>
      <c r="M250" s="45">
        <v>51018</v>
      </c>
      <c r="N250" s="45"/>
      <c r="O250" s="45">
        <v>0</v>
      </c>
      <c r="P250" s="45"/>
      <c r="Q250" s="45">
        <v>5468590</v>
      </c>
      <c r="R250" s="45"/>
      <c r="S250" s="45">
        <f t="shared" si="20"/>
        <v>5519608</v>
      </c>
      <c r="T250" s="45"/>
      <c r="U250" s="44">
        <f t="shared" si="21"/>
        <v>0</v>
      </c>
      <c r="V250" s="44">
        <f t="shared" si="22"/>
        <v>0</v>
      </c>
    </row>
    <row r="251" spans="1:22" s="44" customFormat="1" ht="12.75" customHeight="1">
      <c r="A251" s="44" t="s">
        <v>282</v>
      </c>
      <c r="B251" s="51"/>
      <c r="C251" s="44" t="s">
        <v>199</v>
      </c>
      <c r="D251" s="35"/>
      <c r="E251" s="45">
        <v>9893689</v>
      </c>
      <c r="F251" s="45"/>
      <c r="G251" s="45">
        <v>16344794</v>
      </c>
      <c r="H251" s="45"/>
      <c r="I251" s="45">
        <v>3370143</v>
      </c>
      <c r="J251" s="45"/>
      <c r="K251" s="45">
        <v>4753583</v>
      </c>
      <c r="L251" s="45"/>
      <c r="M251" s="45">
        <v>2771167</v>
      </c>
      <c r="N251" s="45"/>
      <c r="O251" s="45">
        <v>0</v>
      </c>
      <c r="P251" s="45"/>
      <c r="Q251" s="45">
        <v>8820044</v>
      </c>
      <c r="R251" s="45"/>
      <c r="S251" s="45">
        <f t="shared" si="20"/>
        <v>11591211</v>
      </c>
      <c r="T251" s="45"/>
      <c r="U251" s="44">
        <f t="shared" si="21"/>
        <v>0</v>
      </c>
      <c r="V251" s="44">
        <f t="shared" si="22"/>
        <v>0</v>
      </c>
    </row>
    <row r="252" spans="1:22" s="44" customFormat="1" ht="12.75" customHeight="1">
      <c r="A252" s="44" t="s">
        <v>283</v>
      </c>
      <c r="B252" s="51"/>
      <c r="C252" s="44" t="s">
        <v>43</v>
      </c>
      <c r="D252" s="35"/>
      <c r="E252" s="45">
        <f>222345+2138396</f>
        <v>2360741</v>
      </c>
      <c r="F252" s="45"/>
      <c r="G252" s="45">
        <v>7981635</v>
      </c>
      <c r="H252" s="45"/>
      <c r="I252" s="45">
        <v>3401343</v>
      </c>
      <c r="J252" s="45"/>
      <c r="K252" s="45">
        <v>5341744</v>
      </c>
      <c r="L252" s="45"/>
      <c r="M252" s="45">
        <f>104335+35716</f>
        <v>140051</v>
      </c>
      <c r="N252" s="45"/>
      <c r="O252" s="45">
        <v>0</v>
      </c>
      <c r="P252" s="45"/>
      <c r="Q252" s="45">
        <v>2499840</v>
      </c>
      <c r="R252" s="45"/>
      <c r="S252" s="45">
        <f t="shared" si="20"/>
        <v>2639891</v>
      </c>
      <c r="T252" s="45"/>
      <c r="U252" s="44">
        <f t="shared" si="21"/>
        <v>0</v>
      </c>
      <c r="V252" s="44">
        <f t="shared" si="22"/>
        <v>0</v>
      </c>
    </row>
    <row r="253" spans="1:22" s="44" customFormat="1" ht="12.75" customHeight="1">
      <c r="A253" s="44" t="s">
        <v>284</v>
      </c>
      <c r="B253" s="51"/>
      <c r="C253" s="44" t="s">
        <v>45</v>
      </c>
      <c r="D253" s="35"/>
      <c r="E253" s="45">
        <v>3320232</v>
      </c>
      <c r="F253" s="45"/>
      <c r="G253" s="45">
        <v>7974155</v>
      </c>
      <c r="H253" s="45"/>
      <c r="I253" s="45">
        <v>4063349</v>
      </c>
      <c r="J253" s="45"/>
      <c r="K253" s="45">
        <v>4774054</v>
      </c>
      <c r="L253" s="45"/>
      <c r="M253" s="45">
        <v>345592</v>
      </c>
      <c r="N253" s="45"/>
      <c r="O253" s="45">
        <v>0</v>
      </c>
      <c r="P253" s="45"/>
      <c r="Q253" s="45">
        <v>2854509</v>
      </c>
      <c r="R253" s="45"/>
      <c r="S253" s="45">
        <f t="shared" si="20"/>
        <v>3200101</v>
      </c>
      <c r="T253" s="45"/>
      <c r="U253" s="44">
        <f t="shared" si="21"/>
        <v>0</v>
      </c>
      <c r="V253" s="44">
        <f t="shared" si="22"/>
        <v>0</v>
      </c>
    </row>
    <row r="254" spans="1:22" s="44" customFormat="1" ht="12.75" customHeight="1">
      <c r="A254" s="44" t="s">
        <v>285</v>
      </c>
      <c r="B254" s="51"/>
      <c r="C254" s="44" t="s">
        <v>30</v>
      </c>
      <c r="D254" s="35"/>
      <c r="E254" s="45">
        <f>610567+2166742</f>
        <v>2777309</v>
      </c>
      <c r="F254" s="45"/>
      <c r="G254" s="45">
        <v>7616919</v>
      </c>
      <c r="H254" s="45"/>
      <c r="I254" s="45">
        <v>2345979</v>
      </c>
      <c r="J254" s="45"/>
      <c r="K254" s="45">
        <v>3116426</v>
      </c>
      <c r="L254" s="45"/>
      <c r="M254" s="45">
        <f>99748+16746+97396</f>
        <v>213890</v>
      </c>
      <c r="N254" s="45"/>
      <c r="O254" s="45">
        <v>0</v>
      </c>
      <c r="P254" s="45"/>
      <c r="Q254" s="45">
        <v>4286603</v>
      </c>
      <c r="R254" s="45"/>
      <c r="S254" s="45">
        <f t="shared" si="20"/>
        <v>4500493</v>
      </c>
      <c r="T254" s="45"/>
      <c r="U254" s="44">
        <f t="shared" si="21"/>
        <v>0</v>
      </c>
      <c r="V254" s="44">
        <f t="shared" si="22"/>
        <v>0</v>
      </c>
    </row>
    <row r="255" spans="1:22" s="44" customFormat="1" ht="12.75" customHeight="1">
      <c r="A255" s="44" t="s">
        <v>286</v>
      </c>
      <c r="B255" s="51"/>
      <c r="C255" s="44" t="s">
        <v>61</v>
      </c>
      <c r="D255" s="35"/>
      <c r="E255" s="45">
        <v>0</v>
      </c>
      <c r="F255" s="45"/>
      <c r="G255" s="45">
        <v>10001480</v>
      </c>
      <c r="H255" s="45"/>
      <c r="I255" s="45">
        <v>4380179</v>
      </c>
      <c r="J255" s="45"/>
      <c r="K255" s="45">
        <v>5186740</v>
      </c>
      <c r="L255" s="45"/>
      <c r="M255" s="45">
        <f>98969+1500000</f>
        <v>1598969</v>
      </c>
      <c r="N255" s="45"/>
      <c r="O255" s="45">
        <v>0</v>
      </c>
      <c r="P255" s="45"/>
      <c r="Q255" s="45">
        <v>3215771</v>
      </c>
      <c r="R255" s="45"/>
      <c r="S255" s="45">
        <f t="shared" si="20"/>
        <v>4814740</v>
      </c>
      <c r="T255" s="45"/>
      <c r="U255" s="44">
        <f t="shared" si="21"/>
        <v>0</v>
      </c>
      <c r="V255" s="44">
        <f t="shared" si="22"/>
        <v>0</v>
      </c>
    </row>
    <row r="256" spans="1:22" s="44" customFormat="1" ht="12.75" customHeight="1">
      <c r="A256" s="44" t="s">
        <v>287</v>
      </c>
      <c r="C256" s="44" t="s">
        <v>288</v>
      </c>
      <c r="D256" s="35"/>
      <c r="E256" s="45">
        <f>1515071+5506</f>
        <v>1520577</v>
      </c>
      <c r="F256" s="45"/>
      <c r="G256" s="45">
        <v>5466864</v>
      </c>
      <c r="H256" s="45"/>
      <c r="I256" s="45">
        <v>2382141</v>
      </c>
      <c r="J256" s="45"/>
      <c r="K256" s="45">
        <v>4252917</v>
      </c>
      <c r="L256" s="45"/>
      <c r="M256" s="45">
        <f>53409+12624</f>
        <v>66033</v>
      </c>
      <c r="N256" s="45"/>
      <c r="O256" s="45">
        <v>0</v>
      </c>
      <c r="P256" s="45"/>
      <c r="Q256" s="45">
        <v>1147914</v>
      </c>
      <c r="R256" s="45"/>
      <c r="S256" s="45">
        <f t="shared" si="20"/>
        <v>1213947</v>
      </c>
      <c r="T256" s="45"/>
      <c r="U256" s="44">
        <f t="shared" si="21"/>
        <v>0</v>
      </c>
      <c r="V256" s="44">
        <f t="shared" si="22"/>
        <v>0</v>
      </c>
    </row>
    <row r="257" spans="2:2" s="44" customFormat="1" ht="12.75" customHeight="1">
      <c r="B257" s="51"/>
    </row>
    <row r="258" spans="2:2" s="44" customFormat="1" ht="12.75" customHeight="1">
      <c r="B258" s="51"/>
    </row>
    <row r="259" spans="2:2" s="44" customFormat="1" ht="12.75" customHeight="1">
      <c r="B259" s="51"/>
    </row>
    <row r="260" spans="2:2" s="44" customFormat="1" ht="12.75" customHeight="1">
      <c r="B260" s="51"/>
    </row>
    <row r="261" spans="2:2" s="44" customFormat="1" ht="12.75" customHeight="1">
      <c r="B261" s="51"/>
    </row>
    <row r="262" spans="2:2" s="44" customFormat="1" ht="12.75" customHeight="1">
      <c r="B262" s="51"/>
    </row>
    <row r="263" spans="2:2" s="44" customFormat="1" ht="12.75" customHeight="1">
      <c r="B263" s="51"/>
    </row>
    <row r="264" spans="2:2" s="44" customFormat="1" ht="12.75" customHeight="1">
      <c r="B264" s="51"/>
    </row>
    <row r="265" spans="2:2" s="44" customFormat="1" ht="12.75" customHeight="1">
      <c r="B265" s="51"/>
    </row>
    <row r="266" spans="2:2" s="44" customFormat="1" ht="12.75" customHeight="1">
      <c r="B266" s="51"/>
    </row>
    <row r="267" spans="2:2" s="44" customFormat="1" ht="12.75" customHeight="1">
      <c r="B267" s="51"/>
    </row>
    <row r="268" spans="2:2" s="44" customFormat="1" ht="12.75" customHeight="1">
      <c r="B268" s="51"/>
    </row>
    <row r="269" spans="2:2" s="44" customFormat="1" ht="12.75" customHeight="1">
      <c r="B269" s="51"/>
    </row>
    <row r="270" spans="2:2" s="44" customFormat="1" ht="12.75" customHeight="1">
      <c r="B270" s="51"/>
    </row>
    <row r="271" spans="2:2" s="44" customFormat="1" ht="12.75" customHeight="1">
      <c r="B271" s="51"/>
    </row>
    <row r="272" spans="2:2" s="44" customFormat="1" ht="12.75" customHeight="1">
      <c r="B272" s="51"/>
    </row>
    <row r="273" spans="2:2" s="44" customFormat="1" ht="12.75" customHeight="1">
      <c r="B273" s="51"/>
    </row>
    <row r="274" spans="2:2" s="44" customFormat="1" ht="12.75" customHeight="1">
      <c r="B274" s="51"/>
    </row>
    <row r="275" spans="2:2" s="44" customFormat="1" ht="12.75" customHeight="1">
      <c r="B275" s="51"/>
    </row>
    <row r="276" spans="2:2" s="44" customFormat="1" ht="12.75" customHeight="1">
      <c r="B276" s="51"/>
    </row>
    <row r="277" spans="2:2" s="44" customFormat="1" ht="12.75" customHeight="1">
      <c r="B277" s="51"/>
    </row>
    <row r="278" spans="2:2" s="44" customFormat="1" ht="12.75" customHeight="1">
      <c r="B278" s="51"/>
    </row>
    <row r="279" spans="2:2" s="44" customFormat="1" ht="12.75" customHeight="1">
      <c r="B279" s="51"/>
    </row>
    <row r="280" spans="2:2" s="44" customFormat="1" ht="12.75" customHeight="1">
      <c r="B280" s="51"/>
    </row>
    <row r="281" spans="2:2" s="44" customFormat="1" ht="12.75" customHeight="1">
      <c r="B281" s="51"/>
    </row>
    <row r="282" spans="2:2" s="44" customFormat="1" ht="12.75" customHeight="1">
      <c r="B282" s="51"/>
    </row>
    <row r="283" spans="2:2" s="44" customFormat="1" ht="12.75" customHeight="1">
      <c r="B283" s="51"/>
    </row>
    <row r="284" spans="2:2" s="44" customFormat="1" ht="12.75" customHeight="1">
      <c r="B284" s="51"/>
    </row>
    <row r="285" spans="2:2" s="44" customFormat="1" ht="12.75" customHeight="1">
      <c r="B285" s="51"/>
    </row>
    <row r="286" spans="2:2" s="44" customFormat="1" ht="12.75" customHeight="1">
      <c r="B286" s="51"/>
    </row>
    <row r="287" spans="2:2" s="44" customFormat="1" ht="12.75" customHeight="1">
      <c r="B287" s="51"/>
    </row>
    <row r="288" spans="2:2" s="44" customFormat="1" ht="12.75" customHeight="1">
      <c r="B288" s="51"/>
    </row>
    <row r="289" spans="2:2" s="44" customFormat="1" ht="12.75" customHeight="1">
      <c r="B289" s="51"/>
    </row>
    <row r="290" spans="2:2" s="44" customFormat="1" ht="12.75" customHeight="1">
      <c r="B290" s="51"/>
    </row>
    <row r="291" spans="2:2" s="44" customFormat="1" ht="12.75" customHeight="1">
      <c r="B291" s="51"/>
    </row>
    <row r="292" spans="2:2" s="44" customFormat="1" ht="12.75" customHeight="1">
      <c r="B292" s="51"/>
    </row>
    <row r="293" spans="2:2" s="44" customFormat="1" ht="12.75" customHeight="1">
      <c r="B293" s="51"/>
    </row>
    <row r="294" spans="2:2" s="44" customFormat="1" ht="12.75" customHeight="1">
      <c r="B294" s="51"/>
    </row>
    <row r="295" spans="2:2" s="44" customFormat="1" ht="12.75" customHeight="1">
      <c r="B295" s="51"/>
    </row>
    <row r="296" spans="2:2" s="44" customFormat="1" ht="12.75" customHeight="1">
      <c r="B296" s="51"/>
    </row>
    <row r="297" spans="2:2" s="44" customFormat="1" ht="12.75" customHeight="1">
      <c r="B297" s="51"/>
    </row>
    <row r="298" spans="2:2" s="44" customFormat="1" ht="12.75" customHeight="1">
      <c r="B298" s="51"/>
    </row>
    <row r="299" spans="2:2" s="44" customFormat="1" ht="12.75" customHeight="1">
      <c r="B299" s="51"/>
    </row>
    <row r="300" spans="2:2" s="44" customFormat="1" ht="12.75" customHeight="1">
      <c r="B300" s="51"/>
    </row>
    <row r="301" spans="2:2" s="44" customFormat="1" ht="12.75" customHeight="1">
      <c r="B301" s="51"/>
    </row>
    <row r="302" spans="2:2" s="44" customFormat="1" ht="12.75" customHeight="1">
      <c r="B302" s="51"/>
    </row>
    <row r="303" spans="2:2" s="44" customFormat="1" ht="12.75" customHeight="1">
      <c r="B303" s="51"/>
    </row>
    <row r="304" spans="2:2" s="44" customFormat="1" ht="12.75" customHeight="1">
      <c r="B304" s="51"/>
    </row>
    <row r="305" spans="2:2" s="44" customFormat="1" ht="12.75" customHeight="1">
      <c r="B305" s="51"/>
    </row>
    <row r="306" spans="2:2" s="44" customFormat="1" ht="12.75" customHeight="1">
      <c r="B306" s="51"/>
    </row>
    <row r="307" spans="2:2" s="44" customFormat="1" ht="12.75" customHeight="1">
      <c r="B307" s="51"/>
    </row>
    <row r="308" spans="2:2" s="44" customFormat="1" ht="12.75" customHeight="1">
      <c r="B308" s="51"/>
    </row>
    <row r="309" spans="2:2" s="44" customFormat="1" ht="12.75" customHeight="1">
      <c r="B309" s="51"/>
    </row>
    <row r="310" spans="2:2" s="44" customFormat="1" ht="12.75" customHeight="1">
      <c r="B310" s="51"/>
    </row>
    <row r="311" spans="2:2" s="44" customFormat="1" ht="12.75" customHeight="1">
      <c r="B311" s="51"/>
    </row>
    <row r="312" spans="2:2" s="44" customFormat="1" ht="12.75" customHeight="1">
      <c r="B312" s="51"/>
    </row>
    <row r="313" spans="2:2" s="44" customFormat="1" ht="12.75" customHeight="1">
      <c r="B313" s="51"/>
    </row>
    <row r="314" spans="2:2" s="44" customFormat="1" ht="12.75" customHeight="1">
      <c r="B314" s="51"/>
    </row>
    <row r="315" spans="2:2" s="44" customFormat="1" ht="12.75" customHeight="1">
      <c r="B315" s="51"/>
    </row>
    <row r="316" spans="2:2" s="44" customFormat="1" ht="12.75" customHeight="1">
      <c r="B316" s="51"/>
    </row>
    <row r="317" spans="2:2" s="44" customFormat="1" ht="12.75" customHeight="1">
      <c r="B317" s="51"/>
    </row>
    <row r="318" spans="2:2" s="44" customFormat="1" ht="12.75" customHeight="1">
      <c r="B318" s="51"/>
    </row>
    <row r="319" spans="2:2" s="44" customFormat="1" ht="12.75" customHeight="1">
      <c r="B319" s="51"/>
    </row>
    <row r="320" spans="2:2" s="44" customFormat="1" ht="12.75" customHeight="1">
      <c r="B320" s="51"/>
    </row>
    <row r="321" spans="2:2" s="44" customFormat="1" ht="12.75" customHeight="1">
      <c r="B321" s="51"/>
    </row>
    <row r="322" spans="2:2" s="44" customFormat="1" ht="12.75" customHeight="1">
      <c r="B322" s="51"/>
    </row>
    <row r="323" spans="2:2" s="44" customFormat="1" ht="12.75" customHeight="1">
      <c r="B323" s="51"/>
    </row>
    <row r="324" spans="2:2" s="44" customFormat="1" ht="12.75" customHeight="1">
      <c r="B324" s="51"/>
    </row>
    <row r="325" spans="2:2" s="44" customFormat="1" ht="12.75" customHeight="1">
      <c r="B325" s="51"/>
    </row>
  </sheetData>
  <phoneticPr fontId="4" type="noConversion"/>
  <pageMargins left="0.75" right="0.75" top="0.5" bottom="0.5" header="0" footer="0.25"/>
  <pageSetup scale="98" firstPageNumber="30" pageOrder="overThenDown" orientation="portrait" useFirstPageNumber="1" r:id="rId1"/>
  <headerFooter alignWithMargins="0">
    <oddFooter>&amp;C&amp;"Times New Roman,Regular"&amp;11&amp;P</oddFooter>
  </headerFooter>
  <rowBreaks count="4" manualBreakCount="4">
    <brk id="58" max="18" man="1"/>
    <brk id="107" max="18" man="1"/>
    <brk id="158" max="18" man="1"/>
    <brk id="209" max="18" man="1"/>
  </rowBreaks>
  <colBreaks count="1" manualBreakCount="1">
    <brk id="12" min="9" max="2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A311"/>
  <sheetViews>
    <sheetView view="pageBreakPreview" zoomScale="75" zoomScaleNormal="100" zoomScaleSheetLayoutView="75" workbookViewId="0">
      <pane xSplit="3" ySplit="8" topLeftCell="D201" activePane="bottomRight" state="frozen"/>
      <selection pane="topRight" activeCell="D1" sqref="D1"/>
      <selection pane="bottomLeft" activeCell="A9" sqref="A9"/>
      <selection pane="bottomRight" activeCell="A5" sqref="A5"/>
    </sheetView>
  </sheetViews>
  <sheetFormatPr defaultColWidth="0" defaultRowHeight="12.75" customHeight="1"/>
  <cols>
    <col min="1" max="1" width="15.140625" style="2" customWidth="1"/>
    <col min="2" max="2" width="1.7109375" customWidth="1"/>
    <col min="3" max="3" width="11.5703125" style="2" customWidth="1"/>
    <col min="4" max="4" width="1.7109375" style="2" customWidth="1"/>
    <col min="5" max="5" width="11.7109375" style="2" customWidth="1"/>
    <col min="6" max="6" width="1.7109375" style="2" customWidth="1"/>
    <col min="7" max="7" width="11.7109375" style="2" customWidth="1"/>
    <col min="8" max="8" width="1.7109375" style="2" customWidth="1"/>
    <col min="9" max="9" width="11.7109375" style="2" customWidth="1"/>
    <col min="10" max="10" width="1.7109375" style="2" customWidth="1"/>
    <col min="11" max="11" width="11.7109375" style="2" customWidth="1"/>
    <col min="12" max="12" width="1.7109375" style="2" customWidth="1"/>
    <col min="13" max="13" width="11.7109375" style="2" customWidth="1"/>
    <col min="14" max="14" width="1.7109375" style="2" customWidth="1"/>
    <col min="15" max="15" width="11.7109375" style="2" customWidth="1"/>
    <col min="16" max="16" width="1.7109375" style="2" customWidth="1"/>
    <col min="17" max="17" width="11.7109375" style="2" customWidth="1"/>
    <col min="18" max="18" width="1.7109375" style="2" customWidth="1"/>
    <col min="19" max="19" width="11.7109375" style="2" customWidth="1"/>
    <col min="20" max="20" width="1.7109375" style="2" customWidth="1"/>
    <col min="21" max="22" width="11.7109375" style="2" customWidth="1"/>
    <col min="23" max="27" width="11.7109375" style="2" hidden="1" customWidth="1"/>
    <col min="28" max="16384" width="0" style="2" hidden="1"/>
  </cols>
  <sheetData>
    <row r="1" spans="1:21" ht="12.75" customHeight="1">
      <c r="A1" s="1" t="s">
        <v>390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1" ht="12.75" customHeight="1">
      <c r="A2" s="29" t="s">
        <v>500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1" ht="12.75" customHeight="1">
      <c r="A3" s="22" t="s">
        <v>289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1" ht="12.75" customHeight="1">
      <c r="A4" s="22" t="s">
        <v>484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1" ht="12.75" customHeight="1">
      <c r="O5" s="6" t="s">
        <v>318</v>
      </c>
      <c r="P5" s="6"/>
      <c r="Q5" s="6" t="s">
        <v>318</v>
      </c>
    </row>
    <row r="6" spans="1:21" s="3" customFormat="1" ht="12.75" customHeight="1">
      <c r="A6" s="6"/>
      <c r="C6" s="6"/>
      <c r="D6" s="6"/>
      <c r="E6" s="6"/>
      <c r="F6" s="6"/>
      <c r="G6" s="6"/>
      <c r="H6" s="6"/>
      <c r="I6" s="6"/>
      <c r="J6" s="6"/>
      <c r="K6" s="6"/>
      <c r="L6" s="6"/>
      <c r="M6" s="6" t="s">
        <v>317</v>
      </c>
      <c r="N6" s="6"/>
      <c r="O6" s="8" t="s">
        <v>437</v>
      </c>
      <c r="P6" s="6"/>
      <c r="Q6" s="6" t="s">
        <v>321</v>
      </c>
      <c r="R6" s="6"/>
      <c r="S6" s="6" t="s">
        <v>6</v>
      </c>
      <c r="T6" s="6"/>
    </row>
    <row r="7" spans="1:21" s="3" customFormat="1" ht="12.75" customHeight="1">
      <c r="A7" s="6"/>
      <c r="C7" s="6"/>
      <c r="D7" s="6"/>
      <c r="E7" s="6" t="s">
        <v>319</v>
      </c>
      <c r="F7" s="6"/>
      <c r="G7" s="6" t="s">
        <v>6</v>
      </c>
      <c r="H7" s="6"/>
      <c r="I7" s="6" t="s">
        <v>5</v>
      </c>
      <c r="J7" s="6"/>
      <c r="K7" s="6" t="s">
        <v>6</v>
      </c>
      <c r="L7" s="6"/>
      <c r="M7" s="6" t="s">
        <v>320</v>
      </c>
      <c r="N7" s="6"/>
      <c r="O7" s="3" t="s">
        <v>502</v>
      </c>
      <c r="Q7" s="3" t="s">
        <v>503</v>
      </c>
      <c r="R7" s="6"/>
      <c r="S7" s="6" t="s">
        <v>320</v>
      </c>
      <c r="T7" s="6"/>
      <c r="U7" s="3" t="s">
        <v>428</v>
      </c>
    </row>
    <row r="8" spans="1:21" s="81" customFormat="1" ht="12.75" customHeight="1">
      <c r="A8" s="78" t="s">
        <v>8</v>
      </c>
      <c r="C8" s="78" t="s">
        <v>9</v>
      </c>
      <c r="D8" s="8"/>
      <c r="E8" s="78" t="s">
        <v>322</v>
      </c>
      <c r="F8" s="8"/>
      <c r="G8" s="78" t="s">
        <v>0</v>
      </c>
      <c r="H8" s="8"/>
      <c r="I8" s="78" t="s">
        <v>323</v>
      </c>
      <c r="J8" s="8"/>
      <c r="K8" s="78" t="s">
        <v>1</v>
      </c>
      <c r="L8" s="8"/>
      <c r="M8" s="78" t="s">
        <v>324</v>
      </c>
      <c r="N8" s="8"/>
      <c r="O8" s="78" t="s">
        <v>325</v>
      </c>
      <c r="P8" s="8"/>
      <c r="Q8" s="78" t="s">
        <v>325</v>
      </c>
      <c r="R8" s="8"/>
      <c r="S8" s="78" t="s">
        <v>324</v>
      </c>
      <c r="T8" s="8"/>
      <c r="U8" s="104" t="s">
        <v>429</v>
      </c>
    </row>
    <row r="9" spans="1:21" s="81" customFormat="1" ht="12.75" customHeight="1">
      <c r="A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pans="1:21" s="46" customFormat="1" ht="12.75" customHeight="1">
      <c r="A10" s="46" t="s">
        <v>12</v>
      </c>
      <c r="C10" s="46" t="s">
        <v>13</v>
      </c>
      <c r="E10" s="94">
        <v>4117362</v>
      </c>
      <c r="F10" s="94"/>
      <c r="G10" s="94">
        <v>380773840</v>
      </c>
      <c r="H10" s="94"/>
      <c r="I10" s="94">
        <f>2710723+147939051</f>
        <v>150649774</v>
      </c>
      <c r="J10" s="94"/>
      <c r="K10" s="94">
        <v>289968020</v>
      </c>
      <c r="L10" s="94"/>
      <c r="M10" s="94">
        <f>26820024+17166026</f>
        <v>43986050</v>
      </c>
      <c r="N10" s="94"/>
      <c r="O10" s="46">
        <f>210765+178217+1250+18</f>
        <v>390250</v>
      </c>
      <c r="P10" s="94"/>
      <c r="Q10" s="94">
        <f>1557634+86318058+21194621-62640793</f>
        <v>46429520</v>
      </c>
      <c r="R10" s="94"/>
      <c r="S10" s="94">
        <f t="shared" ref="S10:S71" si="0">+Q10+O10+M10</f>
        <v>90805820</v>
      </c>
      <c r="T10" s="94"/>
      <c r="U10" s="46">
        <f t="shared" ref="U10:U72" si="1">+G10-K10-S10</f>
        <v>0</v>
      </c>
    </row>
    <row r="11" spans="1:21" s="44" customFormat="1" ht="12.75" customHeight="1">
      <c r="A11" s="44" t="s">
        <v>14</v>
      </c>
      <c r="C11" s="44" t="s">
        <v>15</v>
      </c>
      <c r="E11" s="45">
        <f>6426974+142365</f>
        <v>6569339</v>
      </c>
      <c r="F11" s="45"/>
      <c r="G11" s="45">
        <v>14989087</v>
      </c>
      <c r="H11" s="45"/>
      <c r="I11" s="45">
        <v>3027649</v>
      </c>
      <c r="J11" s="45"/>
      <c r="K11" s="45">
        <v>5014415</v>
      </c>
      <c r="L11" s="45"/>
      <c r="M11" s="45">
        <f>322554+21107+2044716+47654</f>
        <v>2436031</v>
      </c>
      <c r="N11" s="45"/>
      <c r="O11" s="45">
        <v>0</v>
      </c>
      <c r="P11" s="45"/>
      <c r="Q11" s="45">
        <f>2277229+4010061+253537+997814</f>
        <v>7538641</v>
      </c>
      <c r="R11" s="45"/>
      <c r="S11" s="45">
        <f t="shared" si="0"/>
        <v>9974672</v>
      </c>
      <c r="T11" s="45"/>
      <c r="U11" s="44">
        <f t="shared" si="1"/>
        <v>0</v>
      </c>
    </row>
    <row r="12" spans="1:21" s="44" customFormat="1" ht="12.75" customHeight="1">
      <c r="A12" s="44" t="s">
        <v>16</v>
      </c>
      <c r="C12" s="44" t="s">
        <v>17</v>
      </c>
      <c r="E12" s="45">
        <v>9812460</v>
      </c>
      <c r="F12" s="45"/>
      <c r="G12" s="45">
        <v>13800620</v>
      </c>
      <c r="H12" s="45"/>
      <c r="I12" s="45">
        <v>2595265</v>
      </c>
      <c r="J12" s="45"/>
      <c r="K12" s="45">
        <v>2978040</v>
      </c>
      <c r="L12" s="45"/>
      <c r="M12" s="45">
        <f>547094+56676</f>
        <v>603770</v>
      </c>
      <c r="N12" s="45"/>
      <c r="O12" s="45">
        <v>0</v>
      </c>
      <c r="P12" s="45"/>
      <c r="Q12" s="45">
        <f>2181534+1927504+354585+5755187</f>
        <v>10218810</v>
      </c>
      <c r="R12" s="45"/>
      <c r="S12" s="45">
        <f t="shared" si="0"/>
        <v>10822580</v>
      </c>
      <c r="T12" s="45"/>
      <c r="U12" s="44">
        <f t="shared" si="1"/>
        <v>0</v>
      </c>
    </row>
    <row r="13" spans="1:21" s="44" customFormat="1" ht="12.75" customHeight="1">
      <c r="A13" s="44" t="s">
        <v>18</v>
      </c>
      <c r="C13" s="44" t="s">
        <v>18</v>
      </c>
      <c r="E13" s="45">
        <v>5018764</v>
      </c>
      <c r="F13" s="45"/>
      <c r="G13" s="45">
        <v>10165866</v>
      </c>
      <c r="H13" s="45"/>
      <c r="I13" s="45">
        <v>3366473</v>
      </c>
      <c r="J13" s="45"/>
      <c r="K13" s="45">
        <v>4691876</v>
      </c>
      <c r="L13" s="45"/>
      <c r="M13" s="45">
        <v>227805</v>
      </c>
      <c r="N13" s="45"/>
      <c r="O13" s="45">
        <v>0</v>
      </c>
      <c r="P13" s="45"/>
      <c r="Q13" s="45">
        <f>1828275+2252686+87459+1077765</f>
        <v>5246185</v>
      </c>
      <c r="R13" s="45"/>
      <c r="S13" s="45">
        <f t="shared" si="0"/>
        <v>5473990</v>
      </c>
      <c r="T13" s="45"/>
      <c r="U13" s="44">
        <f t="shared" si="1"/>
        <v>0</v>
      </c>
    </row>
    <row r="14" spans="1:21" s="44" customFormat="1" ht="12.75" customHeight="1">
      <c r="A14" s="44" t="s">
        <v>19</v>
      </c>
      <c r="C14" s="44" t="s">
        <v>19</v>
      </c>
      <c r="E14" s="45">
        <f>1917006+144669</f>
        <v>2061675</v>
      </c>
      <c r="F14" s="45"/>
      <c r="G14" s="45">
        <v>10895537</v>
      </c>
      <c r="H14" s="45"/>
      <c r="I14" s="45">
        <v>7743352</v>
      </c>
      <c r="J14" s="45"/>
      <c r="K14" s="45">
        <v>8464505</v>
      </c>
      <c r="L14" s="45"/>
      <c r="M14" s="45">
        <f>760001+38494+205874</f>
        <v>1004369</v>
      </c>
      <c r="N14" s="45"/>
      <c r="O14" s="45">
        <v>412000</v>
      </c>
      <c r="P14" s="45"/>
      <c r="Q14" s="45">
        <f>571410+592875+122947-272569</f>
        <v>1014663</v>
      </c>
      <c r="R14" s="45"/>
      <c r="S14" s="45">
        <f>+Q14+O14+M14</f>
        <v>2431032</v>
      </c>
      <c r="T14" s="45"/>
      <c r="U14" s="44">
        <f t="shared" si="1"/>
        <v>0</v>
      </c>
    </row>
    <row r="15" spans="1:21" s="44" customFormat="1" ht="12.75" customHeight="1">
      <c r="A15" s="44" t="s">
        <v>20</v>
      </c>
      <c r="C15" s="44" t="s">
        <v>20</v>
      </c>
      <c r="E15" s="45">
        <f>6888196+70953</f>
        <v>6959149</v>
      </c>
      <c r="F15" s="45"/>
      <c r="G15" s="45">
        <v>9611482</v>
      </c>
      <c r="H15" s="45"/>
      <c r="I15" s="45">
        <v>983648</v>
      </c>
      <c r="J15" s="45"/>
      <c r="K15" s="45">
        <v>3123508</v>
      </c>
      <c r="L15" s="45"/>
      <c r="M15" s="45">
        <f>995616+60368</f>
        <v>1055984</v>
      </c>
      <c r="N15" s="45"/>
      <c r="O15" s="45">
        <v>0</v>
      </c>
      <c r="P15" s="45"/>
      <c r="Q15" s="45">
        <f>1428295+2966111+6229+1031355</f>
        <v>5431990</v>
      </c>
      <c r="R15" s="45"/>
      <c r="S15" s="45">
        <f t="shared" si="0"/>
        <v>6487974</v>
      </c>
      <c r="T15" s="45"/>
      <c r="U15" s="44">
        <f t="shared" si="1"/>
        <v>0</v>
      </c>
    </row>
    <row r="16" spans="1:21" s="44" customFormat="1" ht="12.75" customHeight="1">
      <c r="A16" s="44" t="s">
        <v>21</v>
      </c>
      <c r="C16" s="44" t="s">
        <v>22</v>
      </c>
      <c r="E16" s="45">
        <v>13455878</v>
      </c>
      <c r="F16" s="45"/>
      <c r="G16" s="45">
        <v>21685954</v>
      </c>
      <c r="H16" s="45"/>
      <c r="I16" s="45">
        <v>2611335</v>
      </c>
      <c r="J16" s="45"/>
      <c r="K16" s="45">
        <v>8250610</v>
      </c>
      <c r="L16" s="45"/>
      <c r="M16" s="45">
        <f>1243625+30553+38007+2867371+300000</f>
        <v>4479556</v>
      </c>
      <c r="N16" s="45"/>
      <c r="O16" s="45">
        <v>0</v>
      </c>
      <c r="P16" s="45"/>
      <c r="Q16" s="45">
        <f>6341855+2146395+467538</f>
        <v>8955788</v>
      </c>
      <c r="R16" s="45"/>
      <c r="S16" s="45">
        <f t="shared" si="0"/>
        <v>13435344</v>
      </c>
      <c r="T16" s="45"/>
      <c r="U16" s="44">
        <f t="shared" si="1"/>
        <v>0</v>
      </c>
    </row>
    <row r="17" spans="1:21" s="44" customFormat="1" ht="12.75" customHeight="1">
      <c r="A17" s="44" t="s">
        <v>23</v>
      </c>
      <c r="C17" s="44" t="s">
        <v>17</v>
      </c>
      <c r="E17" s="45">
        <v>16649249</v>
      </c>
      <c r="F17" s="45"/>
      <c r="G17" s="45">
        <v>31326173</v>
      </c>
      <c r="H17" s="45"/>
      <c r="I17" s="45">
        <v>10197461</v>
      </c>
      <c r="J17" s="45"/>
      <c r="K17" s="45">
        <v>14559664</v>
      </c>
      <c r="L17" s="45"/>
      <c r="M17" s="45">
        <v>4733236</v>
      </c>
      <c r="N17" s="45"/>
      <c r="O17" s="45">
        <v>0</v>
      </c>
      <c r="P17" s="45"/>
      <c r="Q17" s="45">
        <f>7677525+2799581+443816+1112351</f>
        <v>12033273</v>
      </c>
      <c r="R17" s="45"/>
      <c r="S17" s="45">
        <f t="shared" si="0"/>
        <v>16766509</v>
      </c>
      <c r="T17" s="45"/>
      <c r="U17" s="44">
        <f t="shared" si="1"/>
        <v>0</v>
      </c>
    </row>
    <row r="18" spans="1:21" s="44" customFormat="1" ht="12.75" customHeight="1">
      <c r="A18" s="44" t="s">
        <v>24</v>
      </c>
      <c r="C18" s="44" t="s">
        <v>17</v>
      </c>
      <c r="E18" s="45">
        <f>14479728+55335</f>
        <v>14535063</v>
      </c>
      <c r="F18" s="45"/>
      <c r="G18" s="45">
        <v>28562924</v>
      </c>
      <c r="H18" s="45"/>
      <c r="I18" s="45">
        <v>11902398</v>
      </c>
      <c r="J18" s="45"/>
      <c r="K18" s="45">
        <v>13881377</v>
      </c>
      <c r="L18" s="45"/>
      <c r="M18" s="45">
        <f>163714+534720+2208195</f>
        <v>2906629</v>
      </c>
      <c r="N18" s="45"/>
      <c r="O18" s="45">
        <v>0</v>
      </c>
      <c r="P18" s="45"/>
      <c r="Q18" s="45">
        <f>2587648+6960348+582506+1644416</f>
        <v>11774918</v>
      </c>
      <c r="R18" s="45"/>
      <c r="S18" s="45">
        <f t="shared" si="0"/>
        <v>14681547</v>
      </c>
      <c r="T18" s="45"/>
      <c r="U18" s="44">
        <f t="shared" si="1"/>
        <v>0</v>
      </c>
    </row>
    <row r="19" spans="1:21" s="44" customFormat="1" ht="12.75" customHeight="1">
      <c r="A19" s="44" t="s">
        <v>25</v>
      </c>
      <c r="C19" s="44" t="s">
        <v>13</v>
      </c>
      <c r="E19" s="45">
        <f>4462786+256950</f>
        <v>4719736</v>
      </c>
      <c r="F19" s="45"/>
      <c r="G19" s="45">
        <v>10813843</v>
      </c>
      <c r="H19" s="45"/>
      <c r="I19" s="45">
        <v>1467103</v>
      </c>
      <c r="J19" s="45"/>
      <c r="K19" s="45">
        <v>5427471</v>
      </c>
      <c r="L19" s="45"/>
      <c r="M19" s="45">
        <f>2279096+66785+219877+320136</f>
        <v>2885894</v>
      </c>
      <c r="N19" s="45"/>
      <c r="O19" s="45">
        <v>0</v>
      </c>
      <c r="P19" s="45"/>
      <c r="Q19" s="45">
        <f>1722376+212710+565392</f>
        <v>2500478</v>
      </c>
      <c r="R19" s="45"/>
      <c r="S19" s="45">
        <f t="shared" si="0"/>
        <v>5386372</v>
      </c>
      <c r="T19" s="45"/>
      <c r="U19" s="44">
        <f t="shared" si="1"/>
        <v>0</v>
      </c>
    </row>
    <row r="20" spans="1:21" s="44" customFormat="1" ht="12.75" customHeight="1">
      <c r="A20" s="44" t="s">
        <v>26</v>
      </c>
      <c r="C20" s="44" t="s">
        <v>27</v>
      </c>
      <c r="E20" s="45">
        <v>12214457</v>
      </c>
      <c r="F20" s="45"/>
      <c r="G20" s="45">
        <v>23803367</v>
      </c>
      <c r="H20" s="45"/>
      <c r="I20" s="45">
        <f>2269712+6359758</f>
        <v>8629470</v>
      </c>
      <c r="J20" s="45"/>
      <c r="K20" s="45">
        <v>9756395</v>
      </c>
      <c r="L20" s="45"/>
      <c r="M20" s="45">
        <f>282201+925000</f>
        <v>1207201</v>
      </c>
      <c r="N20" s="45"/>
      <c r="O20" s="45">
        <v>609109</v>
      </c>
      <c r="P20" s="45"/>
      <c r="Q20" s="45">
        <f>2355913+1504205+2252949+6117595</f>
        <v>12230662</v>
      </c>
      <c r="R20" s="45"/>
      <c r="S20" s="45">
        <f t="shared" si="0"/>
        <v>14046972</v>
      </c>
      <c r="T20" s="45"/>
      <c r="U20" s="44">
        <f t="shared" si="1"/>
        <v>0</v>
      </c>
    </row>
    <row r="21" spans="1:21" s="44" customFormat="1" ht="12.75" customHeight="1">
      <c r="A21" s="44" t="s">
        <v>28</v>
      </c>
      <c r="C21" s="44" t="s">
        <v>27</v>
      </c>
      <c r="E21" s="45">
        <f>32410337+2501+13504</f>
        <v>32426342</v>
      </c>
      <c r="F21" s="45"/>
      <c r="G21" s="45">
        <v>46691765</v>
      </c>
      <c r="H21" s="45"/>
      <c r="I21" s="45">
        <v>9645517</v>
      </c>
      <c r="J21" s="45"/>
      <c r="K21" s="45">
        <v>14717312</v>
      </c>
      <c r="L21" s="45"/>
      <c r="M21" s="45">
        <f>1210436+13504</f>
        <v>1223940</v>
      </c>
      <c r="N21" s="45"/>
      <c r="O21" s="45">
        <v>0</v>
      </c>
      <c r="P21" s="45"/>
      <c r="Q21" s="45">
        <f>20511486+1058155+521467+8659405</f>
        <v>30750513</v>
      </c>
      <c r="R21" s="45"/>
      <c r="S21" s="45">
        <f t="shared" si="0"/>
        <v>31974453</v>
      </c>
      <c r="T21" s="45"/>
      <c r="U21" s="44">
        <f t="shared" si="1"/>
        <v>0</v>
      </c>
    </row>
    <row r="22" spans="1:21" s="44" customFormat="1" ht="12.75" customHeight="1">
      <c r="A22" s="44" t="s">
        <v>29</v>
      </c>
      <c r="C22" s="44" t="s">
        <v>30</v>
      </c>
      <c r="E22" s="45">
        <v>9576511</v>
      </c>
      <c r="F22" s="45"/>
      <c r="G22" s="45">
        <v>31539203</v>
      </c>
      <c r="H22" s="45"/>
      <c r="I22" s="45">
        <v>20098411</v>
      </c>
      <c r="J22" s="45"/>
      <c r="K22" s="45">
        <v>21172663</v>
      </c>
      <c r="L22" s="45"/>
      <c r="M22" s="45">
        <f>378220+566287+15201</f>
        <v>959708</v>
      </c>
      <c r="N22" s="45"/>
      <c r="O22" s="45">
        <v>0</v>
      </c>
      <c r="P22" s="45"/>
      <c r="Q22" s="45">
        <f>10366540-959708</f>
        <v>9406832</v>
      </c>
      <c r="R22" s="45"/>
      <c r="S22" s="45">
        <f t="shared" si="0"/>
        <v>10366540</v>
      </c>
      <c r="T22" s="45"/>
      <c r="U22" s="44">
        <f t="shared" si="1"/>
        <v>0</v>
      </c>
    </row>
    <row r="23" spans="1:21" s="44" customFormat="1" ht="12.75" customHeight="1">
      <c r="A23" s="44" t="s">
        <v>31</v>
      </c>
      <c r="C23" s="44" t="s">
        <v>27</v>
      </c>
      <c r="E23" s="45">
        <v>11323124</v>
      </c>
      <c r="F23" s="45"/>
      <c r="G23" s="45">
        <v>23705632</v>
      </c>
      <c r="H23" s="45"/>
      <c r="I23" s="45">
        <v>9390993</v>
      </c>
      <c r="J23" s="45"/>
      <c r="K23" s="45">
        <v>11340189</v>
      </c>
      <c r="L23" s="45"/>
      <c r="M23" s="45">
        <f>294304+3268902+6675</f>
        <v>3569881</v>
      </c>
      <c r="N23" s="45"/>
      <c r="O23" s="45">
        <v>364432</v>
      </c>
      <c r="P23" s="45"/>
      <c r="Q23" s="45">
        <v>8431130</v>
      </c>
      <c r="R23" s="45"/>
      <c r="S23" s="45">
        <f t="shared" si="0"/>
        <v>12365443</v>
      </c>
      <c r="T23" s="45"/>
      <c r="U23" s="44">
        <f t="shared" si="1"/>
        <v>0</v>
      </c>
    </row>
    <row r="24" spans="1:21" s="44" customFormat="1" ht="12.75" customHeight="1">
      <c r="A24" s="44" t="s">
        <v>32</v>
      </c>
      <c r="C24" s="44" t="s">
        <v>27</v>
      </c>
      <c r="E24" s="45">
        <v>5060665</v>
      </c>
      <c r="F24" s="45"/>
      <c r="G24" s="45">
        <v>11403036</v>
      </c>
      <c r="H24" s="45"/>
      <c r="I24" s="45">
        <v>4226688</v>
      </c>
      <c r="J24" s="45"/>
      <c r="K24" s="45">
        <v>5321443</v>
      </c>
      <c r="L24" s="45"/>
      <c r="M24" s="45">
        <f>93518+95623+53024</f>
        <v>242165</v>
      </c>
      <c r="N24" s="45"/>
      <c r="O24" s="45">
        <v>0</v>
      </c>
      <c r="P24" s="45"/>
      <c r="Q24" s="45">
        <f>4958406+304678+140922+435422</f>
        <v>5839428</v>
      </c>
      <c r="R24" s="45"/>
      <c r="S24" s="45">
        <f t="shared" si="0"/>
        <v>6081593</v>
      </c>
      <c r="T24" s="45"/>
      <c r="U24" s="44">
        <f t="shared" si="1"/>
        <v>0</v>
      </c>
    </row>
    <row r="25" spans="1:21" s="44" customFormat="1" ht="12.75" customHeight="1">
      <c r="A25" s="44" t="s">
        <v>34</v>
      </c>
      <c r="B25" s="51"/>
      <c r="C25" s="44" t="s">
        <v>30</v>
      </c>
      <c r="E25" s="45">
        <v>3008330</v>
      </c>
      <c r="F25" s="45"/>
      <c r="G25" s="45">
        <v>6235618</v>
      </c>
      <c r="H25" s="45"/>
      <c r="I25" s="45">
        <v>2984276</v>
      </c>
      <c r="J25" s="45"/>
      <c r="K25" s="45">
        <v>3171172</v>
      </c>
      <c r="L25" s="45"/>
      <c r="M25" s="45">
        <f>3203+67440+23236+340538</f>
        <v>434417</v>
      </c>
      <c r="N25" s="45"/>
      <c r="O25" s="45">
        <v>0</v>
      </c>
      <c r="P25" s="45"/>
      <c r="Q25" s="45">
        <f>969649+369998+1290382</f>
        <v>2630029</v>
      </c>
      <c r="R25" s="45"/>
      <c r="S25" s="45">
        <f t="shared" si="0"/>
        <v>3064446</v>
      </c>
      <c r="T25" s="45"/>
      <c r="U25" s="44">
        <f t="shared" si="1"/>
        <v>0</v>
      </c>
    </row>
    <row r="26" spans="1:21" s="44" customFormat="1" ht="12.75" customHeight="1">
      <c r="A26" s="44" t="s">
        <v>35</v>
      </c>
      <c r="C26" s="44" t="s">
        <v>36</v>
      </c>
      <c r="E26" s="45">
        <v>4545171</v>
      </c>
      <c r="F26" s="45"/>
      <c r="G26" s="45">
        <v>9602501</v>
      </c>
      <c r="H26" s="45"/>
      <c r="I26" s="45">
        <v>933762</v>
      </c>
      <c r="J26" s="45"/>
      <c r="K26" s="45">
        <v>2197325</v>
      </c>
      <c r="L26" s="45"/>
      <c r="M26" s="45">
        <f>251352+103061+19125+81701+11000+3031+76000</f>
        <v>545270</v>
      </c>
      <c r="N26" s="45"/>
      <c r="O26" s="45">
        <v>0</v>
      </c>
      <c r="P26" s="45"/>
      <c r="Q26" s="45">
        <f>2881008+1214815+2754621+9462</f>
        <v>6859906</v>
      </c>
      <c r="R26" s="45"/>
      <c r="S26" s="45">
        <f t="shared" si="0"/>
        <v>7405176</v>
      </c>
      <c r="T26" s="45"/>
      <c r="U26" s="44">
        <f t="shared" si="1"/>
        <v>0</v>
      </c>
    </row>
    <row r="27" spans="1:21" s="44" customFormat="1" ht="12.75" customHeight="1">
      <c r="A27" s="44" t="s">
        <v>37</v>
      </c>
      <c r="C27" s="44" t="s">
        <v>38</v>
      </c>
      <c r="E27" s="45">
        <f>3543257+495</f>
        <v>3543752</v>
      </c>
      <c r="F27" s="45"/>
      <c r="G27" s="45">
        <v>6351181</v>
      </c>
      <c r="H27" s="45"/>
      <c r="I27" s="45">
        <v>2050935</v>
      </c>
      <c r="J27" s="45"/>
      <c r="K27" s="45">
        <v>2401936</v>
      </c>
      <c r="L27" s="45"/>
      <c r="M27" s="45">
        <f>465300+60002+61953+6760</f>
        <v>594015</v>
      </c>
      <c r="N27" s="45"/>
      <c r="O27" s="45">
        <v>0</v>
      </c>
      <c r="P27" s="45"/>
      <c r="Q27" s="45">
        <f>815196+1894729+23376+549305+72624</f>
        <v>3355230</v>
      </c>
      <c r="R27" s="45"/>
      <c r="S27" s="45">
        <f t="shared" si="0"/>
        <v>3949245</v>
      </c>
      <c r="T27" s="45"/>
      <c r="U27" s="44">
        <f t="shared" si="1"/>
        <v>0</v>
      </c>
    </row>
    <row r="28" spans="1:21" s="44" customFormat="1" ht="12.75" customHeight="1">
      <c r="A28" s="44" t="s">
        <v>39</v>
      </c>
      <c r="C28" s="44" t="s">
        <v>40</v>
      </c>
      <c r="E28" s="45">
        <f>1734125+4035+7930</f>
        <v>1746090</v>
      </c>
      <c r="F28" s="45"/>
      <c r="G28" s="45">
        <v>2925919</v>
      </c>
      <c r="H28" s="45"/>
      <c r="I28" s="45">
        <v>750319</v>
      </c>
      <c r="J28" s="45"/>
      <c r="K28" s="45">
        <v>837631</v>
      </c>
      <c r="L28" s="45"/>
      <c r="M28" s="45">
        <f>41605+403030+113566</f>
        <v>558201</v>
      </c>
      <c r="N28" s="45"/>
      <c r="O28" s="45">
        <v>2207</v>
      </c>
      <c r="P28" s="45"/>
      <c r="Q28" s="45">
        <v>1527880</v>
      </c>
      <c r="R28" s="45"/>
      <c r="S28" s="45">
        <f>+Q28+O28+M28</f>
        <v>2088288</v>
      </c>
      <c r="T28" s="45"/>
      <c r="U28" s="44">
        <f t="shared" si="1"/>
        <v>0</v>
      </c>
    </row>
    <row r="29" spans="1:21" s="44" customFormat="1" ht="12.75" customHeight="1">
      <c r="A29" s="44" t="s">
        <v>41</v>
      </c>
      <c r="C29" s="44" t="s">
        <v>27</v>
      </c>
      <c r="E29" s="45">
        <v>6170902</v>
      </c>
      <c r="F29" s="45"/>
      <c r="G29" s="45">
        <v>15672225</v>
      </c>
      <c r="H29" s="45"/>
      <c r="I29" s="45">
        <v>6484367</v>
      </c>
      <c r="J29" s="45"/>
      <c r="K29" s="45">
        <v>7714240</v>
      </c>
      <c r="L29" s="45"/>
      <c r="M29" s="45">
        <f>136027+513007+150000</f>
        <v>799034</v>
      </c>
      <c r="N29" s="45"/>
      <c r="O29" s="45">
        <v>0</v>
      </c>
      <c r="P29" s="45"/>
      <c r="Q29" s="45">
        <f>3463751+954698+847063+1893439</f>
        <v>7158951</v>
      </c>
      <c r="R29" s="45"/>
      <c r="S29" s="45">
        <f t="shared" si="0"/>
        <v>7957985</v>
      </c>
      <c r="T29" s="45"/>
      <c r="U29" s="44">
        <f t="shared" si="1"/>
        <v>0</v>
      </c>
    </row>
    <row r="30" spans="1:21" s="44" customFormat="1" ht="12.75" customHeight="1">
      <c r="A30" s="44" t="s">
        <v>42</v>
      </c>
      <c r="C30" s="44" t="s">
        <v>43</v>
      </c>
      <c r="E30" s="45">
        <f>7222703+2118</f>
        <v>7224821</v>
      </c>
      <c r="F30" s="45"/>
      <c r="G30" s="45">
        <v>11986009</v>
      </c>
      <c r="H30" s="45"/>
      <c r="I30" s="45">
        <v>3087664</v>
      </c>
      <c r="J30" s="45"/>
      <c r="K30" s="45">
        <v>4258673</v>
      </c>
      <c r="L30" s="45"/>
      <c r="M30" s="45">
        <v>3728170</v>
      </c>
      <c r="N30" s="45"/>
      <c r="O30" s="45">
        <v>1000000</v>
      </c>
      <c r="P30" s="45"/>
      <c r="Q30" s="45">
        <f>2139225+890337+61998-92394</f>
        <v>2999166</v>
      </c>
      <c r="R30" s="45"/>
      <c r="S30" s="45">
        <f t="shared" si="0"/>
        <v>7727336</v>
      </c>
      <c r="T30" s="45"/>
      <c r="U30" s="44">
        <f t="shared" si="1"/>
        <v>0</v>
      </c>
    </row>
    <row r="31" spans="1:21" s="44" customFormat="1" ht="12.75" customHeight="1">
      <c r="A31" s="44" t="s">
        <v>44</v>
      </c>
      <c r="C31" s="44" t="s">
        <v>45</v>
      </c>
      <c r="E31" s="45">
        <v>18412594</v>
      </c>
      <c r="F31" s="45"/>
      <c r="G31" s="45">
        <v>29145811</v>
      </c>
      <c r="H31" s="45"/>
      <c r="I31" s="45">
        <v>5536385</v>
      </c>
      <c r="J31" s="45"/>
      <c r="K31" s="45">
        <v>8134679</v>
      </c>
      <c r="L31" s="45"/>
      <c r="M31" s="45">
        <f>2077024+106331+268243+1883559</f>
        <v>4335157</v>
      </c>
      <c r="N31" s="45"/>
      <c r="O31" s="45">
        <v>0</v>
      </c>
      <c r="P31" s="45"/>
      <c r="Q31" s="45">
        <f>16039039+634742+2194</f>
        <v>16675975</v>
      </c>
      <c r="R31" s="45"/>
      <c r="S31" s="45">
        <f t="shared" si="0"/>
        <v>21011132</v>
      </c>
      <c r="T31" s="45"/>
      <c r="U31" s="44">
        <f t="shared" si="1"/>
        <v>0</v>
      </c>
    </row>
    <row r="32" spans="1:21" s="44" customFormat="1" ht="12.75" customHeight="1">
      <c r="A32" s="44" t="s">
        <v>46</v>
      </c>
      <c r="C32" s="44" t="s">
        <v>47</v>
      </c>
      <c r="E32" s="45">
        <f>15224179+1611</f>
        <v>15225790</v>
      </c>
      <c r="F32" s="45"/>
      <c r="G32" s="45">
        <v>25346865</v>
      </c>
      <c r="H32" s="45"/>
      <c r="I32" s="45">
        <v>6805200</v>
      </c>
      <c r="J32" s="45"/>
      <c r="K32" s="45">
        <v>11284956</v>
      </c>
      <c r="L32" s="45"/>
      <c r="M32" s="45">
        <f>115900+47055+446704+11228696</f>
        <v>11838355</v>
      </c>
      <c r="N32" s="45"/>
      <c r="O32" s="45">
        <f>1150431+50000</f>
        <v>1200431</v>
      </c>
      <c r="P32" s="45"/>
      <c r="Q32" s="45">
        <f>2191335+3245349+160271-4573832</f>
        <v>1023123</v>
      </c>
      <c r="R32" s="45"/>
      <c r="S32" s="45">
        <f t="shared" si="0"/>
        <v>14061909</v>
      </c>
      <c r="T32" s="45"/>
      <c r="U32" s="44">
        <f t="shared" si="1"/>
        <v>0</v>
      </c>
    </row>
    <row r="33" spans="1:21" s="44" customFormat="1" ht="12.75" customHeight="1">
      <c r="A33" s="44" t="s">
        <v>48</v>
      </c>
      <c r="C33" s="44" t="s">
        <v>27</v>
      </c>
      <c r="E33" s="45">
        <f>13133095+22949</f>
        <v>13156044</v>
      </c>
      <c r="F33" s="45"/>
      <c r="G33" s="45">
        <v>25617472</v>
      </c>
      <c r="H33" s="45"/>
      <c r="I33" s="45">
        <v>10403097</v>
      </c>
      <c r="J33" s="45"/>
      <c r="K33" s="45">
        <v>14613058</v>
      </c>
      <c r="L33" s="45"/>
      <c r="M33" s="45">
        <v>1153655</v>
      </c>
      <c r="N33" s="45"/>
      <c r="O33" s="45">
        <v>0</v>
      </c>
      <c r="P33" s="45"/>
      <c r="Q33" s="45">
        <f>5932199+2869630+498234+550696</f>
        <v>9850759</v>
      </c>
      <c r="R33" s="45"/>
      <c r="S33" s="45">
        <f t="shared" si="0"/>
        <v>11004414</v>
      </c>
      <c r="T33" s="45"/>
      <c r="U33" s="44">
        <f t="shared" si="1"/>
        <v>0</v>
      </c>
    </row>
    <row r="34" spans="1:21" s="44" customFormat="1" ht="12.75" customHeight="1">
      <c r="A34" s="44" t="s">
        <v>49</v>
      </c>
      <c r="C34" s="44" t="s">
        <v>27</v>
      </c>
      <c r="E34" s="45">
        <v>4879286</v>
      </c>
      <c r="F34" s="45"/>
      <c r="G34" s="45">
        <v>16639044</v>
      </c>
      <c r="H34" s="45"/>
      <c r="I34" s="45">
        <v>9804444</v>
      </c>
      <c r="J34" s="45"/>
      <c r="K34" s="45">
        <v>10633618</v>
      </c>
      <c r="L34" s="45"/>
      <c r="M34" s="45">
        <f>201934+112000</f>
        <v>313934</v>
      </c>
      <c r="N34" s="45"/>
      <c r="O34" s="45">
        <v>0</v>
      </c>
      <c r="P34" s="45"/>
      <c r="Q34" s="45">
        <f>1999368+503078+447515+2741531</f>
        <v>5691492</v>
      </c>
      <c r="R34" s="45"/>
      <c r="S34" s="45">
        <f t="shared" si="0"/>
        <v>6005426</v>
      </c>
      <c r="T34" s="45"/>
      <c r="U34" s="44">
        <f t="shared" si="1"/>
        <v>0</v>
      </c>
    </row>
    <row r="35" spans="1:21" s="44" customFormat="1" ht="12.75" customHeight="1">
      <c r="A35" s="44" t="s">
        <v>50</v>
      </c>
      <c r="C35" s="44" t="s">
        <v>27</v>
      </c>
      <c r="E35" s="45">
        <v>14538420</v>
      </c>
      <c r="F35" s="45"/>
      <c r="G35" s="45">
        <v>23647035</v>
      </c>
      <c r="H35" s="45"/>
      <c r="I35" s="45">
        <v>4322578</v>
      </c>
      <c r="J35" s="45"/>
      <c r="K35" s="45">
        <v>6916319</v>
      </c>
      <c r="L35" s="45"/>
      <c r="M35" s="45">
        <f>1421564+122273+125579+1267066</f>
        <v>2936482</v>
      </c>
      <c r="N35" s="45"/>
      <c r="O35" s="45">
        <v>1534236</v>
      </c>
      <c r="P35" s="45"/>
      <c r="Q35" s="45">
        <f>3445039+2551083+493635+5770241</f>
        <v>12259998</v>
      </c>
      <c r="R35" s="45"/>
      <c r="S35" s="45">
        <f t="shared" si="0"/>
        <v>16730716</v>
      </c>
      <c r="T35" s="45"/>
      <c r="U35" s="44">
        <f t="shared" si="1"/>
        <v>0</v>
      </c>
    </row>
    <row r="36" spans="1:21" s="44" customFormat="1" ht="12.75" customHeight="1">
      <c r="A36" s="44" t="s">
        <v>51</v>
      </c>
      <c r="C36" s="44" t="s">
        <v>27</v>
      </c>
      <c r="E36" s="45">
        <f>4218370+116676+1086+1048011+2785074</f>
        <v>8169217</v>
      </c>
      <c r="F36" s="45"/>
      <c r="G36" s="45">
        <v>14302626</v>
      </c>
      <c r="H36" s="45"/>
      <c r="I36" s="45">
        <v>3407193</v>
      </c>
      <c r="J36" s="45"/>
      <c r="K36" s="45">
        <v>5567015</v>
      </c>
      <c r="L36" s="45"/>
      <c r="M36" s="45">
        <f>178910+143000+3833085</f>
        <v>4154995</v>
      </c>
      <c r="N36" s="45"/>
      <c r="O36" s="45">
        <v>0</v>
      </c>
      <c r="P36" s="45"/>
      <c r="Q36" s="45">
        <f>1899926+665902+78725+1936063</f>
        <v>4580616</v>
      </c>
      <c r="R36" s="45"/>
      <c r="S36" s="45">
        <f t="shared" si="0"/>
        <v>8735611</v>
      </c>
      <c r="T36" s="45"/>
      <c r="U36" s="44">
        <f t="shared" si="1"/>
        <v>0</v>
      </c>
    </row>
    <row r="37" spans="1:21" s="44" customFormat="1" ht="12.75" customHeight="1">
      <c r="A37" s="44" t="s">
        <v>462</v>
      </c>
      <c r="C37" s="44" t="s">
        <v>66</v>
      </c>
      <c r="E37" s="45">
        <v>1759347</v>
      </c>
      <c r="F37" s="45"/>
      <c r="G37" s="45">
        <v>3064256</v>
      </c>
      <c r="H37" s="45"/>
      <c r="I37" s="45">
        <v>664528</v>
      </c>
      <c r="J37" s="45"/>
      <c r="K37" s="45">
        <v>943613</v>
      </c>
      <c r="L37" s="45"/>
      <c r="M37" s="45">
        <f>1615+39515+43259+45184</f>
        <v>129573</v>
      </c>
      <c r="N37" s="45"/>
      <c r="O37" s="45">
        <v>0</v>
      </c>
      <c r="P37" s="45"/>
      <c r="Q37" s="45">
        <f>972989+177131+840950</f>
        <v>1991070</v>
      </c>
      <c r="R37" s="45"/>
      <c r="S37" s="45">
        <f t="shared" si="0"/>
        <v>2120643</v>
      </c>
      <c r="T37" s="45"/>
      <c r="U37" s="44">
        <f t="shared" si="1"/>
        <v>0</v>
      </c>
    </row>
    <row r="38" spans="1:21" s="44" customFormat="1" ht="12.75" customHeight="1">
      <c r="A38" s="44" t="s">
        <v>52</v>
      </c>
      <c r="C38" s="44" t="s">
        <v>53</v>
      </c>
      <c r="E38" s="45">
        <f>10778843+52944+647+23532</f>
        <v>10855966</v>
      </c>
      <c r="F38" s="45"/>
      <c r="G38" s="45">
        <v>24979489</v>
      </c>
      <c r="H38" s="45"/>
      <c r="I38" s="45">
        <v>9520916</v>
      </c>
      <c r="J38" s="45"/>
      <c r="K38" s="45">
        <v>16626097</v>
      </c>
      <c r="L38" s="45"/>
      <c r="M38" s="45">
        <f>1422396+15424+1411286+394090+837210</f>
        <v>4080406</v>
      </c>
      <c r="N38" s="45"/>
      <c r="O38" s="45">
        <v>0</v>
      </c>
      <c r="P38" s="45"/>
      <c r="Q38" s="45">
        <f>1358677+2185351+880823-151865</f>
        <v>4272986</v>
      </c>
      <c r="R38" s="45"/>
      <c r="S38" s="45">
        <f t="shared" si="0"/>
        <v>8353392</v>
      </c>
      <c r="T38" s="45"/>
      <c r="U38" s="44">
        <f t="shared" si="1"/>
        <v>0</v>
      </c>
    </row>
    <row r="39" spans="1:21" s="44" customFormat="1" ht="12.75" customHeight="1">
      <c r="A39" s="44" t="s">
        <v>54</v>
      </c>
      <c r="C39" s="44" t="s">
        <v>55</v>
      </c>
      <c r="E39" s="45">
        <v>13214169</v>
      </c>
      <c r="F39" s="45"/>
      <c r="G39" s="45">
        <v>17556942</v>
      </c>
      <c r="H39" s="45"/>
      <c r="I39" s="45">
        <v>1371874</v>
      </c>
      <c r="J39" s="45"/>
      <c r="K39" s="45">
        <v>1679647</v>
      </c>
      <c r="L39" s="45"/>
      <c r="M39" s="45">
        <f>271835+45065+73824+1434759</f>
        <v>1825483</v>
      </c>
      <c r="N39" s="45"/>
      <c r="O39" s="45">
        <v>0</v>
      </c>
      <c r="P39" s="45"/>
      <c r="Q39" s="45">
        <f>1569295+8800073+10711+3671733</f>
        <v>14051812</v>
      </c>
      <c r="R39" s="45"/>
      <c r="S39" s="45">
        <f t="shared" si="0"/>
        <v>15877295</v>
      </c>
      <c r="T39" s="45"/>
      <c r="U39" s="44">
        <f t="shared" si="1"/>
        <v>0</v>
      </c>
    </row>
    <row r="40" spans="1:21" s="44" customFormat="1" ht="12.75" customHeight="1">
      <c r="A40" s="44" t="s">
        <v>56</v>
      </c>
      <c r="C40" s="44" t="s">
        <v>57</v>
      </c>
      <c r="E40" s="45">
        <v>4663228</v>
      </c>
      <c r="F40" s="45"/>
      <c r="G40" s="45">
        <v>8161971</v>
      </c>
      <c r="H40" s="45"/>
      <c r="I40" s="45">
        <v>2519995</v>
      </c>
      <c r="J40" s="45"/>
      <c r="K40" s="45">
        <v>4058485</v>
      </c>
      <c r="L40" s="45"/>
      <c r="M40" s="45">
        <f>106613+2803768+66073</f>
        <v>2976454</v>
      </c>
      <c r="N40" s="45"/>
      <c r="O40" s="45">
        <v>67798</v>
      </c>
      <c r="P40" s="45"/>
      <c r="Q40" s="45">
        <v>1059234</v>
      </c>
      <c r="R40" s="45"/>
      <c r="S40" s="45">
        <f t="shared" si="0"/>
        <v>4103486</v>
      </c>
      <c r="T40" s="45"/>
      <c r="U40" s="44">
        <f t="shared" si="1"/>
        <v>0</v>
      </c>
    </row>
    <row r="41" spans="1:21" s="44" customFormat="1" ht="12.75" customHeight="1">
      <c r="A41" s="44" t="s">
        <v>58</v>
      </c>
      <c r="C41" s="44" t="s">
        <v>59</v>
      </c>
      <c r="E41" s="45">
        <f>6885114+377251</f>
        <v>7262365</v>
      </c>
      <c r="F41" s="45"/>
      <c r="G41" s="45">
        <v>12722419</v>
      </c>
      <c r="H41" s="45"/>
      <c r="I41" s="45">
        <v>3974069</v>
      </c>
      <c r="J41" s="45"/>
      <c r="K41" s="45">
        <v>5063481</v>
      </c>
      <c r="L41" s="45"/>
      <c r="M41" s="45">
        <f>2793324+93957</f>
        <v>2887281</v>
      </c>
      <c r="N41" s="45"/>
      <c r="O41" s="45">
        <v>0</v>
      </c>
      <c r="P41" s="45"/>
      <c r="Q41" s="45">
        <f>1002430+3401446-45802+413583</f>
        <v>4771657</v>
      </c>
      <c r="R41" s="45"/>
      <c r="S41" s="45">
        <f t="shared" si="0"/>
        <v>7658938</v>
      </c>
      <c r="T41" s="45"/>
      <c r="U41" s="44">
        <f t="shared" si="1"/>
        <v>0</v>
      </c>
    </row>
    <row r="42" spans="1:21" s="44" customFormat="1" ht="12.75" customHeight="1">
      <c r="A42" s="44" t="s">
        <v>476</v>
      </c>
      <c r="C42" s="44" t="s">
        <v>15</v>
      </c>
      <c r="E42" s="45">
        <v>950729</v>
      </c>
      <c r="F42" s="45"/>
      <c r="G42" s="45">
        <v>2057944</v>
      </c>
      <c r="H42" s="45"/>
      <c r="I42" s="45">
        <v>829857</v>
      </c>
      <c r="J42" s="45"/>
      <c r="K42" s="45">
        <v>980522</v>
      </c>
      <c r="L42" s="45"/>
      <c r="M42" s="45">
        <v>59648</v>
      </c>
      <c r="N42" s="45"/>
      <c r="O42" s="45">
        <f>200450+323377+71335</f>
        <v>595162</v>
      </c>
      <c r="P42" s="45"/>
      <c r="Q42" s="45">
        <v>422612</v>
      </c>
      <c r="R42" s="45"/>
      <c r="S42" s="45">
        <f>+Q42+O42+M42</f>
        <v>1077422</v>
      </c>
      <c r="T42" s="45"/>
      <c r="U42" s="44">
        <f>+G42-K42-S42</f>
        <v>0</v>
      </c>
    </row>
    <row r="43" spans="1:21" s="44" customFormat="1" ht="12.75" customHeight="1">
      <c r="A43" s="44" t="s">
        <v>60</v>
      </c>
      <c r="C43" s="44" t="s">
        <v>61</v>
      </c>
      <c r="E43" s="45">
        <f>2565819+295763</f>
        <v>2861582</v>
      </c>
      <c r="F43" s="45"/>
      <c r="G43" s="45">
        <v>5484473</v>
      </c>
      <c r="H43" s="45"/>
      <c r="I43" s="45">
        <v>1237030</v>
      </c>
      <c r="J43" s="45"/>
      <c r="K43" s="45">
        <v>1605462</v>
      </c>
      <c r="L43" s="45"/>
      <c r="M43" s="45">
        <f>210316+75461+2259+100000+87400</f>
        <v>475436</v>
      </c>
      <c r="N43" s="45"/>
      <c r="O43" s="45">
        <v>0</v>
      </c>
      <c r="P43" s="45"/>
      <c r="Q43" s="45">
        <f>2073597+1007251+164594+26539+131594</f>
        <v>3403575</v>
      </c>
      <c r="R43" s="45"/>
      <c r="S43" s="45">
        <f t="shared" si="0"/>
        <v>3879011</v>
      </c>
      <c r="T43" s="45"/>
      <c r="U43" s="44">
        <f t="shared" si="1"/>
        <v>0</v>
      </c>
    </row>
    <row r="44" spans="1:21" s="44" customFormat="1" ht="12.75" customHeight="1">
      <c r="A44" s="44" t="s">
        <v>62</v>
      </c>
      <c r="C44" s="44" t="s">
        <v>15</v>
      </c>
      <c r="E44" s="45">
        <f>22935711+3019</f>
        <v>22938730</v>
      </c>
      <c r="F44" s="45"/>
      <c r="G44" s="45">
        <v>58695126</v>
      </c>
      <c r="H44" s="45"/>
      <c r="I44" s="45">
        <v>21969173</v>
      </c>
      <c r="J44" s="45"/>
      <c r="K44" s="45">
        <v>29330025</v>
      </c>
      <c r="L44" s="45"/>
      <c r="M44" s="45">
        <f>201592+8920881+1759059+3648</f>
        <v>10885180</v>
      </c>
      <c r="N44" s="45"/>
      <c r="O44" s="45">
        <v>0</v>
      </c>
      <c r="P44" s="45"/>
      <c r="Q44" s="45">
        <f>4154656+3301107+3019+11021139</f>
        <v>18479921</v>
      </c>
      <c r="R44" s="45"/>
      <c r="S44" s="45">
        <f t="shared" si="0"/>
        <v>29365101</v>
      </c>
      <c r="T44" s="45"/>
      <c r="U44" s="44">
        <f t="shared" si="1"/>
        <v>0</v>
      </c>
    </row>
    <row r="45" spans="1:21" s="44" customFormat="1" ht="12.75" customHeight="1">
      <c r="A45" s="44" t="s">
        <v>485</v>
      </c>
      <c r="C45" s="44" t="s">
        <v>111</v>
      </c>
      <c r="E45" s="45">
        <v>1768204</v>
      </c>
      <c r="F45" s="45"/>
      <c r="G45" s="45">
        <v>2461055</v>
      </c>
      <c r="H45" s="45"/>
      <c r="I45" s="45">
        <v>287621</v>
      </c>
      <c r="J45" s="45"/>
      <c r="K45" s="45">
        <v>1382185</v>
      </c>
      <c r="L45" s="45"/>
      <c r="M45" s="45">
        <f>216265+23000+16387+5115</f>
        <v>260767</v>
      </c>
      <c r="N45" s="45"/>
      <c r="O45" s="45">
        <v>0</v>
      </c>
      <c r="P45" s="45"/>
      <c r="Q45" s="45">
        <f>572940+965236-720073</f>
        <v>818103</v>
      </c>
      <c r="R45" s="45"/>
      <c r="S45" s="45">
        <f>+Q45+O45+M45</f>
        <v>1078870</v>
      </c>
      <c r="T45" s="45"/>
      <c r="U45" s="44">
        <f>+G45-K45-S45</f>
        <v>0</v>
      </c>
    </row>
    <row r="46" spans="1:21" s="44" customFormat="1" ht="12.75" customHeight="1">
      <c r="A46" s="44" t="s">
        <v>63</v>
      </c>
      <c r="C46" s="44" t="s">
        <v>64</v>
      </c>
      <c r="E46" s="45">
        <v>3426971</v>
      </c>
      <c r="F46" s="45"/>
      <c r="G46" s="45">
        <v>6495167</v>
      </c>
      <c r="H46" s="45"/>
      <c r="I46" s="45">
        <v>2411209</v>
      </c>
      <c r="J46" s="45"/>
      <c r="K46" s="45">
        <v>6941181</v>
      </c>
      <c r="L46" s="45"/>
      <c r="M46" s="45">
        <f>1104372+9771+48443</f>
        <v>1162586</v>
      </c>
      <c r="N46" s="45"/>
      <c r="O46" s="45">
        <v>0</v>
      </c>
      <c r="P46" s="45"/>
      <c r="Q46" s="45">
        <f>566284+237982+32607-2445473</f>
        <v>-1608600</v>
      </c>
      <c r="R46" s="45"/>
      <c r="S46" s="45">
        <f t="shared" si="0"/>
        <v>-446014</v>
      </c>
      <c r="T46" s="45"/>
      <c r="U46" s="44">
        <f t="shared" si="1"/>
        <v>0</v>
      </c>
    </row>
    <row r="47" spans="1:21" s="44" customFormat="1" ht="12.75" customHeight="1">
      <c r="A47" s="44" t="s">
        <v>65</v>
      </c>
      <c r="C47" s="44" t="s">
        <v>66</v>
      </c>
      <c r="E47" s="45">
        <v>17377882</v>
      </c>
      <c r="F47" s="45"/>
      <c r="G47" s="45">
        <v>34604983</v>
      </c>
      <c r="H47" s="45"/>
      <c r="I47" s="45">
        <v>14646365</v>
      </c>
      <c r="J47" s="45"/>
      <c r="K47" s="45">
        <v>16383256</v>
      </c>
      <c r="L47" s="45"/>
      <c r="M47" s="45">
        <f>3965238+105955+1194522+101968</f>
        <v>5367683</v>
      </c>
      <c r="N47" s="45"/>
      <c r="O47" s="45">
        <v>0</v>
      </c>
      <c r="P47" s="45"/>
      <c r="Q47" s="45">
        <f>10711773+819077+587647+735547</f>
        <v>12854044</v>
      </c>
      <c r="R47" s="45"/>
      <c r="S47" s="45">
        <f>+Q47+O47+M47</f>
        <v>18221727</v>
      </c>
      <c r="T47" s="45"/>
      <c r="U47" s="44">
        <f>+G47-K47-S47</f>
        <v>0</v>
      </c>
    </row>
    <row r="48" spans="1:21" s="44" customFormat="1" ht="12.75" customHeight="1">
      <c r="A48" s="44" t="s">
        <v>67</v>
      </c>
      <c r="C48" s="44" t="s">
        <v>375</v>
      </c>
      <c r="E48" s="45">
        <v>4147169</v>
      </c>
      <c r="F48" s="45"/>
      <c r="G48" s="45">
        <v>7709480</v>
      </c>
      <c r="H48" s="45"/>
      <c r="I48" s="45">
        <v>1924730</v>
      </c>
      <c r="J48" s="45"/>
      <c r="K48" s="45">
        <v>2556610</v>
      </c>
      <c r="L48" s="45"/>
      <c r="M48" s="45">
        <f>408466+312935</f>
        <v>721401</v>
      </c>
      <c r="N48" s="45"/>
      <c r="O48" s="45">
        <v>0</v>
      </c>
      <c r="P48" s="45"/>
      <c r="Q48" s="45">
        <f>1778951+1257409+557+1394552</f>
        <v>4431469</v>
      </c>
      <c r="R48" s="45"/>
      <c r="S48" s="45">
        <f t="shared" ref="S48:S53" si="2">+Q48+O48+M48</f>
        <v>5152870</v>
      </c>
      <c r="T48" s="45"/>
      <c r="U48" s="44">
        <f t="shared" ref="U48:U62" si="3">+G48-K48-S48</f>
        <v>0</v>
      </c>
    </row>
    <row r="49" spans="1:21" s="44" customFormat="1" ht="12.75" customHeight="1">
      <c r="A49" s="44" t="s">
        <v>68</v>
      </c>
      <c r="C49" s="44" t="s">
        <v>45</v>
      </c>
      <c r="E49" s="45">
        <v>904826</v>
      </c>
      <c r="F49" s="45"/>
      <c r="G49" s="45">
        <v>4185425</v>
      </c>
      <c r="H49" s="45"/>
      <c r="I49" s="45">
        <v>2667856</v>
      </c>
      <c r="J49" s="45"/>
      <c r="K49" s="45">
        <v>2988707</v>
      </c>
      <c r="L49" s="45"/>
      <c r="M49" s="45">
        <f>24975+11643+53912</f>
        <v>90530</v>
      </c>
      <c r="N49" s="45"/>
      <c r="O49" s="45">
        <f>486796+522853+8</f>
        <v>1009657</v>
      </c>
      <c r="P49" s="45"/>
      <c r="Q49" s="45">
        <v>96531</v>
      </c>
      <c r="R49" s="45"/>
      <c r="S49" s="45">
        <f t="shared" si="2"/>
        <v>1196718</v>
      </c>
      <c r="T49" s="45"/>
      <c r="U49" s="44">
        <f t="shared" si="3"/>
        <v>0</v>
      </c>
    </row>
    <row r="50" spans="1:21" s="44" customFormat="1" ht="12.75" customHeight="1">
      <c r="A50" s="44" t="s">
        <v>69</v>
      </c>
      <c r="C50" s="44" t="s">
        <v>70</v>
      </c>
      <c r="E50" s="45">
        <f>6062075+265223+1000</f>
        <v>6328298</v>
      </c>
      <c r="F50" s="45"/>
      <c r="G50" s="45">
        <v>13850197</v>
      </c>
      <c r="H50" s="45"/>
      <c r="I50" s="45">
        <v>4192458</v>
      </c>
      <c r="J50" s="45"/>
      <c r="K50" s="45">
        <v>10050117</v>
      </c>
      <c r="L50" s="45"/>
      <c r="M50" s="45">
        <f>432177+152389+1000</f>
        <v>585566</v>
      </c>
      <c r="N50" s="45"/>
      <c r="O50" s="45">
        <v>0</v>
      </c>
      <c r="P50" s="45"/>
      <c r="Q50" s="45">
        <f>2232978+865429+16591+97329+2187</f>
        <v>3214514</v>
      </c>
      <c r="R50" s="45"/>
      <c r="S50" s="45">
        <f t="shared" si="2"/>
        <v>3800080</v>
      </c>
      <c r="T50" s="45"/>
      <c r="U50" s="44">
        <f t="shared" si="3"/>
        <v>0</v>
      </c>
    </row>
    <row r="51" spans="1:21" s="44" customFormat="1" ht="12.75" customHeight="1">
      <c r="A51" s="44" t="s">
        <v>71</v>
      </c>
      <c r="C51" s="44" t="s">
        <v>45</v>
      </c>
      <c r="E51" s="45">
        <f>23025000+333372000+158000+72935000</f>
        <v>429490000</v>
      </c>
      <c r="F51" s="45"/>
      <c r="G51" s="45">
        <v>642904000</v>
      </c>
      <c r="H51" s="45"/>
      <c r="I51" s="45">
        <v>145292000</v>
      </c>
      <c r="J51" s="45"/>
      <c r="K51" s="45">
        <v>218051000</v>
      </c>
      <c r="L51" s="45"/>
      <c r="M51" s="45">
        <f>26450000+228710000+108253000</f>
        <v>363413000</v>
      </c>
      <c r="N51" s="45"/>
      <c r="O51" s="45">
        <v>62481000</v>
      </c>
      <c r="P51" s="45"/>
      <c r="Q51" s="45">
        <v>-1041000</v>
      </c>
      <c r="R51" s="45"/>
      <c r="S51" s="45">
        <f t="shared" si="2"/>
        <v>424853000</v>
      </c>
      <c r="T51" s="45"/>
      <c r="U51" s="44">
        <f t="shared" si="3"/>
        <v>0</v>
      </c>
    </row>
    <row r="52" spans="1:21" s="44" customFormat="1" ht="12.75" customHeight="1">
      <c r="A52" s="44" t="s">
        <v>463</v>
      </c>
      <c r="C52" s="44" t="s">
        <v>464</v>
      </c>
      <c r="E52" s="45">
        <f>3617708+34845</f>
        <v>3652553</v>
      </c>
      <c r="F52" s="45"/>
      <c r="G52" s="45">
        <v>8466726</v>
      </c>
      <c r="H52" s="45"/>
      <c r="I52" s="45">
        <v>3099215</v>
      </c>
      <c r="J52" s="45"/>
      <c r="K52" s="45">
        <v>3900850</v>
      </c>
      <c r="L52" s="45"/>
      <c r="M52" s="45">
        <f>552142+959729</f>
        <v>1511871</v>
      </c>
      <c r="N52" s="45"/>
      <c r="O52" s="45">
        <v>0</v>
      </c>
      <c r="P52" s="45"/>
      <c r="Q52" s="45">
        <f>942901+1379820+150625+580659</f>
        <v>3054005</v>
      </c>
      <c r="R52" s="45"/>
      <c r="S52" s="45">
        <f t="shared" si="2"/>
        <v>4565876</v>
      </c>
      <c r="T52" s="45"/>
      <c r="U52" s="44">
        <f t="shared" si="3"/>
        <v>0</v>
      </c>
    </row>
    <row r="53" spans="1:21" s="44" customFormat="1" ht="12.75" customHeight="1">
      <c r="A53" s="44" t="s">
        <v>72</v>
      </c>
      <c r="C53" s="44" t="s">
        <v>66</v>
      </c>
      <c r="E53" s="45">
        <v>3174917</v>
      </c>
      <c r="F53" s="45"/>
      <c r="G53" s="45">
        <v>9352993</v>
      </c>
      <c r="H53" s="45"/>
      <c r="I53" s="45">
        <v>5098372</v>
      </c>
      <c r="J53" s="45"/>
      <c r="K53" s="45">
        <v>6346971</v>
      </c>
      <c r="L53" s="45"/>
      <c r="M53" s="45">
        <f>65461+1559714</f>
        <v>1625175</v>
      </c>
      <c r="N53" s="45"/>
      <c r="O53" s="45">
        <v>163550</v>
      </c>
      <c r="P53" s="45"/>
      <c r="Q53" s="45">
        <v>1217297</v>
      </c>
      <c r="R53" s="45"/>
      <c r="S53" s="45">
        <f t="shared" si="2"/>
        <v>3006022</v>
      </c>
      <c r="T53" s="45"/>
      <c r="U53" s="44">
        <f t="shared" si="3"/>
        <v>0</v>
      </c>
    </row>
    <row r="54" spans="1:21" s="44" customFormat="1" ht="12.75" customHeight="1">
      <c r="A54" s="44" t="s">
        <v>342</v>
      </c>
      <c r="C54" s="44" t="s">
        <v>27</v>
      </c>
      <c r="E54" s="45">
        <f>251617000+4299000</f>
        <v>255916000</v>
      </c>
      <c r="F54" s="45"/>
      <c r="G54" s="45">
        <v>673533000</v>
      </c>
      <c r="H54" s="45"/>
      <c r="I54" s="45">
        <v>160627000</v>
      </c>
      <c r="J54" s="45"/>
      <c r="K54" s="45">
        <v>309272000</v>
      </c>
      <c r="L54" s="45"/>
      <c r="M54" s="45">
        <f>278572000-9648000</f>
        <v>268924000</v>
      </c>
      <c r="N54" s="45"/>
      <c r="O54" s="45">
        <v>43046000</v>
      </c>
      <c r="P54" s="45"/>
      <c r="Q54" s="45">
        <v>52291000</v>
      </c>
      <c r="R54" s="45"/>
      <c r="S54" s="45">
        <f t="shared" ref="S54:S62" si="4">+Q54+O54+M54</f>
        <v>364261000</v>
      </c>
      <c r="T54" s="45"/>
      <c r="U54" s="44">
        <f t="shared" si="3"/>
        <v>0</v>
      </c>
    </row>
    <row r="55" spans="1:21" s="44" customFormat="1" ht="12.75" customHeight="1">
      <c r="A55" s="44" t="s">
        <v>74</v>
      </c>
      <c r="C55" s="44" t="s">
        <v>27</v>
      </c>
      <c r="E55" s="45">
        <v>15006708</v>
      </c>
      <c r="F55" s="45"/>
      <c r="G55" s="45">
        <v>40385845</v>
      </c>
      <c r="H55" s="45"/>
      <c r="I55" s="45">
        <v>18941868</v>
      </c>
      <c r="J55" s="45"/>
      <c r="K55" s="45">
        <v>23958667</v>
      </c>
      <c r="L55" s="45"/>
      <c r="M55" s="45">
        <f>632989+1763651+263299</f>
        <v>2659939</v>
      </c>
      <c r="N55" s="45"/>
      <c r="O55" s="45">
        <v>0</v>
      </c>
      <c r="P55" s="45"/>
      <c r="Q55" s="45">
        <f>5282107+3138480+3642458+1704194</f>
        <v>13767239</v>
      </c>
      <c r="R55" s="45"/>
      <c r="S55" s="45">
        <f t="shared" si="4"/>
        <v>16427178</v>
      </c>
      <c r="T55" s="45"/>
      <c r="U55" s="44">
        <f t="shared" si="3"/>
        <v>0</v>
      </c>
    </row>
    <row r="56" spans="1:21" s="44" customFormat="1" ht="12.75" customHeight="1">
      <c r="A56" s="44" t="s">
        <v>75</v>
      </c>
      <c r="C56" s="44" t="s">
        <v>76</v>
      </c>
      <c r="E56" s="45">
        <v>1312115</v>
      </c>
      <c r="F56" s="45"/>
      <c r="G56" s="45">
        <v>2858154</v>
      </c>
      <c r="H56" s="45"/>
      <c r="I56" s="45">
        <v>603153</v>
      </c>
      <c r="J56" s="45"/>
      <c r="K56" s="45">
        <v>1280367</v>
      </c>
      <c r="L56" s="45"/>
      <c r="M56" s="45">
        <f>41691+24658+5129</f>
        <v>71478</v>
      </c>
      <c r="N56" s="45"/>
      <c r="O56" s="45">
        <v>0</v>
      </c>
      <c r="P56" s="45"/>
      <c r="Q56" s="45">
        <f>369629+557281+5424+573975</f>
        <v>1506309</v>
      </c>
      <c r="R56" s="45"/>
      <c r="S56" s="45">
        <f t="shared" si="4"/>
        <v>1577787</v>
      </c>
      <c r="T56" s="45"/>
      <c r="U56" s="44">
        <f t="shared" si="3"/>
        <v>0</v>
      </c>
    </row>
    <row r="57" spans="1:21" s="44" customFormat="1" ht="12.75" customHeight="1">
      <c r="A57" s="44" t="s">
        <v>77</v>
      </c>
      <c r="C57" s="44" t="s">
        <v>43</v>
      </c>
      <c r="E57" s="45">
        <f>313182000+549000</f>
        <v>313731000</v>
      </c>
      <c r="F57" s="45"/>
      <c r="G57" s="45">
        <v>535328000</v>
      </c>
      <c r="H57" s="45"/>
      <c r="I57" s="45">
        <v>119581000</v>
      </c>
      <c r="J57" s="45"/>
      <c r="K57" s="45">
        <v>197212000</v>
      </c>
      <c r="L57" s="45"/>
      <c r="M57" s="45">
        <f>135209000+171384000</f>
        <v>306593000</v>
      </c>
      <c r="N57" s="45"/>
      <c r="O57" s="45">
        <v>3187000</v>
      </c>
      <c r="P57" s="45"/>
      <c r="Q57" s="45">
        <v>28336000</v>
      </c>
      <c r="R57" s="45"/>
      <c r="S57" s="45">
        <f t="shared" si="4"/>
        <v>338116000</v>
      </c>
      <c r="T57" s="45"/>
      <c r="U57" s="44">
        <f t="shared" si="3"/>
        <v>0</v>
      </c>
    </row>
    <row r="58" spans="1:21" s="44" customFormat="1" ht="12.75" customHeight="1">
      <c r="D58" s="3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8" t="s">
        <v>484</v>
      </c>
      <c r="T58" s="45"/>
    </row>
    <row r="59" spans="1:21" s="44" customFormat="1" ht="12.75" customHeight="1">
      <c r="A59" s="44" t="s">
        <v>94</v>
      </c>
      <c r="C59" s="44" t="s">
        <v>94</v>
      </c>
      <c r="E59" s="94">
        <f>804889+836603</f>
        <v>1641492</v>
      </c>
      <c r="F59" s="94"/>
      <c r="G59" s="94">
        <v>2762477</v>
      </c>
      <c r="H59" s="94"/>
      <c r="I59" s="94">
        <v>559793</v>
      </c>
      <c r="J59" s="94"/>
      <c r="K59" s="94">
        <v>816833</v>
      </c>
      <c r="L59" s="94"/>
      <c r="M59" s="94">
        <f>16541+50642+18661+159717</f>
        <v>245561</v>
      </c>
      <c r="N59" s="94"/>
      <c r="O59" s="94">
        <v>0</v>
      </c>
      <c r="P59" s="94"/>
      <c r="Q59" s="94">
        <f>117738+684748+91222+806375</f>
        <v>1700083</v>
      </c>
      <c r="R59" s="94"/>
      <c r="S59" s="94">
        <f>+Q59+O59+M59</f>
        <v>1945644</v>
      </c>
      <c r="T59" s="45"/>
      <c r="U59" s="44">
        <f>+G59-K59-S59</f>
        <v>0</v>
      </c>
    </row>
    <row r="60" spans="1:21" s="44" customFormat="1" ht="12.75" customHeight="1">
      <c r="A60" s="44" t="s">
        <v>78</v>
      </c>
      <c r="C60" s="44" t="s">
        <v>19</v>
      </c>
      <c r="E60" s="45">
        <v>2423219</v>
      </c>
      <c r="F60" s="45"/>
      <c r="G60" s="45">
        <v>7674808</v>
      </c>
      <c r="H60" s="45"/>
      <c r="I60" s="45">
        <v>4366583</v>
      </c>
      <c r="J60" s="45"/>
      <c r="K60" s="45">
        <v>5222482</v>
      </c>
      <c r="L60" s="45"/>
      <c r="M60" s="45">
        <f>28286+5420</f>
        <v>33706</v>
      </c>
      <c r="N60" s="45"/>
      <c r="O60" s="45">
        <v>0</v>
      </c>
      <c r="P60" s="45"/>
      <c r="Q60" s="45">
        <f>412981+559643+572348+873648</f>
        <v>2418620</v>
      </c>
      <c r="R60" s="45"/>
      <c r="S60" s="45">
        <f t="shared" si="4"/>
        <v>2452326</v>
      </c>
      <c r="T60" s="45"/>
      <c r="U60" s="44">
        <f t="shared" si="3"/>
        <v>0</v>
      </c>
    </row>
    <row r="61" spans="1:21" s="44" customFormat="1" ht="12.75" customHeight="1">
      <c r="A61" s="44" t="s">
        <v>79</v>
      </c>
      <c r="C61" s="44" t="s">
        <v>80</v>
      </c>
      <c r="E61" s="45">
        <v>1876170</v>
      </c>
      <c r="F61" s="45"/>
      <c r="G61" s="45">
        <v>4818179</v>
      </c>
      <c r="H61" s="45"/>
      <c r="I61" s="45">
        <v>2742362</v>
      </c>
      <c r="J61" s="45"/>
      <c r="K61" s="45">
        <v>2966849</v>
      </c>
      <c r="L61" s="45"/>
      <c r="M61" s="45">
        <v>26604</v>
      </c>
      <c r="N61" s="45"/>
      <c r="O61" s="45">
        <v>0</v>
      </c>
      <c r="P61" s="45"/>
      <c r="Q61" s="45">
        <f>680999+947734+195993</f>
        <v>1824726</v>
      </c>
      <c r="R61" s="45"/>
      <c r="S61" s="45">
        <f t="shared" si="4"/>
        <v>1851330</v>
      </c>
      <c r="T61" s="45"/>
      <c r="U61" s="44">
        <f t="shared" si="3"/>
        <v>0</v>
      </c>
    </row>
    <row r="62" spans="1:21" s="44" customFormat="1" ht="12.75" customHeight="1">
      <c r="A62" s="44" t="s">
        <v>81</v>
      </c>
      <c r="C62" s="44" t="s">
        <v>81</v>
      </c>
      <c r="E62" s="45">
        <v>1626223</v>
      </c>
      <c r="F62" s="45"/>
      <c r="G62" s="45">
        <v>4125398</v>
      </c>
      <c r="H62" s="45"/>
      <c r="I62" s="45">
        <v>1199844</v>
      </c>
      <c r="J62" s="45"/>
      <c r="K62" s="45">
        <v>2268041</v>
      </c>
      <c r="L62" s="45"/>
      <c r="M62" s="45">
        <f>149832+73166+2033+11856+250000</f>
        <v>486887</v>
      </c>
      <c r="N62" s="45"/>
      <c r="O62" s="45">
        <v>0</v>
      </c>
      <c r="P62" s="45"/>
      <c r="Q62" s="45">
        <f>208402+802352+210784+148932</f>
        <v>1370470</v>
      </c>
      <c r="R62" s="45"/>
      <c r="S62" s="45">
        <f t="shared" si="4"/>
        <v>1857357</v>
      </c>
      <c r="T62" s="45"/>
      <c r="U62" s="44">
        <f t="shared" si="3"/>
        <v>0</v>
      </c>
    </row>
    <row r="63" spans="1:21" s="44" customFormat="1" ht="12.75" customHeight="1">
      <c r="A63" s="47" t="s">
        <v>465</v>
      </c>
      <c r="B63" s="47"/>
      <c r="C63" s="47" t="s">
        <v>57</v>
      </c>
      <c r="E63" s="45">
        <f>1099347+12764</f>
        <v>1112111</v>
      </c>
      <c r="F63" s="45"/>
      <c r="G63" s="45">
        <v>2244316</v>
      </c>
      <c r="H63" s="45"/>
      <c r="I63" s="45">
        <v>730868</v>
      </c>
      <c r="J63" s="45"/>
      <c r="K63" s="45">
        <v>1298482</v>
      </c>
      <c r="L63" s="45"/>
      <c r="M63" s="45">
        <f>86190+118000+75206</f>
        <v>279396</v>
      </c>
      <c r="N63" s="45"/>
      <c r="O63" s="45">
        <f>124410+165536+376492</f>
        <v>666438</v>
      </c>
      <c r="P63" s="45"/>
      <c r="Q63" s="45">
        <v>0</v>
      </c>
      <c r="R63" s="45"/>
      <c r="S63" s="45">
        <f>+Q63+O63+M63</f>
        <v>945834</v>
      </c>
      <c r="T63" s="45"/>
      <c r="U63" s="44">
        <f>+G63-K63-S63</f>
        <v>0</v>
      </c>
    </row>
    <row r="64" spans="1:21" s="44" customFormat="1" ht="12.75" customHeight="1">
      <c r="A64" s="44" t="s">
        <v>82</v>
      </c>
      <c r="C64" s="44" t="s">
        <v>13</v>
      </c>
      <c r="E64" s="45">
        <f>9700292+211256+365759+19000</f>
        <v>10296307</v>
      </c>
      <c r="F64" s="45"/>
      <c r="G64" s="45">
        <v>44686173</v>
      </c>
      <c r="H64" s="45"/>
      <c r="I64" s="45">
        <v>16526193</v>
      </c>
      <c r="J64" s="45"/>
      <c r="K64" s="45">
        <v>30578189</v>
      </c>
      <c r="L64" s="45"/>
      <c r="M64" s="45">
        <f>611024+126360+214316+516811+1953969+8858+221398+10793252</f>
        <v>14445988</v>
      </c>
      <c r="N64" s="45"/>
      <c r="O64" s="45">
        <v>0</v>
      </c>
      <c r="P64" s="45"/>
      <c r="Q64" s="45">
        <f>4907156+3945495-9190655</f>
        <v>-338004</v>
      </c>
      <c r="R64" s="45"/>
      <c r="S64" s="45">
        <f t="shared" ref="S64:S66" si="5">+Q64+O64+M64</f>
        <v>14107984</v>
      </c>
      <c r="T64" s="45"/>
      <c r="U64" s="44">
        <f t="shared" si="1"/>
        <v>0</v>
      </c>
    </row>
    <row r="65" spans="1:21" s="44" customFormat="1" ht="12.75" customHeight="1">
      <c r="A65" s="44" t="s">
        <v>83</v>
      </c>
      <c r="C65" s="44" t="s">
        <v>66</v>
      </c>
      <c r="E65" s="45">
        <f>63234958+93150+1891</f>
        <v>63329999</v>
      </c>
      <c r="F65" s="45"/>
      <c r="G65" s="45">
        <v>181554014</v>
      </c>
      <c r="H65" s="45"/>
      <c r="I65" s="45">
        <v>37208330</v>
      </c>
      <c r="J65" s="45"/>
      <c r="K65" s="45">
        <v>75018747</v>
      </c>
      <c r="L65" s="45"/>
      <c r="M65" s="45">
        <f>47609082+423643+132987+912306+13194307+15536249+102228+25700000</f>
        <v>103610802</v>
      </c>
      <c r="N65" s="45"/>
      <c r="O65" s="45">
        <f>6585539+398848</f>
        <v>6984387</v>
      </c>
      <c r="P65" s="45"/>
      <c r="Q65" s="45">
        <f>25681059-8675221+76302-21142062</f>
        <v>-4059922</v>
      </c>
      <c r="R65" s="45"/>
      <c r="S65" s="45">
        <f>+Q65+O65+M65</f>
        <v>106535267</v>
      </c>
      <c r="T65" s="45"/>
      <c r="U65" s="44">
        <f>+G65-K65-S65</f>
        <v>0</v>
      </c>
    </row>
    <row r="66" spans="1:21" s="44" customFormat="1" ht="12.75" customHeight="1">
      <c r="A66" s="44" t="s">
        <v>84</v>
      </c>
      <c r="C66" s="44" t="s">
        <v>45</v>
      </c>
      <c r="E66" s="45">
        <v>1704526</v>
      </c>
      <c r="F66" s="45"/>
      <c r="G66" s="45">
        <v>3614833</v>
      </c>
      <c r="H66" s="45"/>
      <c r="I66" s="45">
        <v>1618585</v>
      </c>
      <c r="J66" s="45"/>
      <c r="K66" s="45">
        <v>1767831</v>
      </c>
      <c r="L66" s="45"/>
      <c r="M66" s="45">
        <v>0</v>
      </c>
      <c r="N66" s="45"/>
      <c r="O66" s="45">
        <v>0</v>
      </c>
      <c r="P66" s="45"/>
      <c r="Q66" s="45">
        <f>1284955+478269+83778</f>
        <v>1847002</v>
      </c>
      <c r="R66" s="45"/>
      <c r="S66" s="45">
        <f t="shared" si="5"/>
        <v>1847002</v>
      </c>
      <c r="T66" s="45"/>
      <c r="U66" s="44">
        <f t="shared" si="1"/>
        <v>0</v>
      </c>
    </row>
    <row r="67" spans="1:21" s="44" customFormat="1" ht="12.75" customHeight="1">
      <c r="A67" s="44" t="s">
        <v>85</v>
      </c>
      <c r="C67" s="44" t="s">
        <v>85</v>
      </c>
      <c r="E67" s="45">
        <f>10075096+172223</f>
        <v>10247319</v>
      </c>
      <c r="F67" s="45"/>
      <c r="G67" s="45">
        <v>14501472</v>
      </c>
      <c r="H67" s="45"/>
      <c r="I67" s="45">
        <v>867991</v>
      </c>
      <c r="J67" s="45"/>
      <c r="K67" s="45">
        <v>7307097</v>
      </c>
      <c r="L67" s="45"/>
      <c r="M67" s="45">
        <f>3499031+47651+1492009+954176+172223</f>
        <v>6165090</v>
      </c>
      <c r="N67" s="45"/>
      <c r="O67" s="45">
        <v>0</v>
      </c>
      <c r="P67" s="45"/>
      <c r="Q67" s="45">
        <f>2044712+2133103-3148530</f>
        <v>1029285</v>
      </c>
      <c r="R67" s="45"/>
      <c r="S67" s="45">
        <f t="shared" si="0"/>
        <v>7194375</v>
      </c>
      <c r="T67" s="45"/>
      <c r="U67" s="44">
        <f t="shared" si="1"/>
        <v>0</v>
      </c>
    </row>
    <row r="68" spans="1:21" s="44" customFormat="1" ht="12.75" customHeight="1">
      <c r="A68" s="44" t="s">
        <v>86</v>
      </c>
      <c r="C68" s="44" t="s">
        <v>86</v>
      </c>
      <c r="E68" s="45">
        <v>19795988</v>
      </c>
      <c r="F68" s="45"/>
      <c r="G68" s="45">
        <v>30043787</v>
      </c>
      <c r="H68" s="45"/>
      <c r="I68" s="45">
        <v>5855471</v>
      </c>
      <c r="J68" s="45"/>
      <c r="K68" s="45">
        <v>30108889</v>
      </c>
      <c r="L68" s="45"/>
      <c r="M68" s="45">
        <f>1272643+1245613+80987</f>
        <v>2599243</v>
      </c>
      <c r="N68" s="45"/>
      <c r="O68" s="45">
        <v>0</v>
      </c>
      <c r="P68" s="45"/>
      <c r="Q68" s="45">
        <f>3478247+4368793-40584-10470801</f>
        <v>-2664345</v>
      </c>
      <c r="R68" s="45"/>
      <c r="S68" s="45">
        <f t="shared" si="0"/>
        <v>-65102</v>
      </c>
      <c r="T68" s="45"/>
      <c r="U68" s="44">
        <f t="shared" si="1"/>
        <v>0</v>
      </c>
    </row>
    <row r="69" spans="1:21" s="44" customFormat="1" ht="12.75" customHeight="1">
      <c r="A69" s="44" t="s">
        <v>87</v>
      </c>
      <c r="C69" s="44" t="s">
        <v>88</v>
      </c>
      <c r="D69" s="35"/>
      <c r="E69" s="45">
        <v>814248</v>
      </c>
      <c r="F69" s="45"/>
      <c r="G69" s="45">
        <v>2685532</v>
      </c>
      <c r="H69" s="45"/>
      <c r="I69" s="45">
        <v>1233730</v>
      </c>
      <c r="J69" s="45"/>
      <c r="K69" s="45">
        <v>1428200</v>
      </c>
      <c r="L69" s="45"/>
      <c r="M69" s="45">
        <v>25578</v>
      </c>
      <c r="N69" s="45"/>
      <c r="O69" s="45">
        <v>0</v>
      </c>
      <c r="P69" s="45"/>
      <c r="Q69" s="45">
        <f>526030+972362-266638</f>
        <v>1231754</v>
      </c>
      <c r="R69" s="45"/>
      <c r="S69" s="45">
        <f t="shared" si="0"/>
        <v>1257332</v>
      </c>
      <c r="T69" s="45"/>
      <c r="U69" s="44">
        <f>+G69-K69-S69</f>
        <v>0</v>
      </c>
    </row>
    <row r="70" spans="1:21" s="44" customFormat="1" ht="12.75" customHeight="1">
      <c r="A70" s="44" t="s">
        <v>394</v>
      </c>
      <c r="C70" s="44" t="s">
        <v>89</v>
      </c>
      <c r="E70" s="45">
        <v>2450448</v>
      </c>
      <c r="F70" s="45"/>
      <c r="G70" s="45">
        <v>6209550</v>
      </c>
      <c r="H70" s="45"/>
      <c r="I70" s="45">
        <v>290582</v>
      </c>
      <c r="J70" s="45"/>
      <c r="K70" s="45">
        <v>2984840</v>
      </c>
      <c r="L70" s="45"/>
      <c r="M70" s="45">
        <f>344560+206343</f>
        <v>550903</v>
      </c>
      <c r="N70" s="45"/>
      <c r="O70" s="45">
        <v>0</v>
      </c>
      <c r="P70" s="45"/>
      <c r="Q70" s="45">
        <f>659906+1167649+846252</f>
        <v>2673807</v>
      </c>
      <c r="R70" s="45"/>
      <c r="S70" s="45">
        <f t="shared" si="0"/>
        <v>3224710</v>
      </c>
      <c r="T70" s="94"/>
      <c r="U70" s="46">
        <f t="shared" si="1"/>
        <v>0</v>
      </c>
    </row>
    <row r="71" spans="1:21" s="44" customFormat="1" ht="12.75" customHeight="1">
      <c r="A71" s="44" t="s">
        <v>90</v>
      </c>
      <c r="C71" s="44" t="s">
        <v>43</v>
      </c>
      <c r="E71" s="45">
        <f>76364580+768227</f>
        <v>77132807</v>
      </c>
      <c r="F71" s="45"/>
      <c r="G71" s="45">
        <v>136547394</v>
      </c>
      <c r="H71" s="45"/>
      <c r="I71" s="45">
        <v>22308231</v>
      </c>
      <c r="J71" s="45"/>
      <c r="K71" s="45">
        <v>68480069</v>
      </c>
      <c r="L71" s="45"/>
      <c r="M71" s="45">
        <f>9980595+286605+765272+30688146+897512</f>
        <v>42618130</v>
      </c>
      <c r="N71" s="45"/>
      <c r="O71" s="45">
        <v>1036417</v>
      </c>
      <c r="P71" s="45"/>
      <c r="Q71" s="45">
        <f>27520440+7872697-10980359</f>
        <v>24412778</v>
      </c>
      <c r="R71" s="45"/>
      <c r="S71" s="45">
        <f t="shared" si="0"/>
        <v>68067325</v>
      </c>
      <c r="T71" s="45"/>
      <c r="U71" s="44">
        <f t="shared" si="1"/>
        <v>0</v>
      </c>
    </row>
    <row r="72" spans="1:21" s="44" customFormat="1" ht="12.75" customHeight="1">
      <c r="A72" s="47" t="s">
        <v>488</v>
      </c>
      <c r="B72" s="47"/>
      <c r="C72" s="47" t="s">
        <v>27</v>
      </c>
      <c r="E72" s="45">
        <v>3822569</v>
      </c>
      <c r="F72" s="45"/>
      <c r="G72" s="45">
        <v>15314088</v>
      </c>
      <c r="H72" s="45"/>
      <c r="I72" s="45">
        <v>8708598</v>
      </c>
      <c r="J72" s="45"/>
      <c r="K72" s="45">
        <v>12768064</v>
      </c>
      <c r="L72" s="45"/>
      <c r="M72" s="45">
        <v>1221057</v>
      </c>
      <c r="N72" s="45"/>
      <c r="O72" s="45">
        <v>0</v>
      </c>
      <c r="P72" s="45"/>
      <c r="Q72" s="45">
        <f>-1026181+1178705+12445+1159998</f>
        <v>1324967</v>
      </c>
      <c r="R72" s="45"/>
      <c r="S72" s="45">
        <f t="shared" ref="S72:S130" si="6">+Q72+O72+M72</f>
        <v>2546024</v>
      </c>
      <c r="T72" s="45"/>
      <c r="U72" s="44">
        <f t="shared" si="1"/>
        <v>0</v>
      </c>
    </row>
    <row r="73" spans="1:21" s="44" customFormat="1" ht="12.75" customHeight="1">
      <c r="A73" s="44" t="s">
        <v>93</v>
      </c>
      <c r="B73" s="47"/>
      <c r="C73" s="44" t="s">
        <v>94</v>
      </c>
      <c r="E73" s="45">
        <v>930793</v>
      </c>
      <c r="F73" s="45"/>
      <c r="G73" s="45">
        <v>4134319</v>
      </c>
      <c r="H73" s="45"/>
      <c r="I73" s="45">
        <v>2269006</v>
      </c>
      <c r="J73" s="45"/>
      <c r="K73" s="45">
        <v>2658161</v>
      </c>
      <c r="L73" s="45"/>
      <c r="M73" s="45">
        <f>218712+79774</f>
        <v>298486</v>
      </c>
      <c r="N73" s="45"/>
      <c r="O73" s="45">
        <v>0</v>
      </c>
      <c r="P73" s="45"/>
      <c r="Q73" s="45">
        <f>496012+407669+51161+222830</f>
        <v>1177672</v>
      </c>
      <c r="R73" s="45"/>
      <c r="S73" s="45">
        <f t="shared" si="6"/>
        <v>1476158</v>
      </c>
      <c r="T73" s="45"/>
      <c r="U73" s="44">
        <f>+G73-K73-S73</f>
        <v>0</v>
      </c>
    </row>
    <row r="74" spans="1:21" s="46" customFormat="1" ht="12.75" customHeight="1">
      <c r="A74" s="46" t="s">
        <v>95</v>
      </c>
      <c r="C74" s="46" t="s">
        <v>94</v>
      </c>
      <c r="E74" s="45">
        <f>212829+135121</f>
        <v>347950</v>
      </c>
      <c r="F74" s="45"/>
      <c r="G74" s="45">
        <v>5032684</v>
      </c>
      <c r="H74" s="45"/>
      <c r="I74" s="45">
        <v>1179410</v>
      </c>
      <c r="J74" s="45"/>
      <c r="K74" s="45">
        <v>4420591</v>
      </c>
      <c r="L74" s="45"/>
      <c r="M74" s="45">
        <f>12220+25732+7045+35122</f>
        <v>80119</v>
      </c>
      <c r="N74" s="45"/>
      <c r="O74" s="45">
        <v>0</v>
      </c>
      <c r="P74" s="45"/>
      <c r="Q74" s="45">
        <f>-507674+3125304+19038-2104694</f>
        <v>531974</v>
      </c>
      <c r="R74" s="45"/>
      <c r="S74" s="45">
        <f t="shared" si="6"/>
        <v>612093</v>
      </c>
      <c r="T74" s="45"/>
      <c r="U74" s="44">
        <f t="shared" ref="U74:U80" si="7">+G74-K74-S74</f>
        <v>0</v>
      </c>
    </row>
    <row r="75" spans="1:21" s="44" customFormat="1" ht="12.75" customHeight="1">
      <c r="A75" s="44" t="s">
        <v>91</v>
      </c>
      <c r="C75" s="44" t="s">
        <v>92</v>
      </c>
      <c r="E75" s="45">
        <v>4698609</v>
      </c>
      <c r="F75" s="45"/>
      <c r="G75" s="45">
        <v>16393920</v>
      </c>
      <c r="H75" s="45"/>
      <c r="I75" s="45">
        <v>9940212</v>
      </c>
      <c r="J75" s="45"/>
      <c r="K75" s="45">
        <v>11881549</v>
      </c>
      <c r="L75" s="45"/>
      <c r="M75" s="45">
        <v>1160890</v>
      </c>
      <c r="N75" s="45"/>
      <c r="O75" s="45">
        <v>0</v>
      </c>
      <c r="P75" s="45"/>
      <c r="Q75" s="45">
        <f>1271449+755805+187096+1137131</f>
        <v>3351481</v>
      </c>
      <c r="R75" s="45"/>
      <c r="S75" s="45">
        <f t="shared" si="6"/>
        <v>4512371</v>
      </c>
      <c r="T75" s="45"/>
      <c r="U75" s="44">
        <f t="shared" si="7"/>
        <v>0</v>
      </c>
    </row>
    <row r="76" spans="1:21" s="44" customFormat="1" ht="12.75" customHeight="1">
      <c r="A76" s="44" t="s">
        <v>96</v>
      </c>
      <c r="C76" s="44" t="s">
        <v>97</v>
      </c>
      <c r="E76" s="45">
        <v>6149670</v>
      </c>
      <c r="F76" s="45"/>
      <c r="G76" s="45">
        <v>7956750</v>
      </c>
      <c r="H76" s="45"/>
      <c r="I76" s="45">
        <v>1180727</v>
      </c>
      <c r="J76" s="45"/>
      <c r="K76" s="45">
        <v>1505465</v>
      </c>
      <c r="L76" s="45"/>
      <c r="M76" s="45">
        <f>160699+3000+10000</f>
        <v>173699</v>
      </c>
      <c r="N76" s="45"/>
      <c r="O76" s="45">
        <v>0</v>
      </c>
      <c r="P76" s="45"/>
      <c r="Q76" s="45">
        <f>2303907+1320502+2653176+1</f>
        <v>6277586</v>
      </c>
      <c r="R76" s="45"/>
      <c r="S76" s="45">
        <f t="shared" si="6"/>
        <v>6451285</v>
      </c>
      <c r="T76" s="45"/>
      <c r="U76" s="44">
        <f t="shared" si="7"/>
        <v>0</v>
      </c>
    </row>
    <row r="77" spans="1:21" s="44" customFormat="1" ht="12.75" customHeight="1">
      <c r="A77" s="44" t="s">
        <v>98</v>
      </c>
      <c r="C77" s="44" t="s">
        <v>17</v>
      </c>
      <c r="E77" s="45">
        <v>7218536</v>
      </c>
      <c r="F77" s="45"/>
      <c r="G77" s="45">
        <v>23817237</v>
      </c>
      <c r="H77" s="45"/>
      <c r="I77" s="45">
        <v>7621511</v>
      </c>
      <c r="J77" s="45"/>
      <c r="K77" s="45">
        <v>16034769</v>
      </c>
      <c r="L77" s="45"/>
      <c r="M77" s="45">
        <f>2328423+4505399+460731+691077</f>
        <v>7985630</v>
      </c>
      <c r="N77" s="45"/>
      <c r="O77" s="45">
        <v>0</v>
      </c>
      <c r="P77" s="45"/>
      <c r="Q77" s="45">
        <f>151931+4216276-4571369</f>
        <v>-203162</v>
      </c>
      <c r="R77" s="45"/>
      <c r="S77" s="45">
        <f t="shared" si="6"/>
        <v>7782468</v>
      </c>
      <c r="T77" s="45"/>
      <c r="U77" s="44">
        <f t="shared" si="7"/>
        <v>0</v>
      </c>
    </row>
    <row r="78" spans="1:21" s="44" customFormat="1" ht="12.75" customHeight="1">
      <c r="A78" s="44" t="s">
        <v>99</v>
      </c>
      <c r="C78" s="44" t="s">
        <v>66</v>
      </c>
      <c r="E78" s="45">
        <v>11147512</v>
      </c>
      <c r="F78" s="45"/>
      <c r="G78" s="45">
        <v>15459001</v>
      </c>
      <c r="H78" s="45"/>
      <c r="I78" s="45">
        <v>2106551</v>
      </c>
      <c r="J78" s="45"/>
      <c r="K78" s="45">
        <v>3952595</v>
      </c>
      <c r="L78" s="45"/>
      <c r="M78" s="45">
        <f>501764+7244+187345+6069</f>
        <v>702422</v>
      </c>
      <c r="N78" s="45"/>
      <c r="O78" s="45">
        <v>0</v>
      </c>
      <c r="P78" s="45"/>
      <c r="Q78" s="45">
        <f>2905931+2816522+5081531</f>
        <v>10803984</v>
      </c>
      <c r="R78" s="45"/>
      <c r="S78" s="45">
        <f t="shared" si="6"/>
        <v>11506406</v>
      </c>
      <c r="T78" s="45"/>
      <c r="U78" s="44">
        <f t="shared" si="7"/>
        <v>0</v>
      </c>
    </row>
    <row r="79" spans="1:21" s="44" customFormat="1" ht="12.75" customHeight="1">
      <c r="A79" s="44" t="s">
        <v>100</v>
      </c>
      <c r="C79" s="44" t="s">
        <v>27</v>
      </c>
      <c r="E79" s="45">
        <v>8576688</v>
      </c>
      <c r="F79" s="45"/>
      <c r="G79" s="45">
        <v>30911498</v>
      </c>
      <c r="H79" s="45"/>
      <c r="I79" s="45">
        <v>13566229</v>
      </c>
      <c r="J79" s="45"/>
      <c r="K79" s="45">
        <v>17734796</v>
      </c>
      <c r="L79" s="45"/>
      <c r="M79" s="45">
        <f>505024+1323652+20502+39698</f>
        <v>1888876</v>
      </c>
      <c r="N79" s="45"/>
      <c r="O79" s="45">
        <v>0</v>
      </c>
      <c r="P79" s="45"/>
      <c r="Q79" s="45">
        <f>5143251+1281141+2767975+2095459</f>
        <v>11287826</v>
      </c>
      <c r="R79" s="45"/>
      <c r="S79" s="45">
        <f t="shared" si="6"/>
        <v>13176702</v>
      </c>
      <c r="T79" s="45"/>
      <c r="U79" s="44">
        <f t="shared" si="7"/>
        <v>0</v>
      </c>
    </row>
    <row r="80" spans="1:21" s="44" customFormat="1" ht="12.75" customHeight="1">
      <c r="A80" s="44" t="s">
        <v>101</v>
      </c>
      <c r="C80" s="44" t="s">
        <v>30</v>
      </c>
      <c r="E80" s="45">
        <v>12176014</v>
      </c>
      <c r="F80" s="45"/>
      <c r="G80" s="45">
        <v>25169722</v>
      </c>
      <c r="H80" s="45"/>
      <c r="I80" s="45">
        <v>9836754</v>
      </c>
      <c r="J80" s="45"/>
      <c r="K80" s="45">
        <v>16144029</v>
      </c>
      <c r="L80" s="45"/>
      <c r="M80" s="45">
        <f>1298977+937988</f>
        <v>2236965</v>
      </c>
      <c r="N80" s="45"/>
      <c r="O80" s="45">
        <v>0</v>
      </c>
      <c r="P80" s="45"/>
      <c r="Q80" s="45">
        <f>3522534+3274776+325721-334303</f>
        <v>6788728</v>
      </c>
      <c r="R80" s="45"/>
      <c r="S80" s="45">
        <f t="shared" si="6"/>
        <v>9025693</v>
      </c>
      <c r="T80" s="45"/>
      <c r="U80" s="44">
        <f t="shared" si="7"/>
        <v>0</v>
      </c>
    </row>
    <row r="81" spans="1:21" s="44" customFormat="1" ht="12.75" customHeight="1">
      <c r="A81" s="44" t="s">
        <v>102</v>
      </c>
      <c r="C81" s="44" t="s">
        <v>103</v>
      </c>
      <c r="E81" s="45">
        <v>23356029</v>
      </c>
      <c r="F81" s="45"/>
      <c r="G81" s="45">
        <v>35925223</v>
      </c>
      <c r="H81" s="45"/>
      <c r="I81" s="45">
        <v>9714227</v>
      </c>
      <c r="J81" s="45"/>
      <c r="K81" s="45">
        <v>12204020</v>
      </c>
      <c r="L81" s="45"/>
      <c r="M81" s="45">
        <v>2077468</v>
      </c>
      <c r="N81" s="45"/>
      <c r="O81" s="45">
        <v>0</v>
      </c>
      <c r="P81" s="45"/>
      <c r="Q81" s="45">
        <f>10262820+4433536+1453973+5493406</f>
        <v>21643735</v>
      </c>
      <c r="R81" s="45"/>
      <c r="S81" s="45">
        <f t="shared" si="6"/>
        <v>23721203</v>
      </c>
      <c r="T81" s="45"/>
      <c r="U81" s="44">
        <f t="shared" ref="U81:U146" si="8">+G81-K81-S81</f>
        <v>0</v>
      </c>
    </row>
    <row r="82" spans="1:21" s="44" customFormat="1" ht="12.75" customHeight="1">
      <c r="A82" s="44" t="s">
        <v>104</v>
      </c>
      <c r="C82" s="44" t="s">
        <v>13</v>
      </c>
      <c r="E82" s="45">
        <v>1133286</v>
      </c>
      <c r="F82" s="45"/>
      <c r="G82" s="45">
        <v>16884234</v>
      </c>
      <c r="H82" s="45"/>
      <c r="I82" s="45">
        <v>2827778</v>
      </c>
      <c r="J82" s="45"/>
      <c r="K82" s="45">
        <v>5984799</v>
      </c>
      <c r="L82" s="45"/>
      <c r="M82" s="45">
        <f>668943+95057+383764+24175+54344</f>
        <v>1226283</v>
      </c>
      <c r="N82" s="45"/>
      <c r="O82" s="45">
        <v>0</v>
      </c>
      <c r="P82" s="45"/>
      <c r="Q82" s="45">
        <f>6002060+1242099+2428993</f>
        <v>9673152</v>
      </c>
      <c r="R82" s="45"/>
      <c r="S82" s="45">
        <f t="shared" si="6"/>
        <v>10899435</v>
      </c>
      <c r="T82" s="45"/>
      <c r="U82" s="44">
        <f t="shared" si="8"/>
        <v>0</v>
      </c>
    </row>
    <row r="83" spans="1:21" s="44" customFormat="1" ht="12.75" customHeight="1">
      <c r="A83" s="44" t="s">
        <v>105</v>
      </c>
      <c r="C83" s="44" t="s">
        <v>27</v>
      </c>
      <c r="E83" s="45">
        <v>4079922</v>
      </c>
      <c r="F83" s="45"/>
      <c r="G83" s="45">
        <v>13980137</v>
      </c>
      <c r="H83" s="45"/>
      <c r="I83" s="45">
        <v>6947751</v>
      </c>
      <c r="J83" s="45"/>
      <c r="K83" s="45">
        <v>8043602</v>
      </c>
      <c r="L83" s="45"/>
      <c r="M83" s="45">
        <f>26071+250000+433612</f>
        <v>709683</v>
      </c>
      <c r="N83" s="45"/>
      <c r="O83" s="45">
        <v>0</v>
      </c>
      <c r="P83" s="45"/>
      <c r="Q83" s="45">
        <f>1572506+2126018+8+1528320</f>
        <v>5226852</v>
      </c>
      <c r="R83" s="45"/>
      <c r="S83" s="45">
        <f t="shared" si="6"/>
        <v>5936535</v>
      </c>
      <c r="T83" s="45"/>
      <c r="U83" s="44">
        <f t="shared" si="8"/>
        <v>0</v>
      </c>
    </row>
    <row r="84" spans="1:21" s="44" customFormat="1" ht="12.75" customHeight="1">
      <c r="A84" s="44" t="s">
        <v>106</v>
      </c>
      <c r="C84" s="44" t="s">
        <v>107</v>
      </c>
      <c r="E84" s="45">
        <v>1176180</v>
      </c>
      <c r="F84" s="45"/>
      <c r="G84" s="45">
        <v>22480862</v>
      </c>
      <c r="H84" s="45"/>
      <c r="I84" s="45">
        <v>2677861</v>
      </c>
      <c r="J84" s="45"/>
      <c r="K84" s="45">
        <v>8331562</v>
      </c>
      <c r="L84" s="45"/>
      <c r="M84" s="45">
        <f>1986840+86729+360910+713042+78008+1106527+1046951</f>
        <v>5379007</v>
      </c>
      <c r="N84" s="45"/>
      <c r="O84" s="45">
        <v>1000000</v>
      </c>
      <c r="P84" s="45"/>
      <c r="Q84" s="45">
        <f>4143164+2818273+1343+807513</f>
        <v>7770293</v>
      </c>
      <c r="R84" s="45"/>
      <c r="S84" s="45">
        <f t="shared" si="6"/>
        <v>14149300</v>
      </c>
      <c r="T84" s="45"/>
      <c r="U84" s="44">
        <f t="shared" si="8"/>
        <v>0</v>
      </c>
    </row>
    <row r="85" spans="1:21" s="44" customFormat="1" ht="12.75" customHeight="1">
      <c r="A85" s="44" t="s">
        <v>108</v>
      </c>
      <c r="C85" s="44" t="s">
        <v>45</v>
      </c>
      <c r="E85" s="45">
        <v>10490632</v>
      </c>
      <c r="F85" s="45"/>
      <c r="G85" s="45">
        <v>20047247</v>
      </c>
      <c r="H85" s="45"/>
      <c r="I85" s="45">
        <v>7954697</v>
      </c>
      <c r="J85" s="45"/>
      <c r="K85" s="45">
        <v>11462727</v>
      </c>
      <c r="L85" s="45"/>
      <c r="M85" s="45">
        <v>1141006</v>
      </c>
      <c r="N85" s="45"/>
      <c r="O85" s="45">
        <v>0</v>
      </c>
      <c r="P85" s="45"/>
      <c r="Q85" s="45">
        <f>2661119+6405163+41485-1664253</f>
        <v>7443514</v>
      </c>
      <c r="R85" s="45"/>
      <c r="S85" s="45">
        <f t="shared" si="6"/>
        <v>8584520</v>
      </c>
      <c r="T85" s="45"/>
      <c r="U85" s="44">
        <f t="shared" si="8"/>
        <v>0</v>
      </c>
    </row>
    <row r="86" spans="1:21" s="44" customFormat="1" ht="12.75" customHeight="1">
      <c r="A86" s="44" t="s">
        <v>109</v>
      </c>
      <c r="C86" s="44" t="s">
        <v>110</v>
      </c>
      <c r="E86" s="45">
        <f>3046778+34675</f>
        <v>3081453</v>
      </c>
      <c r="F86" s="45"/>
      <c r="G86" s="45">
        <v>8067123</v>
      </c>
      <c r="H86" s="45"/>
      <c r="I86" s="45">
        <v>1332895</v>
      </c>
      <c r="J86" s="45"/>
      <c r="K86" s="45">
        <v>2849881</v>
      </c>
      <c r="L86" s="45"/>
      <c r="M86" s="45">
        <f>575652+108954+1844214+20000+22886</f>
        <v>2571706</v>
      </c>
      <c r="N86" s="45"/>
      <c r="O86" s="45">
        <v>0</v>
      </c>
      <c r="P86" s="45"/>
      <c r="Q86" s="45">
        <f>652211+1549012+440614+3699</f>
        <v>2645536</v>
      </c>
      <c r="R86" s="45"/>
      <c r="S86" s="45">
        <f t="shared" si="6"/>
        <v>5217242</v>
      </c>
      <c r="T86" s="45"/>
      <c r="U86" s="44">
        <f t="shared" si="8"/>
        <v>0</v>
      </c>
    </row>
    <row r="87" spans="1:21" s="44" customFormat="1" ht="12.75" customHeight="1">
      <c r="A87" s="44" t="s">
        <v>43</v>
      </c>
      <c r="C87" s="44" t="s">
        <v>111</v>
      </c>
      <c r="E87" s="45">
        <v>7604867</v>
      </c>
      <c r="F87" s="45"/>
      <c r="G87" s="45">
        <v>14056393</v>
      </c>
      <c r="H87" s="45"/>
      <c r="I87" s="45">
        <v>5135197</v>
      </c>
      <c r="J87" s="45"/>
      <c r="K87" s="45">
        <v>8423512</v>
      </c>
      <c r="L87" s="45"/>
      <c r="M87" s="45">
        <f>36123+1002296</f>
        <v>1038419</v>
      </c>
      <c r="N87" s="45"/>
      <c r="O87" s="45">
        <v>0</v>
      </c>
      <c r="P87" s="45"/>
      <c r="Q87" s="45">
        <f>1369098+2179954+623678+181392+240340</f>
        <v>4594462</v>
      </c>
      <c r="R87" s="45"/>
      <c r="S87" s="45">
        <f t="shared" si="6"/>
        <v>5632881</v>
      </c>
      <c r="T87" s="45"/>
      <c r="U87" s="44">
        <f t="shared" si="8"/>
        <v>0</v>
      </c>
    </row>
    <row r="88" spans="1:21" s="44" customFormat="1" ht="12.75" customHeight="1">
      <c r="A88" s="44" t="s">
        <v>112</v>
      </c>
      <c r="C88" s="44" t="s">
        <v>76</v>
      </c>
      <c r="E88" s="45">
        <v>10498716</v>
      </c>
      <c r="F88" s="45"/>
      <c r="G88" s="45">
        <v>16432805</v>
      </c>
      <c r="H88" s="45"/>
      <c r="I88" s="45">
        <v>2675253</v>
      </c>
      <c r="J88" s="45"/>
      <c r="K88" s="45">
        <v>4228324</v>
      </c>
      <c r="L88" s="45"/>
      <c r="M88" s="45">
        <f>872463+56870+351929+306077+9715</f>
        <v>1597054</v>
      </c>
      <c r="N88" s="45"/>
      <c r="O88" s="45">
        <v>234824</v>
      </c>
      <c r="P88" s="45"/>
      <c r="Q88" s="45">
        <f>2163683+6790905+1418015</f>
        <v>10372603</v>
      </c>
      <c r="R88" s="45"/>
      <c r="S88" s="45">
        <f t="shared" si="6"/>
        <v>12204481</v>
      </c>
      <c r="T88" s="45"/>
      <c r="U88" s="44">
        <f t="shared" si="8"/>
        <v>0</v>
      </c>
    </row>
    <row r="89" spans="1:21" s="44" customFormat="1" ht="12.75" customHeight="1">
      <c r="A89" s="44" t="s">
        <v>113</v>
      </c>
      <c r="C89" s="44" t="s">
        <v>43</v>
      </c>
      <c r="E89" s="45">
        <v>31064533</v>
      </c>
      <c r="F89" s="45"/>
      <c r="G89" s="45">
        <v>44466117</v>
      </c>
      <c r="H89" s="45"/>
      <c r="I89" s="45">
        <v>8425644</v>
      </c>
      <c r="J89" s="45"/>
      <c r="K89" s="45">
        <v>12612352</v>
      </c>
      <c r="L89" s="45"/>
      <c r="M89" s="45">
        <f>8196171+1153640</f>
        <v>9349811</v>
      </c>
      <c r="N89" s="45"/>
      <c r="O89" s="45">
        <v>1772514</v>
      </c>
      <c r="P89" s="45"/>
      <c r="Q89" s="45">
        <f>11055660+5419456+4256324</f>
        <v>20731440</v>
      </c>
      <c r="R89" s="45"/>
      <c r="S89" s="45">
        <f t="shared" si="6"/>
        <v>31853765</v>
      </c>
      <c r="T89" s="45"/>
      <c r="U89" s="44">
        <f t="shared" si="8"/>
        <v>0</v>
      </c>
    </row>
    <row r="90" spans="1:21" s="44" customFormat="1" ht="12.75" customHeight="1">
      <c r="A90" s="44" t="s">
        <v>490</v>
      </c>
      <c r="C90" s="44" t="s">
        <v>57</v>
      </c>
      <c r="E90" s="45">
        <v>4134199</v>
      </c>
      <c r="F90" s="45"/>
      <c r="G90" s="45">
        <v>9029979</v>
      </c>
      <c r="H90" s="45"/>
      <c r="I90" s="45">
        <v>1944976</v>
      </c>
      <c r="J90" s="45"/>
      <c r="K90" s="45">
        <v>4640872</v>
      </c>
      <c r="L90" s="45"/>
      <c r="M90" s="45">
        <f>4131+81865+580401+458194</f>
        <v>1124591</v>
      </c>
      <c r="N90" s="45"/>
      <c r="O90" s="45">
        <v>0</v>
      </c>
      <c r="P90" s="45"/>
      <c r="Q90" s="45">
        <f>4239662-575776-3075-396295</f>
        <v>3264516</v>
      </c>
      <c r="R90" s="45"/>
      <c r="S90" s="45">
        <f t="shared" si="6"/>
        <v>4389107</v>
      </c>
      <c r="T90" s="45"/>
      <c r="U90" s="44">
        <f>+G90-K90-S90</f>
        <v>0</v>
      </c>
    </row>
    <row r="91" spans="1:21" s="44" customFormat="1" ht="12.75" customHeight="1">
      <c r="A91" s="44" t="s">
        <v>114</v>
      </c>
      <c r="C91" s="44" t="s">
        <v>27</v>
      </c>
      <c r="E91" s="45">
        <v>491088</v>
      </c>
      <c r="F91" s="45"/>
      <c r="G91" s="45">
        <v>20860223</v>
      </c>
      <c r="H91" s="45"/>
      <c r="I91" s="45">
        <v>18049025</v>
      </c>
      <c r="J91" s="45"/>
      <c r="K91" s="45">
        <v>25924292</v>
      </c>
      <c r="L91" s="45"/>
      <c r="M91" s="45">
        <v>35666</v>
      </c>
      <c r="N91" s="45"/>
      <c r="O91" s="45">
        <v>0</v>
      </c>
      <c r="P91" s="45"/>
      <c r="Q91" s="45">
        <v>-5099735</v>
      </c>
      <c r="R91" s="45"/>
      <c r="S91" s="45">
        <f t="shared" si="6"/>
        <v>-5064069</v>
      </c>
      <c r="T91" s="45"/>
      <c r="U91" s="44">
        <f>+G91-K91-S91</f>
        <v>0</v>
      </c>
    </row>
    <row r="92" spans="1:21" s="44" customFormat="1" ht="12.75" customHeight="1">
      <c r="A92" s="44" t="s">
        <v>115</v>
      </c>
      <c r="C92" s="44" t="s">
        <v>19</v>
      </c>
      <c r="E92" s="45">
        <v>2872269</v>
      </c>
      <c r="F92" s="45"/>
      <c r="G92" s="45">
        <v>5664116</v>
      </c>
      <c r="H92" s="45"/>
      <c r="I92" s="45">
        <v>2040906</v>
      </c>
      <c r="J92" s="45"/>
      <c r="K92" s="45">
        <v>2563557</v>
      </c>
      <c r="L92" s="45"/>
      <c r="M92" s="45">
        <f>14042+13843+29250+83821</f>
        <v>140956</v>
      </c>
      <c r="N92" s="45"/>
      <c r="O92" s="45">
        <v>0</v>
      </c>
      <c r="P92" s="45"/>
      <c r="Q92" s="45">
        <f>1592293+6404+788399+572507</f>
        <v>2959603</v>
      </c>
      <c r="R92" s="45"/>
      <c r="S92" s="45">
        <f t="shared" si="6"/>
        <v>3100559</v>
      </c>
      <c r="T92" s="45"/>
      <c r="U92" s="44">
        <f t="shared" si="8"/>
        <v>0</v>
      </c>
    </row>
    <row r="93" spans="1:21" s="44" customFormat="1" ht="12.75" customHeight="1">
      <c r="A93" s="44" t="s">
        <v>116</v>
      </c>
      <c r="C93" s="44" t="s">
        <v>80</v>
      </c>
      <c r="E93" s="45">
        <v>1120246</v>
      </c>
      <c r="F93" s="45"/>
      <c r="G93" s="45">
        <v>4651054</v>
      </c>
      <c r="H93" s="45"/>
      <c r="I93" s="45">
        <v>3167041</v>
      </c>
      <c r="J93" s="45"/>
      <c r="K93" s="45">
        <v>7928295</v>
      </c>
      <c r="L93" s="45"/>
      <c r="M93" s="45">
        <f>1895+23582</f>
        <v>25477</v>
      </c>
      <c r="N93" s="45"/>
      <c r="O93" s="45">
        <v>0</v>
      </c>
      <c r="P93" s="45"/>
      <c r="Q93" s="45">
        <f>57853+574676-4208053+272806</f>
        <v>-3302718</v>
      </c>
      <c r="R93" s="45"/>
      <c r="S93" s="45">
        <f t="shared" si="6"/>
        <v>-3277241</v>
      </c>
      <c r="T93" s="45"/>
      <c r="U93" s="44">
        <f t="shared" si="8"/>
        <v>0</v>
      </c>
    </row>
    <row r="94" spans="1:21" s="44" customFormat="1" ht="12.75" customHeight="1">
      <c r="A94" s="44" t="s">
        <v>117</v>
      </c>
      <c r="C94" s="44" t="s">
        <v>43</v>
      </c>
      <c r="E94" s="45">
        <v>4705983</v>
      </c>
      <c r="F94" s="45"/>
      <c r="G94" s="45">
        <v>8151608</v>
      </c>
      <c r="H94" s="45"/>
      <c r="I94" s="45">
        <v>1516282</v>
      </c>
      <c r="J94" s="45"/>
      <c r="K94" s="45">
        <v>3124209</v>
      </c>
      <c r="L94" s="45"/>
      <c r="M94" s="45">
        <f>176195+42877+37222</f>
        <v>256294</v>
      </c>
      <c r="N94" s="45"/>
      <c r="O94" s="45">
        <v>0</v>
      </c>
      <c r="P94" s="45"/>
      <c r="Q94" s="45">
        <f>3773045+678258+1+319801</f>
        <v>4771105</v>
      </c>
      <c r="R94" s="45"/>
      <c r="S94" s="45">
        <f t="shared" si="6"/>
        <v>5027399</v>
      </c>
      <c r="T94" s="45"/>
      <c r="U94" s="44">
        <f t="shared" si="8"/>
        <v>0</v>
      </c>
    </row>
    <row r="95" spans="1:21" s="44" customFormat="1" ht="12.75" customHeight="1">
      <c r="A95" s="44" t="s">
        <v>118</v>
      </c>
      <c r="C95" s="44" t="s">
        <v>13</v>
      </c>
      <c r="E95" s="45">
        <v>36474976</v>
      </c>
      <c r="F95" s="45"/>
      <c r="G95" s="45">
        <v>66238017</v>
      </c>
      <c r="H95" s="45"/>
      <c r="I95" s="45">
        <v>10664455</v>
      </c>
      <c r="J95" s="45"/>
      <c r="K95" s="45">
        <v>37040498</v>
      </c>
      <c r="L95" s="45"/>
      <c r="M95" s="45">
        <f>6295325+8268804</f>
        <v>14564129</v>
      </c>
      <c r="N95" s="45"/>
      <c r="O95" s="45">
        <v>0</v>
      </c>
      <c r="P95" s="45"/>
      <c r="Q95" s="45">
        <f>23951240+10883905+237914-20439669</f>
        <v>14633390</v>
      </c>
      <c r="R95" s="45"/>
      <c r="S95" s="45">
        <f t="shared" si="6"/>
        <v>29197519</v>
      </c>
      <c r="T95" s="45"/>
      <c r="U95" s="44">
        <f t="shared" si="8"/>
        <v>0</v>
      </c>
    </row>
    <row r="96" spans="1:21" s="44" customFormat="1" ht="12.75" customHeight="1">
      <c r="A96" s="44" t="s">
        <v>120</v>
      </c>
      <c r="C96" s="44" t="s">
        <v>121</v>
      </c>
      <c r="E96" s="45">
        <f>4743481+24191</f>
        <v>4767672</v>
      </c>
      <c r="F96" s="45"/>
      <c r="G96" s="45">
        <v>8632285</v>
      </c>
      <c r="H96" s="45"/>
      <c r="I96" s="45">
        <v>1144595</v>
      </c>
      <c r="J96" s="45"/>
      <c r="K96" s="45">
        <v>3293388</v>
      </c>
      <c r="L96" s="45"/>
      <c r="M96" s="45">
        <f>253062+130530+88347+435986</f>
        <v>907925</v>
      </c>
      <c r="N96" s="45"/>
      <c r="O96" s="45">
        <v>0</v>
      </c>
      <c r="P96" s="45"/>
      <c r="Q96" s="45">
        <f>2946807+1176910+307255</f>
        <v>4430972</v>
      </c>
      <c r="R96" s="45"/>
      <c r="S96" s="45">
        <f t="shared" si="6"/>
        <v>5338897</v>
      </c>
      <c r="T96" s="45"/>
      <c r="U96" s="44">
        <f t="shared" si="8"/>
        <v>0</v>
      </c>
    </row>
    <row r="97" spans="1:21" s="44" customFormat="1" ht="12.75" customHeight="1">
      <c r="A97" s="44" t="s">
        <v>122</v>
      </c>
      <c r="C97" s="44" t="s">
        <v>43</v>
      </c>
      <c r="E97" s="45">
        <f>35265681+643693+1240571</f>
        <v>37149945</v>
      </c>
      <c r="F97" s="45"/>
      <c r="G97" s="45">
        <v>50260664</v>
      </c>
      <c r="H97" s="45"/>
      <c r="I97" s="45">
        <v>11015210</v>
      </c>
      <c r="J97" s="45"/>
      <c r="K97" s="45">
        <v>13361186</v>
      </c>
      <c r="L97" s="45"/>
      <c r="M97" s="45">
        <f>8600782+1240571</f>
        <v>9841353</v>
      </c>
      <c r="N97" s="45"/>
      <c r="O97" s="45">
        <v>0</v>
      </c>
      <c r="P97" s="45"/>
      <c r="Q97" s="45">
        <f>16353807+5341385+4761158+601775</f>
        <v>27058125</v>
      </c>
      <c r="R97" s="45"/>
      <c r="S97" s="45">
        <f t="shared" si="6"/>
        <v>36899478</v>
      </c>
      <c r="T97" s="45"/>
      <c r="U97" s="44">
        <f t="shared" si="8"/>
        <v>0</v>
      </c>
    </row>
    <row r="98" spans="1:21" s="44" customFormat="1" ht="12.75" customHeight="1">
      <c r="A98" s="44" t="s">
        <v>45</v>
      </c>
      <c r="C98" s="44" t="s">
        <v>103</v>
      </c>
      <c r="E98" s="45">
        <v>19180078</v>
      </c>
      <c r="F98" s="45"/>
      <c r="G98" s="45">
        <v>37014557</v>
      </c>
      <c r="H98" s="45"/>
      <c r="I98" s="45">
        <v>12592620</v>
      </c>
      <c r="J98" s="45"/>
      <c r="K98" s="45">
        <v>18442181</v>
      </c>
      <c r="L98" s="45"/>
      <c r="M98" s="45">
        <f>1258007+190092+48133+76427</f>
        <v>1572659</v>
      </c>
      <c r="N98" s="45"/>
      <c r="O98" s="45">
        <v>0</v>
      </c>
      <c r="P98" s="45"/>
      <c r="Q98" s="45">
        <f>2234918+9652045+519843+4592911</f>
        <v>16999717</v>
      </c>
      <c r="R98" s="45"/>
      <c r="S98" s="45">
        <f t="shared" si="6"/>
        <v>18572376</v>
      </c>
      <c r="T98" s="45"/>
      <c r="U98" s="44">
        <f t="shared" si="8"/>
        <v>0</v>
      </c>
    </row>
    <row r="99" spans="1:21" s="44" customFormat="1" ht="12.75" customHeight="1">
      <c r="A99" s="44" t="s">
        <v>123</v>
      </c>
      <c r="C99" s="44" t="s">
        <v>45</v>
      </c>
      <c r="E99" s="45">
        <f>3860727+9378</f>
        <v>3870105</v>
      </c>
      <c r="F99" s="45"/>
      <c r="G99" s="45">
        <v>8056625</v>
      </c>
      <c r="H99" s="45"/>
      <c r="I99" s="45">
        <v>719225</v>
      </c>
      <c r="J99" s="45"/>
      <c r="K99" s="45">
        <v>4086927</v>
      </c>
      <c r="L99" s="45"/>
      <c r="M99" s="45">
        <f>386518+24611+68031+57347</f>
        <v>536507</v>
      </c>
      <c r="N99" s="45"/>
      <c r="O99" s="45">
        <v>0</v>
      </c>
      <c r="P99" s="45"/>
      <c r="Q99" s="45">
        <f>1372342+1047477+394074+619298</f>
        <v>3433191</v>
      </c>
      <c r="R99" s="45"/>
      <c r="S99" s="45">
        <f t="shared" si="6"/>
        <v>3969698</v>
      </c>
      <c r="T99" s="45"/>
      <c r="U99" s="44">
        <f t="shared" si="8"/>
        <v>0</v>
      </c>
    </row>
    <row r="100" spans="1:21" s="44" customFormat="1" ht="12.75" customHeight="1">
      <c r="A100" s="44" t="s">
        <v>124</v>
      </c>
      <c r="C100" s="44" t="s">
        <v>125</v>
      </c>
      <c r="E100" s="45">
        <f>4730079+2972296</f>
        <v>7702375</v>
      </c>
      <c r="F100" s="45"/>
      <c r="G100" s="45">
        <v>10534926</v>
      </c>
      <c r="H100" s="45"/>
      <c r="I100" s="45">
        <v>1802065</v>
      </c>
      <c r="J100" s="45"/>
      <c r="K100" s="45">
        <v>2386586</v>
      </c>
      <c r="L100" s="45"/>
      <c r="M100" s="45">
        <f>290504+77874+109672+165163</f>
        <v>643213</v>
      </c>
      <c r="N100" s="45"/>
      <c r="O100" s="45">
        <v>1135473</v>
      </c>
      <c r="P100" s="45"/>
      <c r="Q100" s="45">
        <f>2408783+807272+3070331+83268</f>
        <v>6369654</v>
      </c>
      <c r="R100" s="45"/>
      <c r="S100" s="45">
        <f t="shared" si="6"/>
        <v>8148340</v>
      </c>
      <c r="T100" s="45"/>
      <c r="U100" s="44">
        <f t="shared" si="8"/>
        <v>0</v>
      </c>
    </row>
    <row r="101" spans="1:21" s="44" customFormat="1" ht="12.75" customHeight="1">
      <c r="A101" s="44" t="s">
        <v>126</v>
      </c>
      <c r="C101" s="44" t="s">
        <v>27</v>
      </c>
      <c r="E101" s="45">
        <v>6821868</v>
      </c>
      <c r="F101" s="45"/>
      <c r="G101" s="45">
        <v>17935173</v>
      </c>
      <c r="H101" s="45"/>
      <c r="I101" s="45">
        <v>8906158</v>
      </c>
      <c r="J101" s="45"/>
      <c r="K101" s="45">
        <v>9780780</v>
      </c>
      <c r="L101" s="45"/>
      <c r="M101" s="45">
        <f>100359+113873+101408</f>
        <v>315640</v>
      </c>
      <c r="N101" s="45"/>
      <c r="O101" s="45">
        <v>0</v>
      </c>
      <c r="P101" s="45"/>
      <c r="Q101" s="45">
        <f>5594796+658127+968158+617672</f>
        <v>7838753</v>
      </c>
      <c r="R101" s="45"/>
      <c r="S101" s="45">
        <f t="shared" si="6"/>
        <v>8154393</v>
      </c>
      <c r="T101" s="45"/>
      <c r="U101" s="44">
        <f t="shared" si="8"/>
        <v>0</v>
      </c>
    </row>
    <row r="102" spans="1:21" s="44" customFormat="1" ht="12.75" customHeight="1">
      <c r="A102" s="44" t="s">
        <v>127</v>
      </c>
      <c r="C102" s="44" t="s">
        <v>43</v>
      </c>
      <c r="E102" s="45">
        <f>14494568+283069</f>
        <v>14777637</v>
      </c>
      <c r="F102" s="45"/>
      <c r="G102" s="45">
        <v>24942128</v>
      </c>
      <c r="H102" s="45"/>
      <c r="I102" s="45">
        <v>7187798</v>
      </c>
      <c r="J102" s="45"/>
      <c r="K102" s="45">
        <v>9106604</v>
      </c>
      <c r="L102" s="45"/>
      <c r="M102" s="45">
        <v>3384668</v>
      </c>
      <c r="N102" s="45"/>
      <c r="O102" s="45">
        <v>0</v>
      </c>
      <c r="P102" s="45"/>
      <c r="Q102" s="45">
        <f>3073796+6240285-13717+3150492</f>
        <v>12450856</v>
      </c>
      <c r="R102" s="45"/>
      <c r="S102" s="45">
        <f t="shared" si="6"/>
        <v>15835524</v>
      </c>
      <c r="T102" s="45"/>
      <c r="U102" s="44">
        <f t="shared" si="8"/>
        <v>0</v>
      </c>
    </row>
    <row r="103" spans="1:21" s="44" customFormat="1" ht="12.75" customHeight="1">
      <c r="A103" s="44" t="s">
        <v>128</v>
      </c>
      <c r="C103" s="44" t="s">
        <v>119</v>
      </c>
      <c r="E103" s="45">
        <f>2528478+6427</f>
        <v>2534905</v>
      </c>
      <c r="F103" s="45"/>
      <c r="G103" s="45">
        <v>5651202</v>
      </c>
      <c r="H103" s="45"/>
      <c r="I103" s="45">
        <v>1443685</v>
      </c>
      <c r="J103" s="45"/>
      <c r="K103" s="45">
        <v>2290291</v>
      </c>
      <c r="L103" s="45"/>
      <c r="M103" s="45">
        <f>638251+194305</f>
        <v>832556</v>
      </c>
      <c r="N103" s="45"/>
      <c r="O103" s="45">
        <v>0</v>
      </c>
      <c r="P103" s="45"/>
      <c r="Q103" s="45">
        <f>1491053+637437+337356+62509</f>
        <v>2528355</v>
      </c>
      <c r="R103" s="45"/>
      <c r="S103" s="45">
        <f t="shared" si="6"/>
        <v>3360911</v>
      </c>
      <c r="T103" s="45"/>
      <c r="U103" s="44">
        <f t="shared" si="8"/>
        <v>0</v>
      </c>
    </row>
    <row r="104" spans="1:21" s="44" customFormat="1" ht="12.75" customHeight="1">
      <c r="A104" s="44" t="s">
        <v>129</v>
      </c>
      <c r="C104" s="44" t="s">
        <v>80</v>
      </c>
      <c r="E104" s="45">
        <f>567078+500</f>
        <v>567578</v>
      </c>
      <c r="F104" s="45"/>
      <c r="G104" s="45">
        <v>1811347</v>
      </c>
      <c r="H104" s="45"/>
      <c r="I104" s="45">
        <v>408623</v>
      </c>
      <c r="J104" s="45"/>
      <c r="K104" s="45">
        <v>927630</v>
      </c>
      <c r="L104" s="45"/>
      <c r="M104" s="45">
        <f>7789+28367+2309+840</f>
        <v>39305</v>
      </c>
      <c r="N104" s="45"/>
      <c r="O104" s="45">
        <f>457545+173125+212867+875</f>
        <v>844412</v>
      </c>
      <c r="P104" s="45"/>
      <c r="Q104" s="45">
        <v>0</v>
      </c>
      <c r="R104" s="45"/>
      <c r="S104" s="45">
        <f t="shared" si="6"/>
        <v>883717</v>
      </c>
      <c r="T104" s="45"/>
      <c r="U104" s="44">
        <f t="shared" si="8"/>
        <v>0</v>
      </c>
    </row>
    <row r="105" spans="1:21" s="44" customFormat="1" ht="12.75" customHeight="1">
      <c r="A105" s="44" t="s">
        <v>130</v>
      </c>
      <c r="C105" s="44" t="s">
        <v>66</v>
      </c>
      <c r="E105" s="45">
        <v>25962115</v>
      </c>
      <c r="F105" s="45"/>
      <c r="G105" s="45">
        <v>55358866</v>
      </c>
      <c r="H105" s="45"/>
      <c r="I105" s="45">
        <v>25540095</v>
      </c>
      <c r="J105" s="45"/>
      <c r="K105" s="45">
        <v>31219888</v>
      </c>
      <c r="L105" s="45"/>
      <c r="M105" s="45">
        <f>1339142+407598+206119+8214</f>
        <v>1961073</v>
      </c>
      <c r="N105" s="45"/>
      <c r="O105" s="45">
        <v>0</v>
      </c>
      <c r="P105" s="45"/>
      <c r="Q105" s="45">
        <f>8491763+10203968+1176998+2305176</f>
        <v>22177905</v>
      </c>
      <c r="R105" s="45"/>
      <c r="S105" s="45">
        <f t="shared" si="6"/>
        <v>24138978</v>
      </c>
      <c r="T105" s="45"/>
      <c r="U105" s="44">
        <f t="shared" si="8"/>
        <v>0</v>
      </c>
    </row>
    <row r="106" spans="1:21" s="44" customFormat="1" ht="12.75" customHeight="1">
      <c r="A106" s="44" t="s">
        <v>131</v>
      </c>
      <c r="C106" s="44" t="s">
        <v>13</v>
      </c>
      <c r="E106" s="45">
        <f>24955282+15503+2987</f>
        <v>24973772</v>
      </c>
      <c r="F106" s="45"/>
      <c r="G106" s="45">
        <v>39301817</v>
      </c>
      <c r="H106" s="45"/>
      <c r="I106" s="45">
        <v>9808811</v>
      </c>
      <c r="J106" s="45"/>
      <c r="K106" s="45">
        <v>24700805</v>
      </c>
      <c r="L106" s="45"/>
      <c r="M106" s="45">
        <f>2019157+100000+6473+142551+15503+712574</f>
        <v>2996258</v>
      </c>
      <c r="N106" s="45"/>
      <c r="O106" s="45">
        <v>0</v>
      </c>
      <c r="P106" s="45"/>
      <c r="Q106" s="45">
        <f>12453239+6169180-7050964+33299</f>
        <v>11604754</v>
      </c>
      <c r="R106" s="45"/>
      <c r="S106" s="45">
        <f t="shared" si="6"/>
        <v>14601012</v>
      </c>
      <c r="T106" s="45"/>
      <c r="U106" s="44">
        <f t="shared" si="8"/>
        <v>0</v>
      </c>
    </row>
    <row r="107" spans="1:21" s="44" customFormat="1" ht="12.75" customHeight="1"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8" t="s">
        <v>484</v>
      </c>
      <c r="T107" s="45"/>
    </row>
    <row r="108" spans="1:21" s="44" customFormat="1" ht="12.75" customHeight="1">
      <c r="A108" s="44" t="s">
        <v>38</v>
      </c>
      <c r="C108" s="44" t="s">
        <v>132</v>
      </c>
      <c r="E108" s="94">
        <v>2169121</v>
      </c>
      <c r="F108" s="94"/>
      <c r="G108" s="94">
        <v>4766479</v>
      </c>
      <c r="H108" s="94"/>
      <c r="I108" s="94">
        <v>1578215</v>
      </c>
      <c r="J108" s="94"/>
      <c r="K108" s="94">
        <v>2247315</v>
      </c>
      <c r="L108" s="94"/>
      <c r="M108" s="94">
        <f>3527371+180870+286087</f>
        <v>3994328</v>
      </c>
      <c r="N108" s="94"/>
      <c r="O108" s="94">
        <v>47821</v>
      </c>
      <c r="P108" s="94"/>
      <c r="Q108" s="94">
        <f>723358+427070+31492-2704905</f>
        <v>-1522985</v>
      </c>
      <c r="R108" s="94"/>
      <c r="S108" s="94">
        <f t="shared" si="6"/>
        <v>2519164</v>
      </c>
      <c r="T108" s="45"/>
      <c r="U108" s="44">
        <f t="shared" si="8"/>
        <v>0</v>
      </c>
    </row>
    <row r="109" spans="1:21" s="44" customFormat="1" ht="12.75" customHeight="1">
      <c r="A109" s="44" t="s">
        <v>133</v>
      </c>
      <c r="C109" s="44" t="s">
        <v>27</v>
      </c>
      <c r="E109" s="45">
        <f>8394993+15991</f>
        <v>8410984</v>
      </c>
      <c r="F109" s="45"/>
      <c r="G109" s="45">
        <v>27305894</v>
      </c>
      <c r="H109" s="45"/>
      <c r="I109" s="45">
        <v>6751599</v>
      </c>
      <c r="J109" s="45"/>
      <c r="K109" s="45">
        <v>17295428</v>
      </c>
      <c r="L109" s="45"/>
      <c r="M109" s="45">
        <f>3281979+7991500</f>
        <v>11273479</v>
      </c>
      <c r="N109" s="45"/>
      <c r="O109" s="45">
        <v>0</v>
      </c>
      <c r="P109" s="45"/>
      <c r="Q109" s="45">
        <f>5897705+879641-7647339-393020</f>
        <v>-1263013</v>
      </c>
      <c r="R109" s="45"/>
      <c r="S109" s="45">
        <f t="shared" si="6"/>
        <v>10010466</v>
      </c>
      <c r="T109" s="45"/>
      <c r="U109" s="44">
        <f>+G109-K109-S109</f>
        <v>0</v>
      </c>
    </row>
    <row r="110" spans="1:21" s="44" customFormat="1" ht="12.75" hidden="1" customHeight="1">
      <c r="A110" s="44" t="s">
        <v>482</v>
      </c>
      <c r="C110" s="44" t="s">
        <v>45</v>
      </c>
      <c r="E110" s="45">
        <v>0</v>
      </c>
      <c r="F110" s="45"/>
      <c r="G110" s="45">
        <v>0</v>
      </c>
      <c r="H110" s="45"/>
      <c r="I110" s="45">
        <v>0</v>
      </c>
      <c r="J110" s="45"/>
      <c r="K110" s="45">
        <v>0</v>
      </c>
      <c r="L110" s="45"/>
      <c r="M110" s="45">
        <v>0</v>
      </c>
      <c r="N110" s="45"/>
      <c r="O110" s="45">
        <v>0</v>
      </c>
      <c r="P110" s="45"/>
      <c r="Q110" s="45">
        <v>0</v>
      </c>
      <c r="R110" s="45"/>
      <c r="S110" s="45">
        <f t="shared" si="6"/>
        <v>0</v>
      </c>
      <c r="T110" s="45"/>
      <c r="U110" s="44">
        <f t="shared" si="8"/>
        <v>0</v>
      </c>
    </row>
    <row r="111" spans="1:21" s="44" customFormat="1" ht="12.75" customHeight="1">
      <c r="A111" s="44" t="s">
        <v>136</v>
      </c>
      <c r="C111" s="44" t="s">
        <v>136</v>
      </c>
      <c r="E111" s="45">
        <v>3545988</v>
      </c>
      <c r="F111" s="45"/>
      <c r="G111" s="45">
        <v>6181033</v>
      </c>
      <c r="H111" s="45"/>
      <c r="I111" s="45">
        <v>1395172</v>
      </c>
      <c r="J111" s="45"/>
      <c r="K111" s="45">
        <v>1611899</v>
      </c>
      <c r="L111" s="45"/>
      <c r="M111" s="45">
        <f>57216+438207+3354</f>
        <v>498777</v>
      </c>
      <c r="N111" s="45"/>
      <c r="O111" s="45">
        <v>0</v>
      </c>
      <c r="P111" s="45"/>
      <c r="Q111" s="45">
        <f>1495477+2562914+11081+885</f>
        <v>4070357</v>
      </c>
      <c r="R111" s="45"/>
      <c r="S111" s="45">
        <f t="shared" si="6"/>
        <v>4569134</v>
      </c>
      <c r="T111" s="45"/>
      <c r="U111" s="44">
        <f t="shared" si="8"/>
        <v>0</v>
      </c>
    </row>
    <row r="112" spans="1:21" s="44" customFormat="1" ht="12.75" customHeight="1">
      <c r="A112" s="44" t="s">
        <v>137</v>
      </c>
      <c r="C112" s="44" t="s">
        <v>22</v>
      </c>
      <c r="E112" s="45">
        <v>19017092</v>
      </c>
      <c r="F112" s="45"/>
      <c r="G112" s="45">
        <v>31520226</v>
      </c>
      <c r="H112" s="45"/>
      <c r="I112" s="45">
        <v>5616351</v>
      </c>
      <c r="J112" s="45"/>
      <c r="K112" s="45">
        <v>10362036</v>
      </c>
      <c r="L112" s="45"/>
      <c r="M112" s="45">
        <f>1950611+424648+192399+65417+18424+1200717</f>
        <v>3852216</v>
      </c>
      <c r="N112" s="45"/>
      <c r="O112" s="45">
        <v>2162966</v>
      </c>
      <c r="P112" s="45"/>
      <c r="Q112" s="45">
        <f>7792430+8062407-711829</f>
        <v>15143008</v>
      </c>
      <c r="R112" s="45"/>
      <c r="S112" s="45">
        <f t="shared" si="6"/>
        <v>21158190</v>
      </c>
      <c r="T112" s="45"/>
      <c r="U112" s="44">
        <f t="shared" si="8"/>
        <v>0</v>
      </c>
    </row>
    <row r="113" spans="1:22" s="121" customFormat="1" ht="12.75" hidden="1" customHeight="1">
      <c r="A113" s="121" t="s">
        <v>138</v>
      </c>
      <c r="C113" s="121" t="s">
        <v>139</v>
      </c>
      <c r="E113" s="45">
        <v>0</v>
      </c>
      <c r="F113" s="45"/>
      <c r="G113" s="45">
        <v>0</v>
      </c>
      <c r="H113" s="45"/>
      <c r="I113" s="45">
        <v>0</v>
      </c>
      <c r="J113" s="45"/>
      <c r="K113" s="45">
        <v>0</v>
      </c>
      <c r="L113" s="45"/>
      <c r="M113" s="45">
        <v>0</v>
      </c>
      <c r="N113" s="45"/>
      <c r="O113" s="45">
        <v>0</v>
      </c>
      <c r="P113" s="45"/>
      <c r="Q113" s="45">
        <v>0</v>
      </c>
      <c r="R113" s="45"/>
      <c r="S113" s="45">
        <f t="shared" si="6"/>
        <v>0</v>
      </c>
      <c r="T113" s="127"/>
      <c r="U113" s="121">
        <f t="shared" si="8"/>
        <v>0</v>
      </c>
    </row>
    <row r="114" spans="1:22" s="44" customFormat="1" ht="12.75" customHeight="1">
      <c r="A114" s="44" t="s">
        <v>140</v>
      </c>
      <c r="C114" s="44" t="s">
        <v>66</v>
      </c>
      <c r="E114" s="45">
        <v>68077965</v>
      </c>
      <c r="F114" s="45"/>
      <c r="G114" s="45">
        <v>90551514</v>
      </c>
      <c r="H114" s="45"/>
      <c r="I114" s="45">
        <v>16859315</v>
      </c>
      <c r="J114" s="45"/>
      <c r="K114" s="45">
        <v>20685285</v>
      </c>
      <c r="L114" s="45"/>
      <c r="M114" s="45">
        <f>69866229-38920340-237019</f>
        <v>30708870</v>
      </c>
      <c r="N114" s="45"/>
      <c r="O114" s="45">
        <v>237019</v>
      </c>
      <c r="P114" s="45"/>
      <c r="Q114" s="45">
        <v>38920340</v>
      </c>
      <c r="R114" s="45"/>
      <c r="S114" s="45">
        <f t="shared" si="6"/>
        <v>69866229</v>
      </c>
      <c r="T114" s="45"/>
      <c r="U114" s="44">
        <f t="shared" si="8"/>
        <v>0</v>
      </c>
    </row>
    <row r="115" spans="1:22" s="44" customFormat="1" ht="12.75" customHeight="1">
      <c r="A115" s="44" t="s">
        <v>478</v>
      </c>
      <c r="C115" s="44" t="s">
        <v>92</v>
      </c>
      <c r="E115" s="45">
        <v>1816703</v>
      </c>
      <c r="F115" s="45"/>
      <c r="G115" s="45">
        <v>4947308</v>
      </c>
      <c r="H115" s="45"/>
      <c r="I115" s="45">
        <v>2542751</v>
      </c>
      <c r="J115" s="45"/>
      <c r="K115" s="45">
        <v>4617770</v>
      </c>
      <c r="L115" s="45"/>
      <c r="M115" s="45">
        <v>40439</v>
      </c>
      <c r="N115" s="45"/>
      <c r="O115" s="45">
        <v>0</v>
      </c>
      <c r="P115" s="45"/>
      <c r="Q115" s="45">
        <f>360567+309932-381400</f>
        <v>289099</v>
      </c>
      <c r="R115" s="45"/>
      <c r="S115" s="45">
        <f t="shared" si="6"/>
        <v>329538</v>
      </c>
      <c r="T115" s="45"/>
      <c r="U115" s="44">
        <f t="shared" si="8"/>
        <v>0</v>
      </c>
    </row>
    <row r="116" spans="1:22" s="44" customFormat="1" ht="12.75" customHeight="1">
      <c r="A116" s="44" t="s">
        <v>141</v>
      </c>
      <c r="C116" s="44" t="s">
        <v>27</v>
      </c>
      <c r="E116" s="45">
        <f>8605044+360216+57881</f>
        <v>9023141</v>
      </c>
      <c r="F116" s="45"/>
      <c r="G116" s="45">
        <v>37670132</v>
      </c>
      <c r="H116" s="45"/>
      <c r="I116" s="45">
        <v>20972719</v>
      </c>
      <c r="J116" s="45"/>
      <c r="K116" s="45">
        <v>24868846</v>
      </c>
      <c r="L116" s="45"/>
      <c r="M116" s="45">
        <f>1404819+2046687</f>
        <v>3451506</v>
      </c>
      <c r="N116" s="45"/>
      <c r="O116" s="45">
        <v>0</v>
      </c>
      <c r="P116" s="45"/>
      <c r="Q116" s="45">
        <f>3642880+2957115+1282628+1467157</f>
        <v>9349780</v>
      </c>
      <c r="R116" s="45"/>
      <c r="S116" s="45">
        <f t="shared" si="6"/>
        <v>12801286</v>
      </c>
      <c r="T116" s="45"/>
      <c r="U116" s="44">
        <f t="shared" si="8"/>
        <v>0</v>
      </c>
    </row>
    <row r="117" spans="1:22" s="44" customFormat="1" ht="12.75" customHeight="1">
      <c r="A117" s="44" t="s">
        <v>142</v>
      </c>
      <c r="C117" s="44" t="s">
        <v>102</v>
      </c>
      <c r="E117" s="45">
        <f>4606369+180127+1084321+209185</f>
        <v>6080002</v>
      </c>
      <c r="F117" s="45"/>
      <c r="G117" s="45">
        <v>23422359</v>
      </c>
      <c r="H117" s="45"/>
      <c r="I117" s="45">
        <v>7793157</v>
      </c>
      <c r="J117" s="45"/>
      <c r="K117" s="45">
        <v>17486830</v>
      </c>
      <c r="L117" s="45"/>
      <c r="M117" s="45">
        <f>239949+50695+342833+108784+1649843+962114</f>
        <v>3354218</v>
      </c>
      <c r="N117" s="45"/>
      <c r="O117" s="45">
        <v>0</v>
      </c>
      <c r="P117" s="45"/>
      <c r="Q117" s="45">
        <f>2829674+4082531-4330894</f>
        <v>2581311</v>
      </c>
      <c r="R117" s="45"/>
      <c r="S117" s="45">
        <f t="shared" si="6"/>
        <v>5935529</v>
      </c>
      <c r="T117" s="45"/>
      <c r="U117" s="44">
        <f t="shared" si="8"/>
        <v>0</v>
      </c>
    </row>
    <row r="118" spans="1:22" s="44" customFormat="1" ht="12.75" customHeight="1">
      <c r="A118" s="44" t="s">
        <v>143</v>
      </c>
      <c r="C118" s="44" t="s">
        <v>111</v>
      </c>
      <c r="E118" s="45">
        <v>16096027</v>
      </c>
      <c r="F118" s="45"/>
      <c r="G118" s="45">
        <v>25653765</v>
      </c>
      <c r="H118" s="45"/>
      <c r="I118" s="45">
        <v>7152376</v>
      </c>
      <c r="J118" s="45"/>
      <c r="K118" s="45">
        <v>9299623</v>
      </c>
      <c r="L118" s="45"/>
      <c r="M118" s="45">
        <f>1447042+7969375+3137099</f>
        <v>12553516</v>
      </c>
      <c r="N118" s="45"/>
      <c r="O118" s="45">
        <v>0</v>
      </c>
      <c r="P118" s="45"/>
      <c r="Q118" s="45">
        <v>3800626</v>
      </c>
      <c r="R118" s="45"/>
      <c r="S118" s="45">
        <f t="shared" si="6"/>
        <v>16354142</v>
      </c>
      <c r="T118" s="45"/>
      <c r="U118" s="44">
        <f>+G118-K118-S118</f>
        <v>0</v>
      </c>
    </row>
    <row r="119" spans="1:22" s="44" customFormat="1" ht="12.75" customHeight="1">
      <c r="A119" s="44" t="s">
        <v>144</v>
      </c>
      <c r="C119" s="44" t="s">
        <v>88</v>
      </c>
      <c r="E119" s="45">
        <v>10471392</v>
      </c>
      <c r="F119" s="45"/>
      <c r="G119" s="45">
        <v>44622345</v>
      </c>
      <c r="H119" s="45"/>
      <c r="I119" s="45">
        <v>28817677</v>
      </c>
      <c r="J119" s="45"/>
      <c r="K119" s="45">
        <v>31691279</v>
      </c>
      <c r="L119" s="45"/>
      <c r="M119" s="45">
        <f>3016401+970448+29240+66198</f>
        <v>4082287</v>
      </c>
      <c r="N119" s="45"/>
      <c r="O119" s="45">
        <v>0</v>
      </c>
      <c r="P119" s="45"/>
      <c r="Q119" s="45">
        <f>5207150+2345024+1091571+205034</f>
        <v>8848779</v>
      </c>
      <c r="R119" s="45"/>
      <c r="S119" s="45">
        <f t="shared" si="6"/>
        <v>12931066</v>
      </c>
      <c r="T119" s="45"/>
      <c r="U119" s="44">
        <f t="shared" si="8"/>
        <v>0</v>
      </c>
    </row>
    <row r="120" spans="1:22" s="44" customFormat="1" ht="12.75" customHeight="1">
      <c r="A120" s="44" t="s">
        <v>36</v>
      </c>
      <c r="C120" s="44" t="s">
        <v>145</v>
      </c>
      <c r="E120" s="45">
        <v>1659578</v>
      </c>
      <c r="F120" s="45"/>
      <c r="G120" s="45">
        <v>3807911</v>
      </c>
      <c r="H120" s="45"/>
      <c r="I120" s="45">
        <v>1429635</v>
      </c>
      <c r="J120" s="45"/>
      <c r="K120" s="45">
        <v>1747286</v>
      </c>
      <c r="L120" s="45"/>
      <c r="M120" s="45">
        <v>366930</v>
      </c>
      <c r="N120" s="45"/>
      <c r="O120" s="45">
        <v>0</v>
      </c>
      <c r="P120" s="45"/>
      <c r="Q120" s="45">
        <v>1693695</v>
      </c>
      <c r="R120" s="45"/>
      <c r="S120" s="45">
        <f t="shared" si="6"/>
        <v>2060625</v>
      </c>
      <c r="T120" s="45"/>
      <c r="U120" s="44">
        <f t="shared" si="8"/>
        <v>0</v>
      </c>
    </row>
    <row r="121" spans="1:22" s="44" customFormat="1" ht="12.75" customHeight="1">
      <c r="A121" s="44" t="s">
        <v>146</v>
      </c>
      <c r="C121" s="44" t="s">
        <v>147</v>
      </c>
      <c r="E121" s="45">
        <f>2406204+48513</f>
        <v>2454717</v>
      </c>
      <c r="F121" s="45"/>
      <c r="G121" s="45">
        <v>6465870</v>
      </c>
      <c r="H121" s="45"/>
      <c r="I121" s="45">
        <v>2615045</v>
      </c>
      <c r="J121" s="45"/>
      <c r="K121" s="45">
        <v>3423029</v>
      </c>
      <c r="L121" s="45"/>
      <c r="M121" s="45">
        <f>89748+25279+34877+500000</f>
        <v>649904</v>
      </c>
      <c r="N121" s="45"/>
      <c r="O121" s="45">
        <v>0</v>
      </c>
      <c r="P121" s="45"/>
      <c r="Q121" s="45">
        <f>1140646+1458361-206070</f>
        <v>2392937</v>
      </c>
      <c r="R121" s="45"/>
      <c r="S121" s="45">
        <f t="shared" si="6"/>
        <v>3042841</v>
      </c>
      <c r="T121" s="45"/>
      <c r="U121" s="44">
        <f t="shared" si="8"/>
        <v>0</v>
      </c>
    </row>
    <row r="122" spans="1:22" s="44" customFormat="1" ht="12.75" customHeight="1">
      <c r="A122" s="44" t="s">
        <v>17</v>
      </c>
      <c r="C122" s="44" t="s">
        <v>17</v>
      </c>
      <c r="E122" s="45">
        <f>4473624+54987</f>
        <v>4528611</v>
      </c>
      <c r="F122" s="45"/>
      <c r="G122" s="45">
        <v>39477786</v>
      </c>
      <c r="H122" s="45"/>
      <c r="I122" s="45">
        <v>12088326</v>
      </c>
      <c r="J122" s="45"/>
      <c r="K122" s="45">
        <v>20371077</v>
      </c>
      <c r="L122" s="45"/>
      <c r="M122" s="45">
        <f>1698099+13222597+1866831+269741</f>
        <v>17057268</v>
      </c>
      <c r="N122" s="45"/>
      <c r="O122" s="45">
        <v>0</v>
      </c>
      <c r="P122" s="45"/>
      <c r="Q122" s="45">
        <f>-1398518+3886549+454241-892831</f>
        <v>2049441</v>
      </c>
      <c r="R122" s="45"/>
      <c r="S122" s="45">
        <f t="shared" si="6"/>
        <v>19106709</v>
      </c>
      <c r="T122" s="45"/>
      <c r="U122" s="44">
        <f t="shared" si="8"/>
        <v>0</v>
      </c>
    </row>
    <row r="123" spans="1:22" s="44" customFormat="1" ht="12.75" customHeight="1">
      <c r="A123" s="44" t="s">
        <v>148</v>
      </c>
      <c r="C123" s="44" t="s">
        <v>15</v>
      </c>
      <c r="E123" s="45">
        <v>1913297</v>
      </c>
      <c r="F123" s="45"/>
      <c r="G123" s="45">
        <v>3642859</v>
      </c>
      <c r="H123" s="45"/>
      <c r="I123" s="45">
        <v>1020984</v>
      </c>
      <c r="J123" s="45"/>
      <c r="K123" s="45">
        <v>1462716</v>
      </c>
      <c r="L123" s="45"/>
      <c r="M123" s="45">
        <f>166384+4195</f>
        <v>170579</v>
      </c>
      <c r="N123" s="45"/>
      <c r="O123" s="45">
        <v>0</v>
      </c>
      <c r="P123" s="45"/>
      <c r="Q123" s="45">
        <f>1567307+376611+16516+49130</f>
        <v>2009564</v>
      </c>
      <c r="R123" s="45"/>
      <c r="S123" s="45">
        <f t="shared" si="6"/>
        <v>2180143</v>
      </c>
      <c r="T123" s="45"/>
      <c r="U123" s="44">
        <f t="shared" si="8"/>
        <v>0</v>
      </c>
    </row>
    <row r="124" spans="1:22" s="44" customFormat="1" ht="12.75" customHeight="1">
      <c r="A124" s="44" t="s">
        <v>149</v>
      </c>
      <c r="C124" s="44" t="s">
        <v>45</v>
      </c>
      <c r="E124" s="45">
        <f>1016780+2148530</f>
        <v>3165310</v>
      </c>
      <c r="F124" s="45"/>
      <c r="G124" s="45">
        <v>10222198</v>
      </c>
      <c r="H124" s="45"/>
      <c r="I124" s="45">
        <v>3862100</v>
      </c>
      <c r="J124" s="45"/>
      <c r="K124" s="45">
        <v>6530364</v>
      </c>
      <c r="L124" s="45"/>
      <c r="M124" s="45">
        <f>26313+81736+30559</f>
        <v>138608</v>
      </c>
      <c r="N124" s="45"/>
      <c r="O124" s="45">
        <v>0</v>
      </c>
      <c r="P124" s="45"/>
      <c r="Q124" s="45">
        <f>2001983+696367+854876</f>
        <v>3553226</v>
      </c>
      <c r="R124" s="45"/>
      <c r="S124" s="45">
        <f t="shared" si="6"/>
        <v>3691834</v>
      </c>
      <c r="T124" s="45"/>
      <c r="U124" s="44">
        <f t="shared" si="8"/>
        <v>0</v>
      </c>
    </row>
    <row r="125" spans="1:22" s="44" customFormat="1" ht="12.75" customHeight="1">
      <c r="A125" s="44" t="s">
        <v>150</v>
      </c>
      <c r="C125" s="44" t="s">
        <v>27</v>
      </c>
      <c r="E125" s="45">
        <f>13157536+1994818</f>
        <v>15152354</v>
      </c>
      <c r="F125" s="45"/>
      <c r="G125" s="45">
        <v>26198738</v>
      </c>
      <c r="H125" s="45"/>
      <c r="I125" s="45">
        <v>8977648</v>
      </c>
      <c r="J125" s="45"/>
      <c r="K125" s="45">
        <v>10685433</v>
      </c>
      <c r="L125" s="45"/>
      <c r="M125" s="45">
        <f>1894612+108467+106882+1455339</f>
        <v>3565300</v>
      </c>
      <c r="N125" s="45"/>
      <c r="O125" s="45">
        <v>0</v>
      </c>
      <c r="P125" s="45"/>
      <c r="Q125" s="45">
        <f>3749413+2008803+6189789</f>
        <v>11948005</v>
      </c>
      <c r="R125" s="45"/>
      <c r="S125" s="45">
        <f t="shared" si="6"/>
        <v>15513305</v>
      </c>
      <c r="T125" s="45"/>
      <c r="U125" s="44">
        <f t="shared" si="8"/>
        <v>0</v>
      </c>
    </row>
    <row r="126" spans="1:22" s="44" customFormat="1" ht="12.75" customHeight="1">
      <c r="A126" s="44" t="s">
        <v>151</v>
      </c>
      <c r="C126" s="44" t="s">
        <v>13</v>
      </c>
      <c r="E126" s="45">
        <v>3441073</v>
      </c>
      <c r="F126" s="45"/>
      <c r="G126" s="45">
        <v>10277716</v>
      </c>
      <c r="H126" s="45"/>
      <c r="I126" s="45">
        <v>3622498</v>
      </c>
      <c r="J126" s="45"/>
      <c r="K126" s="45">
        <v>8240810</v>
      </c>
      <c r="L126" s="45"/>
      <c r="M126" s="45">
        <f>223530+92659+36719</f>
        <v>352908</v>
      </c>
      <c r="N126" s="45"/>
      <c r="O126" s="45">
        <v>539000</v>
      </c>
      <c r="P126" s="45"/>
      <c r="Q126" s="45">
        <f>767575+1878574+24878-1526029</f>
        <v>1144998</v>
      </c>
      <c r="R126" s="45"/>
      <c r="S126" s="45">
        <f t="shared" si="6"/>
        <v>2036906</v>
      </c>
      <c r="T126" s="45"/>
      <c r="U126" s="44">
        <f t="shared" si="8"/>
        <v>0</v>
      </c>
    </row>
    <row r="127" spans="1:22" s="44" customFormat="1" ht="12.75" customHeight="1">
      <c r="A127" s="2" t="s">
        <v>481</v>
      </c>
      <c r="B127" s="2"/>
      <c r="C127" s="2" t="s">
        <v>45</v>
      </c>
      <c r="D127" s="2"/>
      <c r="E127" s="45">
        <f>1357102+596946</f>
        <v>1954048</v>
      </c>
      <c r="F127" s="45"/>
      <c r="G127" s="45">
        <v>6236479</v>
      </c>
      <c r="H127" s="45"/>
      <c r="I127" s="45">
        <v>3025165</v>
      </c>
      <c r="J127" s="45"/>
      <c r="K127" s="45">
        <v>4348562</v>
      </c>
      <c r="L127" s="45"/>
      <c r="M127" s="45">
        <v>3136</v>
      </c>
      <c r="N127" s="45"/>
      <c r="O127" s="45">
        <v>0</v>
      </c>
      <c r="P127" s="45"/>
      <c r="Q127" s="45">
        <f>1696750-80905+268936</f>
        <v>1884781</v>
      </c>
      <c r="R127" s="45"/>
      <c r="S127" s="45">
        <f t="shared" si="6"/>
        <v>1887917</v>
      </c>
      <c r="T127" s="32"/>
      <c r="U127" s="2">
        <v>0</v>
      </c>
      <c r="V127" s="2"/>
    </row>
    <row r="128" spans="1:22" s="44" customFormat="1" ht="12.75" customHeight="1">
      <c r="A128" s="2" t="s">
        <v>152</v>
      </c>
      <c r="B128" s="2"/>
      <c r="C128" s="2" t="s">
        <v>153</v>
      </c>
      <c r="D128" s="2"/>
      <c r="E128" s="45">
        <f>3536087+53113</f>
        <v>3589200</v>
      </c>
      <c r="F128" s="45"/>
      <c r="G128" s="45">
        <v>25596933</v>
      </c>
      <c r="H128" s="45"/>
      <c r="I128" s="45">
        <v>14995553</v>
      </c>
      <c r="J128" s="45"/>
      <c r="K128" s="45">
        <v>20540051</v>
      </c>
      <c r="L128" s="45"/>
      <c r="M128" s="45">
        <f>452498+485806+2505852+2199191+71917+21864</f>
        <v>5737128</v>
      </c>
      <c r="N128" s="45"/>
      <c r="O128" s="45">
        <v>0</v>
      </c>
      <c r="P128" s="45"/>
      <c r="Q128" s="45">
        <f>-2100876+193941+14364+1212325</f>
        <v>-680246</v>
      </c>
      <c r="R128" s="45"/>
      <c r="S128" s="45">
        <f t="shared" si="6"/>
        <v>5056882</v>
      </c>
      <c r="T128" s="32"/>
      <c r="U128" s="2">
        <v>0</v>
      </c>
      <c r="V128" s="2"/>
    </row>
    <row r="129" spans="1:22" s="44" customFormat="1" ht="12.75" customHeight="1">
      <c r="A129" s="44" t="s">
        <v>154</v>
      </c>
      <c r="C129" s="44" t="s">
        <v>27</v>
      </c>
      <c r="E129" s="45">
        <v>6824304</v>
      </c>
      <c r="F129" s="45"/>
      <c r="G129" s="45">
        <v>19488003</v>
      </c>
      <c r="H129" s="45"/>
      <c r="I129" s="45">
        <v>10537324</v>
      </c>
      <c r="J129" s="45"/>
      <c r="K129" s="45">
        <v>13074008</v>
      </c>
      <c r="L129" s="45"/>
      <c r="M129" s="45">
        <f>232774+79053+69560</f>
        <v>381387</v>
      </c>
      <c r="N129" s="45"/>
      <c r="O129" s="45">
        <v>0</v>
      </c>
      <c r="P129" s="45"/>
      <c r="Q129" s="45">
        <f>38146+22704+990345+4981413</f>
        <v>6032608</v>
      </c>
      <c r="R129" s="45"/>
      <c r="S129" s="45">
        <f t="shared" si="6"/>
        <v>6413995</v>
      </c>
      <c r="T129" s="45"/>
      <c r="U129" s="44">
        <f t="shared" si="8"/>
        <v>0</v>
      </c>
    </row>
    <row r="130" spans="1:22" s="44" customFormat="1" ht="12.75" customHeight="1">
      <c r="A130" s="44" t="s">
        <v>155</v>
      </c>
      <c r="C130" s="44" t="s">
        <v>40</v>
      </c>
      <c r="E130" s="45">
        <f>6804929+63171</f>
        <v>6868100</v>
      </c>
      <c r="F130" s="45"/>
      <c r="G130" s="45">
        <v>10787723</v>
      </c>
      <c r="H130" s="45"/>
      <c r="I130" s="45">
        <v>1769761</v>
      </c>
      <c r="J130" s="45"/>
      <c r="K130" s="45">
        <v>3045783</v>
      </c>
      <c r="L130" s="45"/>
      <c r="M130" s="45">
        <f>1891168+48526+433961+23389</f>
        <v>2397044</v>
      </c>
      <c r="N130" s="45"/>
      <c r="O130" s="45">
        <v>0</v>
      </c>
      <c r="P130" s="45"/>
      <c r="Q130" s="45">
        <f>2014286+1377273+4641+1948696</f>
        <v>5344896</v>
      </c>
      <c r="R130" s="45"/>
      <c r="S130" s="45">
        <f t="shared" si="6"/>
        <v>7741940</v>
      </c>
      <c r="T130" s="45"/>
      <c r="U130" s="44">
        <f t="shared" si="8"/>
        <v>0</v>
      </c>
    </row>
    <row r="131" spans="1:22" s="44" customFormat="1" ht="12.75" customHeight="1">
      <c r="A131" s="44" t="s">
        <v>156</v>
      </c>
      <c r="C131" s="44" t="s">
        <v>156</v>
      </c>
      <c r="E131" s="45">
        <v>5778010</v>
      </c>
      <c r="F131" s="45"/>
      <c r="G131" s="45">
        <v>16962551</v>
      </c>
      <c r="H131" s="45"/>
      <c r="I131" s="45">
        <v>7143293</v>
      </c>
      <c r="J131" s="45"/>
      <c r="K131" s="45">
        <v>10936783</v>
      </c>
      <c r="L131" s="45"/>
      <c r="M131" s="45">
        <f>334611+345000+1041575</f>
        <v>1721186</v>
      </c>
      <c r="N131" s="45"/>
      <c r="O131" s="45">
        <v>713644</v>
      </c>
      <c r="P131" s="45"/>
      <c r="Q131" s="45">
        <f>1859801+385813+3528+1341796</f>
        <v>3590938</v>
      </c>
      <c r="R131" s="45"/>
      <c r="S131" s="45">
        <f t="shared" ref="S131:S144" si="9">+Q131+O131+M131</f>
        <v>6025768</v>
      </c>
      <c r="T131" s="94"/>
      <c r="U131" s="46">
        <f t="shared" si="8"/>
        <v>0</v>
      </c>
      <c r="V131" s="46"/>
    </row>
    <row r="132" spans="1:22" s="44" customFormat="1" ht="12.75" customHeight="1">
      <c r="A132" s="44" t="s">
        <v>157</v>
      </c>
      <c r="C132" s="44" t="s">
        <v>33</v>
      </c>
      <c r="E132" s="45">
        <f>735013+434517</f>
        <v>1169530</v>
      </c>
      <c r="F132" s="45"/>
      <c r="G132" s="45">
        <v>4108836</v>
      </c>
      <c r="H132" s="45"/>
      <c r="I132" s="45">
        <v>1535958</v>
      </c>
      <c r="J132" s="45"/>
      <c r="K132" s="45">
        <v>1782501</v>
      </c>
      <c r="L132" s="45"/>
      <c r="M132" s="45">
        <f>33898+214612+36663</f>
        <v>285173</v>
      </c>
      <c r="N132" s="45"/>
      <c r="O132" s="45">
        <v>0</v>
      </c>
      <c r="P132" s="45"/>
      <c r="Q132" s="45">
        <f>271406+712820+1056936</f>
        <v>2041162</v>
      </c>
      <c r="R132" s="45"/>
      <c r="S132" s="45">
        <f t="shared" si="9"/>
        <v>2326335</v>
      </c>
      <c r="T132" s="45"/>
      <c r="U132" s="44">
        <f t="shared" si="8"/>
        <v>0</v>
      </c>
    </row>
    <row r="133" spans="1:22" s="44" customFormat="1" ht="12.75" customHeight="1">
      <c r="A133" s="44" t="s">
        <v>158</v>
      </c>
      <c r="C133" s="44" t="s">
        <v>159</v>
      </c>
      <c r="E133" s="45">
        <v>7047665</v>
      </c>
      <c r="F133" s="45"/>
      <c r="G133" s="45">
        <v>13006974</v>
      </c>
      <c r="H133" s="45"/>
      <c r="I133" s="45">
        <v>4109090</v>
      </c>
      <c r="J133" s="45"/>
      <c r="K133" s="45">
        <v>5861205</v>
      </c>
      <c r="L133" s="45"/>
      <c r="M133" s="45">
        <v>1002549</v>
      </c>
      <c r="N133" s="45"/>
      <c r="O133" s="45">
        <v>0</v>
      </c>
      <c r="P133" s="45"/>
      <c r="Q133" s="45">
        <f>4364501+1699856-44723+123586</f>
        <v>6143220</v>
      </c>
      <c r="R133" s="45"/>
      <c r="S133" s="45">
        <f t="shared" si="9"/>
        <v>7145769</v>
      </c>
      <c r="T133" s="45"/>
      <c r="U133" s="44">
        <f t="shared" si="8"/>
        <v>0</v>
      </c>
    </row>
    <row r="134" spans="1:22" s="46" customFormat="1" ht="12.75" customHeight="1">
      <c r="A134" s="46" t="s">
        <v>160</v>
      </c>
      <c r="C134" s="46" t="s">
        <v>111</v>
      </c>
      <c r="E134" s="45">
        <f>35641322+1908193</f>
        <v>37549515</v>
      </c>
      <c r="F134" s="45"/>
      <c r="G134" s="45">
        <v>55904098</v>
      </c>
      <c r="H134" s="45"/>
      <c r="I134" s="45">
        <v>12105706</v>
      </c>
      <c r="J134" s="45"/>
      <c r="K134" s="45">
        <v>21160925</v>
      </c>
      <c r="L134" s="45"/>
      <c r="M134" s="45">
        <f>15303134+417442</f>
        <v>15720576</v>
      </c>
      <c r="N134" s="45"/>
      <c r="O134" s="45">
        <v>0</v>
      </c>
      <c r="P134" s="45"/>
      <c r="Q134" s="45">
        <f>10650144+5472041+180712+2719700</f>
        <v>19022597</v>
      </c>
      <c r="R134" s="45"/>
      <c r="S134" s="45">
        <f t="shared" si="9"/>
        <v>34743173</v>
      </c>
      <c r="T134" s="45"/>
      <c r="U134" s="44">
        <f t="shared" si="8"/>
        <v>0</v>
      </c>
    </row>
    <row r="135" spans="1:22" s="44" customFormat="1" ht="12.75" customHeight="1">
      <c r="A135" s="44" t="s">
        <v>161</v>
      </c>
      <c r="C135" s="44" t="s">
        <v>15</v>
      </c>
      <c r="E135" s="45">
        <f>3457055+130768</f>
        <v>3587823</v>
      </c>
      <c r="F135" s="45"/>
      <c r="G135" s="45">
        <v>15036600</v>
      </c>
      <c r="H135" s="45"/>
      <c r="I135" s="45">
        <v>5480344</v>
      </c>
      <c r="J135" s="45"/>
      <c r="K135" s="45">
        <v>7514726</v>
      </c>
      <c r="L135" s="45"/>
      <c r="M135" s="45">
        <f>1950347+3341983+24814</f>
        <v>5317144</v>
      </c>
      <c r="N135" s="45"/>
      <c r="O135" s="45">
        <v>0</v>
      </c>
      <c r="P135" s="45"/>
      <c r="Q135" s="45">
        <f>689494+1165397+216937+132902</f>
        <v>2204730</v>
      </c>
      <c r="R135" s="45"/>
      <c r="S135" s="45">
        <f t="shared" si="9"/>
        <v>7521874</v>
      </c>
      <c r="T135" s="45"/>
      <c r="U135" s="44">
        <f t="shared" si="8"/>
        <v>0</v>
      </c>
    </row>
    <row r="136" spans="1:22" s="44" customFormat="1" ht="12.75" customHeight="1">
      <c r="A136" s="44" t="s">
        <v>162</v>
      </c>
      <c r="C136" s="44" t="s">
        <v>163</v>
      </c>
      <c r="E136" s="45">
        <f>12358999+15979594</f>
        <v>28338593</v>
      </c>
      <c r="F136" s="45"/>
      <c r="G136" s="45">
        <v>37366704</v>
      </c>
      <c r="H136" s="45"/>
      <c r="I136" s="45">
        <v>2998757</v>
      </c>
      <c r="J136" s="45"/>
      <c r="K136" s="45">
        <v>6456472</v>
      </c>
      <c r="L136" s="45"/>
      <c r="M136" s="45">
        <f>811036+54991+66136+89770</f>
        <v>1021933</v>
      </c>
      <c r="N136" s="45"/>
      <c r="O136" s="45">
        <v>0</v>
      </c>
      <c r="P136" s="45"/>
      <c r="Q136" s="45">
        <f>-48968+29144252+733260+59755</f>
        <v>29888299</v>
      </c>
      <c r="R136" s="45"/>
      <c r="S136" s="45">
        <f t="shared" si="9"/>
        <v>30910232</v>
      </c>
      <c r="T136" s="45"/>
      <c r="U136" s="44">
        <f t="shared" si="8"/>
        <v>0</v>
      </c>
    </row>
    <row r="137" spans="1:22" s="44" customFormat="1" ht="12.75" customHeight="1">
      <c r="A137" s="44" t="s">
        <v>164</v>
      </c>
      <c r="C137" s="44" t="s">
        <v>27</v>
      </c>
      <c r="E137" s="45">
        <f>5500534+13476078</f>
        <v>18976612</v>
      </c>
      <c r="F137" s="45"/>
      <c r="G137" s="45">
        <v>28146952</v>
      </c>
      <c r="H137" s="45"/>
      <c r="I137" s="45">
        <v>7004308</v>
      </c>
      <c r="J137" s="45"/>
      <c r="K137" s="45">
        <v>8476645</v>
      </c>
      <c r="L137" s="45"/>
      <c r="M137" s="45">
        <f>270558+50611+58667</f>
        <v>379836</v>
      </c>
      <c r="N137" s="45"/>
      <c r="O137" s="45">
        <v>686501</v>
      </c>
      <c r="P137" s="45"/>
      <c r="Q137" s="45">
        <f>8675331+511438+535502+8881699</f>
        <v>18603970</v>
      </c>
      <c r="R137" s="45"/>
      <c r="S137" s="45">
        <f t="shared" si="9"/>
        <v>19670307</v>
      </c>
      <c r="T137" s="45"/>
      <c r="U137" s="44">
        <f t="shared" si="8"/>
        <v>0</v>
      </c>
    </row>
    <row r="138" spans="1:22" s="44" customFormat="1" ht="12.75" customHeight="1">
      <c r="A138" s="44" t="s">
        <v>53</v>
      </c>
      <c r="C138" s="44" t="s">
        <v>53</v>
      </c>
      <c r="E138" s="45">
        <f>28971479+12203</f>
        <v>28983682</v>
      </c>
      <c r="F138" s="45"/>
      <c r="G138" s="45">
        <v>46320676</v>
      </c>
      <c r="H138" s="45"/>
      <c r="I138" s="45">
        <v>7467729</v>
      </c>
      <c r="J138" s="45"/>
      <c r="K138" s="45">
        <v>14262698</v>
      </c>
      <c r="L138" s="45"/>
      <c r="M138" s="45">
        <f>3945864+1165207</f>
        <v>5111071</v>
      </c>
      <c r="N138" s="45"/>
      <c r="O138" s="45">
        <v>0</v>
      </c>
      <c r="P138" s="45"/>
      <c r="Q138" s="45">
        <f>9198468+14851130+1377818+1519491</f>
        <v>26946907</v>
      </c>
      <c r="R138" s="45"/>
      <c r="S138" s="45">
        <f t="shared" si="9"/>
        <v>32057978</v>
      </c>
      <c r="T138" s="45"/>
      <c r="U138" s="44">
        <f t="shared" si="8"/>
        <v>0</v>
      </c>
    </row>
    <row r="139" spans="1:22" s="44" customFormat="1" ht="12.75" customHeight="1">
      <c r="A139" s="44" t="s">
        <v>165</v>
      </c>
      <c r="C139" s="44" t="s">
        <v>92</v>
      </c>
      <c r="E139" s="45">
        <v>20533948</v>
      </c>
      <c r="F139" s="45"/>
      <c r="G139" s="45">
        <v>58276670</v>
      </c>
      <c r="H139" s="45"/>
      <c r="I139" s="45">
        <v>29009099</v>
      </c>
      <c r="J139" s="45"/>
      <c r="K139" s="45">
        <v>32999831</v>
      </c>
      <c r="L139" s="45"/>
      <c r="M139" s="45">
        <f>666578+1727437+2229712</f>
        <v>4623727</v>
      </c>
      <c r="N139" s="45"/>
      <c r="O139" s="45">
        <v>0</v>
      </c>
      <c r="P139" s="45"/>
      <c r="Q139" s="45">
        <f>17781308+3587542-715738</f>
        <v>20653112</v>
      </c>
      <c r="R139" s="45"/>
      <c r="S139" s="45">
        <f t="shared" si="9"/>
        <v>25276839</v>
      </c>
      <c r="T139" s="45"/>
      <c r="U139" s="44">
        <f t="shared" si="8"/>
        <v>0</v>
      </c>
    </row>
    <row r="140" spans="1:22" s="44" customFormat="1" ht="12.75" customHeight="1">
      <c r="A140" s="44" t="s">
        <v>166</v>
      </c>
      <c r="C140" s="44" t="s">
        <v>92</v>
      </c>
      <c r="E140" s="45">
        <v>945559</v>
      </c>
      <c r="F140" s="45"/>
      <c r="G140" s="45">
        <v>5189962</v>
      </c>
      <c r="H140" s="45"/>
      <c r="I140" s="45">
        <v>695520</v>
      </c>
      <c r="J140" s="45"/>
      <c r="K140" s="45">
        <v>3608923</v>
      </c>
      <c r="L140" s="45"/>
      <c r="M140" s="45">
        <f>8897+14864+1842140+35578</f>
        <v>1901479</v>
      </c>
      <c r="N140" s="45"/>
      <c r="O140" s="45">
        <v>0</v>
      </c>
      <c r="P140" s="45"/>
      <c r="Q140" s="45">
        <f>128248+255260-703948</f>
        <v>-320440</v>
      </c>
      <c r="R140" s="45"/>
      <c r="S140" s="45">
        <f t="shared" si="9"/>
        <v>1581039</v>
      </c>
      <c r="T140" s="45"/>
      <c r="U140" s="44">
        <f t="shared" si="8"/>
        <v>0</v>
      </c>
    </row>
    <row r="141" spans="1:22" s="44" customFormat="1" ht="12.75" customHeight="1">
      <c r="A141" s="44" t="s">
        <v>167</v>
      </c>
      <c r="C141" s="44" t="s">
        <v>66</v>
      </c>
      <c r="E141" s="45">
        <f>6478564+5468041</f>
        <v>11946605</v>
      </c>
      <c r="F141" s="45"/>
      <c r="G141" s="45">
        <v>19125336</v>
      </c>
      <c r="H141" s="45"/>
      <c r="I141" s="45">
        <v>4671744</v>
      </c>
      <c r="J141" s="45"/>
      <c r="K141" s="45">
        <v>10682766</v>
      </c>
      <c r="L141" s="45"/>
      <c r="M141" s="45">
        <f>769810+311170+1144936</f>
        <v>2225916</v>
      </c>
      <c r="N141" s="45"/>
      <c r="O141" s="45">
        <v>93914</v>
      </c>
      <c r="P141" s="45"/>
      <c r="Q141" s="45">
        <f>2178435+3682819+285223-23737</f>
        <v>6122740</v>
      </c>
      <c r="R141" s="45"/>
      <c r="S141" s="45">
        <f t="shared" si="9"/>
        <v>8442570</v>
      </c>
      <c r="T141" s="45"/>
      <c r="U141" s="44">
        <f t="shared" si="8"/>
        <v>0</v>
      </c>
    </row>
    <row r="142" spans="1:22" s="44" customFormat="1" ht="12.75" customHeight="1">
      <c r="A142" s="44" t="s">
        <v>168</v>
      </c>
      <c r="C142" s="44" t="s">
        <v>27</v>
      </c>
      <c r="E142" s="45">
        <v>7513307</v>
      </c>
      <c r="F142" s="45"/>
      <c r="G142" s="45">
        <v>16441788</v>
      </c>
      <c r="H142" s="45"/>
      <c r="I142" s="45">
        <v>5412323</v>
      </c>
      <c r="J142" s="45"/>
      <c r="K142" s="45">
        <v>7436399</v>
      </c>
      <c r="L142" s="45"/>
      <c r="M142" s="45">
        <f>1344788+100479</f>
        <v>1445267</v>
      </c>
      <c r="N142" s="45"/>
      <c r="O142" s="45">
        <v>0</v>
      </c>
      <c r="P142" s="45"/>
      <c r="Q142" s="45">
        <f>4963370+1314357+1469467-187072</f>
        <v>7560122</v>
      </c>
      <c r="R142" s="45"/>
      <c r="S142" s="45">
        <f t="shared" si="9"/>
        <v>9005389</v>
      </c>
      <c r="T142" s="45"/>
      <c r="U142" s="44">
        <f t="shared" si="8"/>
        <v>0</v>
      </c>
    </row>
    <row r="143" spans="1:22" s="44" customFormat="1" ht="12.75" customHeight="1">
      <c r="A143" s="44" t="s">
        <v>169</v>
      </c>
      <c r="C143" s="44" t="s">
        <v>103</v>
      </c>
      <c r="E143" s="45">
        <f>23327653+369656</f>
        <v>23697309</v>
      </c>
      <c r="F143" s="45"/>
      <c r="G143" s="45">
        <v>56798120</v>
      </c>
      <c r="H143" s="45"/>
      <c r="I143" s="45">
        <v>26428151</v>
      </c>
      <c r="J143" s="45"/>
      <c r="K143" s="45">
        <v>32017131</v>
      </c>
      <c r="L143" s="45"/>
      <c r="M143" s="45">
        <f>1520343+403128+2166560</f>
        <v>4090031</v>
      </c>
      <c r="N143" s="45"/>
      <c r="O143" s="45">
        <v>0</v>
      </c>
      <c r="P143" s="45"/>
      <c r="Q143" s="45">
        <f>10976957+7133335+81545+2499121</f>
        <v>20690958</v>
      </c>
      <c r="R143" s="45"/>
      <c r="S143" s="45">
        <f t="shared" si="9"/>
        <v>24780989</v>
      </c>
      <c r="T143" s="45"/>
      <c r="U143" s="44">
        <f t="shared" si="8"/>
        <v>0</v>
      </c>
    </row>
    <row r="144" spans="1:22" s="44" customFormat="1" ht="12.75" customHeight="1">
      <c r="A144" s="44" t="s">
        <v>170</v>
      </c>
      <c r="C144" s="44" t="s">
        <v>171</v>
      </c>
      <c r="E144" s="45">
        <v>6236798</v>
      </c>
      <c r="F144" s="45"/>
      <c r="G144" s="45">
        <v>10566066</v>
      </c>
      <c r="H144" s="45"/>
      <c r="I144" s="45">
        <v>4090334</v>
      </c>
      <c r="J144" s="45"/>
      <c r="K144" s="45">
        <v>4363984</v>
      </c>
      <c r="L144" s="45"/>
      <c r="M144" s="45">
        <v>65760</v>
      </c>
      <c r="N144" s="45"/>
      <c r="O144" s="45">
        <v>0</v>
      </c>
      <c r="P144" s="45"/>
      <c r="Q144" s="45">
        <f>3237943+1564617+368824+964938</f>
        <v>6136322</v>
      </c>
      <c r="R144" s="45"/>
      <c r="S144" s="45">
        <f t="shared" si="9"/>
        <v>6202082</v>
      </c>
      <c r="T144" s="45"/>
      <c r="U144" s="44">
        <f t="shared" si="8"/>
        <v>0</v>
      </c>
    </row>
    <row r="145" spans="1:21" s="44" customFormat="1" ht="12.75" customHeight="1">
      <c r="A145" s="44" t="s">
        <v>172</v>
      </c>
      <c r="C145" s="44" t="s">
        <v>103</v>
      </c>
      <c r="E145" s="45">
        <v>9239265</v>
      </c>
      <c r="F145" s="45"/>
      <c r="G145" s="45">
        <v>34087360</v>
      </c>
      <c r="H145" s="45"/>
      <c r="I145" s="45">
        <v>23834773</v>
      </c>
      <c r="J145" s="45"/>
      <c r="K145" s="45">
        <v>31467797</v>
      </c>
      <c r="L145" s="45"/>
      <c r="M145" s="45">
        <v>899617</v>
      </c>
      <c r="N145" s="45"/>
      <c r="O145" s="45">
        <v>0</v>
      </c>
      <c r="P145" s="45"/>
      <c r="Q145" s="45">
        <f>5604402+182778+15789-4083023</f>
        <v>1719946</v>
      </c>
      <c r="R145" s="45"/>
      <c r="S145" s="45">
        <f t="shared" ref="S145:S195" si="10">+Q145+O145+M145</f>
        <v>2619563</v>
      </c>
      <c r="T145" s="45"/>
      <c r="U145" s="44">
        <f t="shared" si="8"/>
        <v>0</v>
      </c>
    </row>
    <row r="146" spans="1:21" s="44" customFormat="1" ht="12.75" customHeight="1">
      <c r="A146" s="44" t="s">
        <v>66</v>
      </c>
      <c r="C146" s="44" t="s">
        <v>45</v>
      </c>
      <c r="E146" s="45">
        <f>14993015+10982999</f>
        <v>25976014</v>
      </c>
      <c r="F146" s="45"/>
      <c r="G146" s="45">
        <v>37045576</v>
      </c>
      <c r="H146" s="45"/>
      <c r="I146" s="45">
        <v>8459537</v>
      </c>
      <c r="J146" s="45"/>
      <c r="K146" s="45">
        <v>10358579</v>
      </c>
      <c r="L146" s="45"/>
      <c r="M146" s="45">
        <f>1070439+20478+2814148</f>
        <v>3905065</v>
      </c>
      <c r="N146" s="45"/>
      <c r="O146" s="45">
        <v>0</v>
      </c>
      <c r="P146" s="45"/>
      <c r="Q146" s="45">
        <f>13769099+6862144+2150689</f>
        <v>22781932</v>
      </c>
      <c r="R146" s="45"/>
      <c r="S146" s="45">
        <f t="shared" si="10"/>
        <v>26686997</v>
      </c>
      <c r="T146" s="45"/>
      <c r="U146" s="44">
        <f t="shared" si="8"/>
        <v>0</v>
      </c>
    </row>
    <row r="147" spans="1:21" s="44" customFormat="1" ht="12.75" customHeight="1">
      <c r="A147" s="44" t="s">
        <v>173</v>
      </c>
      <c r="C147" s="44" t="s">
        <v>66</v>
      </c>
      <c r="E147" s="45">
        <v>17331037</v>
      </c>
      <c r="F147" s="45"/>
      <c r="G147" s="45">
        <v>21721518</v>
      </c>
      <c r="H147" s="45"/>
      <c r="I147" s="45">
        <v>1497056</v>
      </c>
      <c r="J147" s="45"/>
      <c r="K147" s="45">
        <v>9008534</v>
      </c>
      <c r="L147" s="45"/>
      <c r="M147" s="45">
        <f>6165671+144452+119858+420201+845000</f>
        <v>7695182</v>
      </c>
      <c r="N147" s="45"/>
      <c r="O147" s="45">
        <v>0</v>
      </c>
      <c r="P147" s="45"/>
      <c r="Q147" s="45">
        <f>11550876-9321755+146836+2641845</f>
        <v>5017802</v>
      </c>
      <c r="R147" s="45"/>
      <c r="S147" s="45">
        <f t="shared" si="10"/>
        <v>12712984</v>
      </c>
      <c r="T147" s="45"/>
      <c r="U147" s="44">
        <f t="shared" ref="U147:U214" si="11">+G147-K147-S147</f>
        <v>0</v>
      </c>
    </row>
    <row r="148" spans="1:21" s="44" customFormat="1" ht="12.75" customHeight="1">
      <c r="A148" s="44" t="s">
        <v>174</v>
      </c>
      <c r="C148" s="44" t="s">
        <v>45</v>
      </c>
      <c r="E148" s="45">
        <v>539864</v>
      </c>
      <c r="F148" s="45"/>
      <c r="G148" s="45">
        <v>2613174</v>
      </c>
      <c r="H148" s="45"/>
      <c r="I148" s="45">
        <v>1709980</v>
      </c>
      <c r="J148" s="45"/>
      <c r="K148" s="45">
        <v>2502171</v>
      </c>
      <c r="L148" s="45"/>
      <c r="M148" s="45">
        <v>0</v>
      </c>
      <c r="N148" s="45"/>
      <c r="O148" s="45">
        <v>0</v>
      </c>
      <c r="P148" s="45"/>
      <c r="Q148" s="45">
        <v>111003</v>
      </c>
      <c r="R148" s="45"/>
      <c r="S148" s="45">
        <f t="shared" si="10"/>
        <v>111003</v>
      </c>
      <c r="T148" s="45"/>
      <c r="U148" s="44">
        <f t="shared" si="11"/>
        <v>0</v>
      </c>
    </row>
    <row r="149" spans="1:21" s="44" customFormat="1" ht="12.75" customHeight="1">
      <c r="A149" s="44" t="s">
        <v>175</v>
      </c>
      <c r="C149" s="44" t="s">
        <v>176</v>
      </c>
      <c r="E149" s="45">
        <f>9870239+862282</f>
        <v>10732521</v>
      </c>
      <c r="F149" s="45"/>
      <c r="G149" s="45">
        <v>18670148</v>
      </c>
      <c r="H149" s="45"/>
      <c r="I149" s="45">
        <v>4893731</v>
      </c>
      <c r="J149" s="45"/>
      <c r="K149" s="45">
        <v>8069894</v>
      </c>
      <c r="L149" s="45"/>
      <c r="M149" s="45">
        <f>467549+112057+18933+10568+350823</f>
        <v>959930</v>
      </c>
      <c r="N149" s="45"/>
      <c r="O149" s="45">
        <v>0</v>
      </c>
      <c r="P149" s="45"/>
      <c r="Q149" s="45">
        <f>4216231+1894352+3529741</f>
        <v>9640324</v>
      </c>
      <c r="R149" s="45"/>
      <c r="S149" s="45">
        <f t="shared" si="10"/>
        <v>10600254</v>
      </c>
      <c r="T149" s="45"/>
      <c r="U149" s="44">
        <f t="shared" si="11"/>
        <v>0</v>
      </c>
    </row>
    <row r="150" spans="1:21" s="44" customFormat="1" ht="12.75" customHeight="1">
      <c r="A150" s="44" t="s">
        <v>177</v>
      </c>
      <c r="C150" s="44" t="s">
        <v>13</v>
      </c>
      <c r="E150" s="45">
        <v>3460609</v>
      </c>
      <c r="F150" s="45"/>
      <c r="G150" s="45">
        <v>5129789</v>
      </c>
      <c r="H150" s="45"/>
      <c r="I150" s="45">
        <v>1267270</v>
      </c>
      <c r="J150" s="45"/>
      <c r="K150" s="45">
        <v>1448063</v>
      </c>
      <c r="L150" s="45"/>
      <c r="M150" s="45">
        <v>212014</v>
      </c>
      <c r="N150" s="45"/>
      <c r="O150" s="45">
        <v>0</v>
      </c>
      <c r="P150" s="45"/>
      <c r="Q150" s="45">
        <f>1664497+1222089+12975+570151</f>
        <v>3469712</v>
      </c>
      <c r="R150" s="45"/>
      <c r="S150" s="45">
        <f t="shared" si="10"/>
        <v>3681726</v>
      </c>
      <c r="T150" s="45"/>
      <c r="U150" s="44">
        <f t="shared" si="11"/>
        <v>0</v>
      </c>
    </row>
    <row r="151" spans="1:21" s="44" customFormat="1" ht="12.75" customHeight="1">
      <c r="A151" s="44" t="s">
        <v>178</v>
      </c>
      <c r="C151" s="44" t="s">
        <v>179</v>
      </c>
      <c r="E151" s="45">
        <v>4931706</v>
      </c>
      <c r="F151" s="45"/>
      <c r="G151" s="45">
        <v>7857533</v>
      </c>
      <c r="H151" s="45"/>
      <c r="I151" s="45">
        <v>1756510</v>
      </c>
      <c r="J151" s="45"/>
      <c r="K151" s="45">
        <v>2990301</v>
      </c>
      <c r="L151" s="45"/>
      <c r="M151" s="45">
        <f>152801+135367</f>
        <v>288168</v>
      </c>
      <c r="N151" s="45"/>
      <c r="O151" s="45">
        <v>0</v>
      </c>
      <c r="P151" s="45"/>
      <c r="Q151" s="45">
        <v>4579064</v>
      </c>
      <c r="R151" s="45"/>
      <c r="S151" s="45">
        <f t="shared" si="10"/>
        <v>4867232</v>
      </c>
      <c r="T151" s="45"/>
      <c r="U151" s="44">
        <f t="shared" si="11"/>
        <v>0</v>
      </c>
    </row>
    <row r="152" spans="1:21" s="44" customFormat="1" ht="12.75" customHeight="1">
      <c r="A152" s="44" t="s">
        <v>180</v>
      </c>
      <c r="C152" s="44" t="s">
        <v>20</v>
      </c>
      <c r="E152" s="45">
        <v>3506365</v>
      </c>
      <c r="F152" s="45"/>
      <c r="G152" s="45">
        <v>4583548</v>
      </c>
      <c r="H152" s="45"/>
      <c r="I152" s="45">
        <v>878343</v>
      </c>
      <c r="J152" s="45"/>
      <c r="K152" s="45">
        <v>1170572</v>
      </c>
      <c r="L152" s="45"/>
      <c r="M152" s="45">
        <v>16528</v>
      </c>
      <c r="N152" s="45"/>
      <c r="O152" s="45">
        <v>0</v>
      </c>
      <c r="P152" s="45"/>
      <c r="Q152" s="45">
        <f>1844189+488408+1063851</f>
        <v>3396448</v>
      </c>
      <c r="R152" s="45"/>
      <c r="S152" s="45">
        <f t="shared" si="10"/>
        <v>3412976</v>
      </c>
      <c r="T152" s="45"/>
      <c r="U152" s="44">
        <f t="shared" si="11"/>
        <v>0</v>
      </c>
    </row>
    <row r="153" spans="1:21" s="44" customFormat="1" ht="12.75" customHeight="1">
      <c r="A153" s="44" t="s">
        <v>182</v>
      </c>
      <c r="C153" s="44" t="s">
        <v>183</v>
      </c>
      <c r="E153" s="45">
        <f>872472+70619</f>
        <v>943091</v>
      </c>
      <c r="F153" s="45"/>
      <c r="G153" s="45">
        <v>4213393</v>
      </c>
      <c r="H153" s="45"/>
      <c r="I153" s="45">
        <v>608876</v>
      </c>
      <c r="J153" s="45"/>
      <c r="K153" s="45">
        <v>3625239</v>
      </c>
      <c r="L153" s="45"/>
      <c r="M153" s="45">
        <f>15878+57412+93009</f>
        <v>166299</v>
      </c>
      <c r="N153" s="45"/>
      <c r="O153" s="45">
        <v>0</v>
      </c>
      <c r="P153" s="45"/>
      <c r="Q153" s="45">
        <f>497846+140168+81241-297400</f>
        <v>421855</v>
      </c>
      <c r="R153" s="45"/>
      <c r="S153" s="45">
        <f t="shared" si="10"/>
        <v>588154</v>
      </c>
      <c r="T153" s="45"/>
      <c r="U153" s="44">
        <f t="shared" si="11"/>
        <v>0</v>
      </c>
    </row>
    <row r="154" spans="1:21" s="44" customFormat="1" ht="12.75" customHeight="1">
      <c r="A154" s="44" t="s">
        <v>487</v>
      </c>
      <c r="C154" s="44" t="s">
        <v>13</v>
      </c>
      <c r="E154" s="45">
        <v>3834063</v>
      </c>
      <c r="F154" s="45"/>
      <c r="G154" s="45">
        <v>8298798</v>
      </c>
      <c r="H154" s="45"/>
      <c r="I154" s="45">
        <v>3898045</v>
      </c>
      <c r="J154" s="45"/>
      <c r="K154" s="45">
        <v>4326654</v>
      </c>
      <c r="L154" s="45"/>
      <c r="M154" s="45">
        <v>4025</v>
      </c>
      <c r="N154" s="45"/>
      <c r="O154" s="45">
        <v>0</v>
      </c>
      <c r="P154" s="45"/>
      <c r="Q154" s="45">
        <f>2123180+1763600+2183+79156</f>
        <v>3968119</v>
      </c>
      <c r="R154" s="45"/>
      <c r="S154" s="45">
        <f t="shared" si="10"/>
        <v>3972144</v>
      </c>
      <c r="T154" s="45"/>
      <c r="U154" s="44">
        <f>+G154-K154-S154</f>
        <v>0</v>
      </c>
    </row>
    <row r="155" spans="1:21" s="44" customFormat="1" ht="12.75" customHeight="1">
      <c r="A155" s="44" t="s">
        <v>184</v>
      </c>
      <c r="C155" s="44" t="s">
        <v>89</v>
      </c>
      <c r="E155" s="45">
        <v>4889614</v>
      </c>
      <c r="F155" s="45"/>
      <c r="G155" s="45">
        <v>9933025</v>
      </c>
      <c r="H155" s="45"/>
      <c r="I155" s="45">
        <v>2490436</v>
      </c>
      <c r="J155" s="45"/>
      <c r="K155" s="45">
        <v>3401974</v>
      </c>
      <c r="L155" s="45"/>
      <c r="M155" s="45">
        <f>665410+28546</f>
        <v>693956</v>
      </c>
      <c r="N155" s="45"/>
      <c r="O155" s="45">
        <v>0</v>
      </c>
      <c r="P155" s="45"/>
      <c r="Q155" s="45">
        <f>2106579+1991001+144038+1179011+416466</f>
        <v>5837095</v>
      </c>
      <c r="R155" s="45"/>
      <c r="S155" s="45">
        <f t="shared" si="10"/>
        <v>6531051</v>
      </c>
      <c r="T155" s="45"/>
      <c r="U155" s="44">
        <f t="shared" si="11"/>
        <v>0</v>
      </c>
    </row>
    <row r="156" spans="1:21" s="44" customFormat="1" ht="12.75" customHeight="1">
      <c r="A156" s="44" t="s">
        <v>181</v>
      </c>
      <c r="C156" s="44" t="s">
        <v>125</v>
      </c>
      <c r="E156" s="45">
        <f>3223002+3624123+449143+33265+443500+361190</f>
        <v>8134223</v>
      </c>
      <c r="F156" s="45"/>
      <c r="G156" s="45">
        <v>23596416</v>
      </c>
      <c r="H156" s="45"/>
      <c r="I156" s="45">
        <v>11458247</v>
      </c>
      <c r="J156" s="45"/>
      <c r="K156" s="45">
        <v>15431361</v>
      </c>
      <c r="L156" s="45"/>
      <c r="M156" s="45">
        <f>1806236+94141+337700+8048+876562</f>
        <v>3122687</v>
      </c>
      <c r="N156" s="45"/>
      <c r="O156" s="45">
        <v>0</v>
      </c>
      <c r="P156" s="45"/>
      <c r="Q156" s="45">
        <f>2403167+2850367-211166</f>
        <v>5042368</v>
      </c>
      <c r="R156" s="45"/>
      <c r="S156" s="45">
        <f t="shared" si="10"/>
        <v>8165055</v>
      </c>
      <c r="T156" s="45"/>
      <c r="U156" s="44">
        <f t="shared" si="11"/>
        <v>0</v>
      </c>
    </row>
    <row r="157" spans="1:21" s="44" customFormat="1" ht="12.75" customHeight="1">
      <c r="A157" s="44" t="s">
        <v>185</v>
      </c>
      <c r="C157" s="44" t="s">
        <v>80</v>
      </c>
      <c r="E157" s="45">
        <v>15080509</v>
      </c>
      <c r="F157" s="45"/>
      <c r="G157" s="45">
        <v>21231472</v>
      </c>
      <c r="H157" s="45"/>
      <c r="I157" s="45">
        <v>2112120</v>
      </c>
      <c r="J157" s="45"/>
      <c r="K157" s="45">
        <v>7561707</v>
      </c>
      <c r="L157" s="45"/>
      <c r="M157" s="45">
        <f>103576+15229+799813+1500000+159699</f>
        <v>2578317</v>
      </c>
      <c r="N157" s="45"/>
      <c r="O157" s="45">
        <v>0</v>
      </c>
      <c r="P157" s="45"/>
      <c r="Q157" s="45">
        <f>10103398+3791096-2803046</f>
        <v>11091448</v>
      </c>
      <c r="R157" s="45"/>
      <c r="S157" s="45">
        <f t="shared" si="10"/>
        <v>13669765</v>
      </c>
      <c r="T157" s="45"/>
      <c r="U157" s="44">
        <f t="shared" si="11"/>
        <v>0</v>
      </c>
    </row>
    <row r="158" spans="1:21" s="44" customFormat="1" ht="12.75" customHeight="1"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8" t="s">
        <v>484</v>
      </c>
      <c r="T158" s="45"/>
    </row>
    <row r="159" spans="1:21" s="44" customFormat="1" ht="12.75" customHeight="1">
      <c r="A159" s="44" t="s">
        <v>186</v>
      </c>
      <c r="C159" s="44" t="s">
        <v>15</v>
      </c>
      <c r="E159" s="94">
        <f>4410547+59725+857000</f>
        <v>5327272</v>
      </c>
      <c r="F159" s="94"/>
      <c r="G159" s="94">
        <v>10429915</v>
      </c>
      <c r="H159" s="94"/>
      <c r="I159" s="94">
        <v>2477836</v>
      </c>
      <c r="J159" s="94"/>
      <c r="K159" s="94">
        <v>6361261</v>
      </c>
      <c r="L159" s="94"/>
      <c r="M159" s="94">
        <f>752601+63098+30929</f>
        <v>846628</v>
      </c>
      <c r="N159" s="94"/>
      <c r="O159" s="94">
        <v>857000</v>
      </c>
      <c r="P159" s="94"/>
      <c r="Q159" s="94">
        <f>1326269+1490841-452084</f>
        <v>2365026</v>
      </c>
      <c r="R159" s="94"/>
      <c r="S159" s="94">
        <f t="shared" si="10"/>
        <v>4068654</v>
      </c>
      <c r="T159" s="45"/>
      <c r="U159" s="44">
        <f t="shared" si="11"/>
        <v>0</v>
      </c>
    </row>
    <row r="160" spans="1:21" s="44" customFormat="1" ht="12.75" customHeight="1">
      <c r="A160" s="44" t="s">
        <v>187</v>
      </c>
      <c r="C160" s="44" t="s">
        <v>27</v>
      </c>
      <c r="E160" s="45">
        <v>9779070</v>
      </c>
      <c r="F160" s="45"/>
      <c r="G160" s="45">
        <v>29020115</v>
      </c>
      <c r="H160" s="45"/>
      <c r="I160" s="45">
        <v>12919898</v>
      </c>
      <c r="J160" s="45"/>
      <c r="K160" s="45">
        <v>14726485</v>
      </c>
      <c r="L160" s="45"/>
      <c r="M160" s="45">
        <v>651216</v>
      </c>
      <c r="N160" s="45"/>
      <c r="O160" s="45">
        <v>0</v>
      </c>
      <c r="P160" s="45"/>
      <c r="Q160" s="45">
        <v>13642414</v>
      </c>
      <c r="R160" s="45"/>
      <c r="S160" s="45">
        <f t="shared" si="10"/>
        <v>14293630</v>
      </c>
      <c r="T160" s="45"/>
      <c r="U160" s="44">
        <f>+G160-K160-S160</f>
        <v>0</v>
      </c>
    </row>
    <row r="161" spans="1:21" s="44" customFormat="1" ht="12.75" customHeight="1">
      <c r="A161" s="44" t="s">
        <v>189</v>
      </c>
      <c r="C161" s="44" t="s">
        <v>17</v>
      </c>
      <c r="E161" s="45">
        <v>8474665</v>
      </c>
      <c r="F161" s="45"/>
      <c r="G161" s="45">
        <v>22168030</v>
      </c>
      <c r="H161" s="45"/>
      <c r="I161" s="45">
        <v>12554220</v>
      </c>
      <c r="J161" s="45"/>
      <c r="K161" s="45">
        <v>14163162</v>
      </c>
      <c r="L161" s="45"/>
      <c r="M161" s="45">
        <f>816801+55400</f>
        <v>872201</v>
      </c>
      <c r="N161" s="45"/>
      <c r="O161" s="45">
        <v>0</v>
      </c>
      <c r="P161" s="45"/>
      <c r="Q161" s="45">
        <f>2241155+3975247+260354+655911</f>
        <v>7132667</v>
      </c>
      <c r="R161" s="45"/>
      <c r="S161" s="45">
        <f t="shared" si="10"/>
        <v>8004868</v>
      </c>
      <c r="T161" s="45"/>
      <c r="U161" s="44">
        <f t="shared" si="11"/>
        <v>0</v>
      </c>
    </row>
    <row r="162" spans="1:21" s="44" customFormat="1" ht="12.75" customHeight="1">
      <c r="A162" s="44" t="s">
        <v>188</v>
      </c>
      <c r="C162" s="44" t="s">
        <v>27</v>
      </c>
      <c r="E162" s="45">
        <v>13803460</v>
      </c>
      <c r="F162" s="45"/>
      <c r="G162" s="45">
        <v>24693266</v>
      </c>
      <c r="H162" s="45"/>
      <c r="I162" s="45">
        <v>7822905</v>
      </c>
      <c r="J162" s="45"/>
      <c r="K162" s="45">
        <v>9380754</v>
      </c>
      <c r="L162" s="45"/>
      <c r="M162" s="45">
        <f>272619+125498+472894</f>
        <v>871011</v>
      </c>
      <c r="N162" s="45"/>
      <c r="O162" s="45">
        <v>0</v>
      </c>
      <c r="P162" s="45"/>
      <c r="Q162" s="45">
        <f>2144391+1870664+1234858+9191588</f>
        <v>14441501</v>
      </c>
      <c r="R162" s="45"/>
      <c r="S162" s="45">
        <f t="shared" si="10"/>
        <v>15312512</v>
      </c>
      <c r="T162" s="45"/>
      <c r="U162" s="44">
        <f t="shared" si="11"/>
        <v>0</v>
      </c>
    </row>
    <row r="163" spans="1:21" s="44" customFormat="1" ht="12.75" customHeight="1">
      <c r="A163" s="44" t="s">
        <v>190</v>
      </c>
      <c r="C163" s="44" t="s">
        <v>47</v>
      </c>
      <c r="E163" s="45">
        <v>3720473</v>
      </c>
      <c r="F163" s="45"/>
      <c r="G163" s="45">
        <v>5839811</v>
      </c>
      <c r="H163" s="45"/>
      <c r="I163" s="45">
        <v>1065133</v>
      </c>
      <c r="J163" s="45"/>
      <c r="K163" s="45">
        <v>1625585</v>
      </c>
      <c r="L163" s="45"/>
      <c r="M163" s="45">
        <f>199475+27342+48772+200000</f>
        <v>475589</v>
      </c>
      <c r="N163" s="45"/>
      <c r="O163" s="45">
        <v>0</v>
      </c>
      <c r="P163" s="45"/>
      <c r="Q163" s="45">
        <f>426584+679658+294215+2338180</f>
        <v>3738637</v>
      </c>
      <c r="R163" s="45"/>
      <c r="S163" s="45">
        <f t="shared" si="10"/>
        <v>4214226</v>
      </c>
      <c r="T163" s="45"/>
      <c r="U163" s="44">
        <f t="shared" si="11"/>
        <v>0</v>
      </c>
    </row>
    <row r="164" spans="1:21" s="44" customFormat="1" ht="12.75" customHeight="1">
      <c r="A164" s="44" t="s">
        <v>191</v>
      </c>
      <c r="C164" s="44" t="s">
        <v>13</v>
      </c>
      <c r="E164" s="45">
        <f>4819045+25670+209473</f>
        <v>5054188</v>
      </c>
      <c r="F164" s="45"/>
      <c r="G164" s="45">
        <v>10950921</v>
      </c>
      <c r="H164" s="45"/>
      <c r="I164" s="45">
        <v>4596052</v>
      </c>
      <c r="J164" s="45"/>
      <c r="K164" s="45">
        <v>8764356</v>
      </c>
      <c r="L164" s="45"/>
      <c r="M164" s="45">
        <v>477963</v>
      </c>
      <c r="N164" s="45"/>
      <c r="O164" s="45">
        <v>0</v>
      </c>
      <c r="P164" s="45"/>
      <c r="Q164" s="45">
        <f>571583+2460192-67362-1255811</f>
        <v>1708602</v>
      </c>
      <c r="R164" s="45"/>
      <c r="S164" s="45">
        <f t="shared" si="10"/>
        <v>2186565</v>
      </c>
      <c r="T164" s="45"/>
      <c r="U164" s="44">
        <f t="shared" si="11"/>
        <v>0</v>
      </c>
    </row>
    <row r="165" spans="1:21" s="44" customFormat="1" ht="12.75" customHeight="1">
      <c r="A165" s="44" t="s">
        <v>192</v>
      </c>
      <c r="C165" s="44" t="s">
        <v>38</v>
      </c>
      <c r="E165" s="45">
        <f>9385977+4968</f>
        <v>9390945</v>
      </c>
      <c r="F165" s="45"/>
      <c r="G165" s="45">
        <v>15533392</v>
      </c>
      <c r="H165" s="45"/>
      <c r="I165" s="45">
        <v>691330</v>
      </c>
      <c r="J165" s="45"/>
      <c r="K165" s="45">
        <v>3269575</v>
      </c>
      <c r="L165" s="45"/>
      <c r="M165" s="45">
        <f>1401100+1695910+4832+4172714+80031</f>
        <v>7354587</v>
      </c>
      <c r="N165" s="45"/>
      <c r="O165" s="45">
        <v>0</v>
      </c>
      <c r="P165" s="45"/>
      <c r="Q165" s="45">
        <f>2550523+1357116+1001555+36</f>
        <v>4909230</v>
      </c>
      <c r="R165" s="45"/>
      <c r="S165" s="45">
        <f t="shared" si="10"/>
        <v>12263817</v>
      </c>
      <c r="T165" s="45"/>
      <c r="U165" s="44">
        <f t="shared" si="11"/>
        <v>0</v>
      </c>
    </row>
    <row r="166" spans="1:21" s="44" customFormat="1" ht="12.75" customHeight="1">
      <c r="A166" s="44" t="s">
        <v>193</v>
      </c>
      <c r="C166" s="44" t="s">
        <v>45</v>
      </c>
      <c r="E166" s="45">
        <f>6123456+752308</f>
        <v>6875764</v>
      </c>
      <c r="F166" s="45"/>
      <c r="G166" s="45">
        <v>17761739</v>
      </c>
      <c r="H166" s="45"/>
      <c r="I166" s="45">
        <v>8036073</v>
      </c>
      <c r="J166" s="45"/>
      <c r="K166" s="45">
        <v>10617403</v>
      </c>
      <c r="L166" s="45"/>
      <c r="M166" s="45">
        <v>323331</v>
      </c>
      <c r="N166" s="45"/>
      <c r="O166" s="45">
        <v>0</v>
      </c>
      <c r="P166" s="45"/>
      <c r="Q166" s="45">
        <f>7144336-323331</f>
        <v>6821005</v>
      </c>
      <c r="R166" s="45"/>
      <c r="S166" s="45">
        <f t="shared" si="10"/>
        <v>7144336</v>
      </c>
      <c r="T166" s="45"/>
      <c r="U166" s="44">
        <f t="shared" si="11"/>
        <v>0</v>
      </c>
    </row>
    <row r="167" spans="1:21" s="44" customFormat="1" ht="12.75" customHeight="1">
      <c r="A167" s="44" t="s">
        <v>194</v>
      </c>
      <c r="C167" s="44" t="s">
        <v>66</v>
      </c>
      <c r="E167" s="45">
        <f>15312011+10986</f>
        <v>15322997</v>
      </c>
      <c r="F167" s="45"/>
      <c r="G167" s="45">
        <v>20953978</v>
      </c>
      <c r="H167" s="45"/>
      <c r="I167" s="45">
        <v>4489078</v>
      </c>
      <c r="J167" s="45"/>
      <c r="K167" s="45">
        <v>8592536</v>
      </c>
      <c r="L167" s="45"/>
      <c r="M167" s="45">
        <f>602115+35368+157242+50000</f>
        <v>844725</v>
      </c>
      <c r="N167" s="45"/>
      <c r="O167" s="45">
        <v>3075</v>
      </c>
      <c r="P167" s="45"/>
      <c r="Q167" s="45">
        <f>7506633+2714897+1281003+11109</f>
        <v>11513642</v>
      </c>
      <c r="R167" s="45"/>
      <c r="S167" s="45">
        <f t="shared" si="10"/>
        <v>12361442</v>
      </c>
      <c r="T167" s="45"/>
      <c r="U167" s="44">
        <f t="shared" si="11"/>
        <v>0</v>
      </c>
    </row>
    <row r="168" spans="1:21" s="44" customFormat="1" ht="12.75" customHeight="1">
      <c r="A168" s="44" t="s">
        <v>195</v>
      </c>
      <c r="C168" s="44" t="s">
        <v>17</v>
      </c>
      <c r="E168" s="45">
        <f>7019442+9804832</f>
        <v>16824274</v>
      </c>
      <c r="F168" s="45"/>
      <c r="G168" s="45">
        <v>20590128</v>
      </c>
      <c r="H168" s="45"/>
      <c r="I168" s="45">
        <v>1592115</v>
      </c>
      <c r="J168" s="45"/>
      <c r="K168" s="45">
        <v>8170395</v>
      </c>
      <c r="L168" s="45"/>
      <c r="M168" s="45">
        <f>4361321+16263+51948+396698+27259</f>
        <v>4853489</v>
      </c>
      <c r="N168" s="45"/>
      <c r="O168" s="45">
        <v>0</v>
      </c>
      <c r="P168" s="45"/>
      <c r="Q168" s="45">
        <f>9585034+762799-2781589</f>
        <v>7566244</v>
      </c>
      <c r="R168" s="45"/>
      <c r="S168" s="45">
        <f t="shared" si="10"/>
        <v>12419733</v>
      </c>
      <c r="T168" s="45"/>
      <c r="U168" s="44">
        <f t="shared" si="11"/>
        <v>0</v>
      </c>
    </row>
    <row r="169" spans="1:21" s="121" customFormat="1" ht="12.75" hidden="1" customHeight="1">
      <c r="A169" s="44" t="s">
        <v>196</v>
      </c>
      <c r="B169" s="44"/>
      <c r="C169" s="44" t="s">
        <v>27</v>
      </c>
      <c r="D169" s="44"/>
      <c r="E169" s="45">
        <v>0</v>
      </c>
      <c r="F169" s="45"/>
      <c r="G169" s="45">
        <v>0</v>
      </c>
      <c r="H169" s="45"/>
      <c r="I169" s="45">
        <v>0</v>
      </c>
      <c r="J169" s="45"/>
      <c r="K169" s="45">
        <v>0</v>
      </c>
      <c r="L169" s="45"/>
      <c r="M169" s="45">
        <v>0</v>
      </c>
      <c r="N169" s="45"/>
      <c r="O169" s="45">
        <v>0</v>
      </c>
      <c r="P169" s="45"/>
      <c r="Q169" s="45">
        <v>0</v>
      </c>
      <c r="R169" s="45"/>
      <c r="S169" s="45">
        <f t="shared" si="10"/>
        <v>0</v>
      </c>
      <c r="T169" s="127"/>
      <c r="U169" s="121">
        <f t="shared" si="11"/>
        <v>0</v>
      </c>
    </row>
    <row r="170" spans="1:21" s="44" customFormat="1" ht="12.75" customHeight="1">
      <c r="A170" s="44" t="s">
        <v>402</v>
      </c>
      <c r="C170" s="44" t="s">
        <v>153</v>
      </c>
      <c r="E170" s="45">
        <f>5386228+27546</f>
        <v>5413774</v>
      </c>
      <c r="F170" s="45"/>
      <c r="G170" s="45">
        <v>7231977</v>
      </c>
      <c r="H170" s="45"/>
      <c r="I170" s="45">
        <v>474041</v>
      </c>
      <c r="J170" s="45"/>
      <c r="K170" s="45">
        <v>1280350</v>
      </c>
      <c r="L170" s="45"/>
      <c r="M170" s="45">
        <f>284709+57203+186800+269615</f>
        <v>798327</v>
      </c>
      <c r="N170" s="45"/>
      <c r="O170" s="45">
        <v>0</v>
      </c>
      <c r="P170" s="45"/>
      <c r="Q170" s="45">
        <f>2086285+1787615+1279400</f>
        <v>5153300</v>
      </c>
      <c r="R170" s="45"/>
      <c r="S170" s="45">
        <f t="shared" si="10"/>
        <v>5951627</v>
      </c>
      <c r="T170" s="45"/>
      <c r="U170" s="44">
        <f t="shared" si="11"/>
        <v>0</v>
      </c>
    </row>
    <row r="171" spans="1:21" s="44" customFormat="1" ht="12.75" customHeight="1">
      <c r="A171" s="44" t="s">
        <v>197</v>
      </c>
      <c r="C171" s="44" t="s">
        <v>163</v>
      </c>
      <c r="E171" s="45">
        <f>4350995+27509405</f>
        <v>31860400</v>
      </c>
      <c r="F171" s="45"/>
      <c r="G171" s="45">
        <v>45996370</v>
      </c>
      <c r="H171" s="45"/>
      <c r="I171" s="45">
        <v>9324254</v>
      </c>
      <c r="J171" s="45"/>
      <c r="K171" s="45">
        <v>16977918</v>
      </c>
      <c r="L171" s="45"/>
      <c r="M171" s="45">
        <f>3807779+104802+527216+86538</f>
        <v>4526335</v>
      </c>
      <c r="N171" s="45"/>
      <c r="O171" s="45">
        <v>0</v>
      </c>
      <c r="P171" s="45"/>
      <c r="Q171" s="45">
        <f>15742231+3445100+6697+5298089</f>
        <v>24492117</v>
      </c>
      <c r="R171" s="45"/>
      <c r="S171" s="45">
        <f t="shared" si="10"/>
        <v>29018452</v>
      </c>
      <c r="T171" s="45"/>
      <c r="U171" s="44">
        <f t="shared" si="11"/>
        <v>0</v>
      </c>
    </row>
    <row r="172" spans="1:21" s="44" customFormat="1" ht="12.75" customHeight="1">
      <c r="A172" s="44" t="s">
        <v>198</v>
      </c>
      <c r="C172" s="44" t="s">
        <v>199</v>
      </c>
      <c r="E172" s="45">
        <v>5525621</v>
      </c>
      <c r="F172" s="45"/>
      <c r="G172" s="45">
        <v>7933065</v>
      </c>
      <c r="H172" s="45"/>
      <c r="I172" s="45">
        <v>1338149</v>
      </c>
      <c r="J172" s="45"/>
      <c r="K172" s="45">
        <v>2927975</v>
      </c>
      <c r="L172" s="45"/>
      <c r="M172" s="45">
        <v>578608</v>
      </c>
      <c r="N172" s="45"/>
      <c r="O172" s="45">
        <v>0</v>
      </c>
      <c r="P172" s="45"/>
      <c r="Q172" s="45">
        <f>3287216+895210+139179+104877</f>
        <v>4426482</v>
      </c>
      <c r="R172" s="45"/>
      <c r="S172" s="45">
        <f t="shared" si="10"/>
        <v>5005090</v>
      </c>
      <c r="T172" s="45"/>
      <c r="U172" s="44">
        <f t="shared" si="11"/>
        <v>0</v>
      </c>
    </row>
    <row r="173" spans="1:21" s="44" customFormat="1" ht="12.75" customHeight="1">
      <c r="A173" s="44" t="s">
        <v>200</v>
      </c>
      <c r="C173" s="44" t="s">
        <v>103</v>
      </c>
      <c r="E173" s="45">
        <v>13533014</v>
      </c>
      <c r="F173" s="45"/>
      <c r="G173" s="45">
        <v>19511671</v>
      </c>
      <c r="H173" s="45"/>
      <c r="I173" s="45">
        <v>2677894</v>
      </c>
      <c r="J173" s="45"/>
      <c r="K173" s="45">
        <v>5705152</v>
      </c>
      <c r="L173" s="45"/>
      <c r="M173" s="45">
        <f>3735750+2414338</f>
        <v>6150088</v>
      </c>
      <c r="N173" s="45"/>
      <c r="O173" s="45">
        <v>0</v>
      </c>
      <c r="P173" s="45"/>
      <c r="Q173" s="45">
        <f>6148236+36388+1471807</f>
        <v>7656431</v>
      </c>
      <c r="R173" s="45"/>
      <c r="S173" s="45">
        <f t="shared" si="10"/>
        <v>13806519</v>
      </c>
      <c r="T173" s="45"/>
      <c r="U173" s="44">
        <f t="shared" si="11"/>
        <v>0</v>
      </c>
    </row>
    <row r="174" spans="1:21" s="44" customFormat="1" ht="12.75" customHeight="1">
      <c r="A174" s="44" t="s">
        <v>201</v>
      </c>
      <c r="C174" s="44" t="s">
        <v>92</v>
      </c>
      <c r="E174" s="45">
        <f>4894241+6967593</f>
        <v>11861834</v>
      </c>
      <c r="F174" s="45"/>
      <c r="G174" s="45">
        <v>18088351</v>
      </c>
      <c r="H174" s="45"/>
      <c r="I174" s="45">
        <v>1894596</v>
      </c>
      <c r="J174" s="45"/>
      <c r="K174" s="45">
        <v>7432120</v>
      </c>
      <c r="L174" s="45"/>
      <c r="M174" s="45">
        <f>1290552+91482+179209+208911+984940</f>
        <v>2755094</v>
      </c>
      <c r="N174" s="45"/>
      <c r="O174" s="45">
        <v>0</v>
      </c>
      <c r="P174" s="45"/>
      <c r="Q174" s="45">
        <f>6382627+1475309-1676423+1493574+226050</f>
        <v>7901137</v>
      </c>
      <c r="R174" s="45"/>
      <c r="S174" s="45">
        <f t="shared" si="10"/>
        <v>10656231</v>
      </c>
      <c r="T174" s="45"/>
      <c r="U174" s="44">
        <f t="shared" si="11"/>
        <v>0</v>
      </c>
    </row>
    <row r="175" spans="1:21" s="44" customFormat="1" ht="12.75" customHeight="1">
      <c r="A175" s="44" t="s">
        <v>202</v>
      </c>
      <c r="C175" s="44" t="s">
        <v>27</v>
      </c>
      <c r="E175" s="45">
        <f>10064894+1120211</f>
        <v>11185105</v>
      </c>
      <c r="F175" s="45"/>
      <c r="G175" s="45">
        <v>34518084</v>
      </c>
      <c r="H175" s="45"/>
      <c r="I175" s="45">
        <v>16273948</v>
      </c>
      <c r="J175" s="45"/>
      <c r="K175" s="45">
        <v>21019081</v>
      </c>
      <c r="L175" s="45"/>
      <c r="M175" s="45">
        <f>230505+596158+12605</f>
        <v>839268</v>
      </c>
      <c r="N175" s="45"/>
      <c r="O175" s="45">
        <v>0</v>
      </c>
      <c r="P175" s="45"/>
      <c r="Q175" s="45">
        <f>3381603+6083488+972034+2222610</f>
        <v>12659735</v>
      </c>
      <c r="R175" s="45"/>
      <c r="S175" s="45">
        <f t="shared" si="10"/>
        <v>13499003</v>
      </c>
      <c r="T175" s="45"/>
      <c r="U175" s="44">
        <f t="shared" si="11"/>
        <v>0</v>
      </c>
    </row>
    <row r="176" spans="1:21" s="44" customFormat="1" ht="12.75" customHeight="1">
      <c r="A176" s="44" t="s">
        <v>203</v>
      </c>
      <c r="C176" s="44" t="s">
        <v>27</v>
      </c>
      <c r="E176" s="45">
        <f>2469702+23126</f>
        <v>2492828</v>
      </c>
      <c r="F176" s="45"/>
      <c r="G176" s="45">
        <v>15007162</v>
      </c>
      <c r="H176" s="45"/>
      <c r="I176" s="45">
        <v>10797285</v>
      </c>
      <c r="J176" s="45"/>
      <c r="K176" s="45">
        <v>16016127</v>
      </c>
      <c r="L176" s="45"/>
      <c r="M176" s="45">
        <f>37117+31938+153770</f>
        <v>222825</v>
      </c>
      <c r="N176" s="45"/>
      <c r="O176" s="45">
        <v>0</v>
      </c>
      <c r="P176" s="45"/>
      <c r="Q176" s="45">
        <f>496045-37429+414273-2104679</f>
        <v>-1231790</v>
      </c>
      <c r="R176" s="45"/>
      <c r="S176" s="45">
        <f t="shared" si="10"/>
        <v>-1008965</v>
      </c>
      <c r="T176" s="45"/>
      <c r="U176" s="44">
        <f t="shared" si="11"/>
        <v>0</v>
      </c>
    </row>
    <row r="177" spans="1:21" s="44" customFormat="1" ht="12.75" customHeight="1">
      <c r="A177" s="44" t="s">
        <v>204</v>
      </c>
      <c r="C177" s="44" t="s">
        <v>125</v>
      </c>
      <c r="E177" s="45">
        <v>2781672</v>
      </c>
      <c r="F177" s="45"/>
      <c r="G177" s="45">
        <v>5944138</v>
      </c>
      <c r="H177" s="45"/>
      <c r="I177" s="45">
        <v>567004</v>
      </c>
      <c r="J177" s="45"/>
      <c r="K177" s="45">
        <v>3126187</v>
      </c>
      <c r="L177" s="45"/>
      <c r="M177" s="45">
        <f>24176+49896+30067</f>
        <v>104139</v>
      </c>
      <c r="N177" s="45"/>
      <c r="O177" s="45">
        <v>0</v>
      </c>
      <c r="P177" s="45"/>
      <c r="Q177" s="45">
        <f>1193775+1676979-156942</f>
        <v>2713812</v>
      </c>
      <c r="R177" s="45"/>
      <c r="S177" s="45">
        <f t="shared" si="10"/>
        <v>2817951</v>
      </c>
      <c r="T177" s="45"/>
      <c r="U177" s="44">
        <f t="shared" si="11"/>
        <v>0</v>
      </c>
    </row>
    <row r="178" spans="1:21" s="44" customFormat="1" ht="12.75" customHeight="1">
      <c r="A178" s="44" t="s">
        <v>205</v>
      </c>
      <c r="C178" s="44" t="s">
        <v>27</v>
      </c>
      <c r="E178" s="45">
        <v>1754574</v>
      </c>
      <c r="F178" s="45"/>
      <c r="G178" s="45">
        <v>8141894</v>
      </c>
      <c r="H178" s="45"/>
      <c r="I178" s="45">
        <v>4918231</v>
      </c>
      <c r="J178" s="45"/>
      <c r="K178" s="45">
        <v>6545374</v>
      </c>
      <c r="L178" s="45"/>
      <c r="M178" s="45">
        <f>236503+199683</f>
        <v>436186</v>
      </c>
      <c r="N178" s="45"/>
      <c r="O178" s="45">
        <v>0</v>
      </c>
      <c r="P178" s="45"/>
      <c r="Q178" s="45">
        <f>1401617+233202+242470-716955</f>
        <v>1160334</v>
      </c>
      <c r="R178" s="45"/>
      <c r="S178" s="45">
        <f t="shared" si="10"/>
        <v>1596520</v>
      </c>
      <c r="T178" s="45"/>
      <c r="U178" s="44">
        <f t="shared" si="11"/>
        <v>0</v>
      </c>
    </row>
    <row r="179" spans="1:21" s="44" customFormat="1" ht="12.75" customHeight="1">
      <c r="A179" s="44" t="s">
        <v>206</v>
      </c>
      <c r="C179" s="44" t="s">
        <v>47</v>
      </c>
      <c r="E179" s="45">
        <f>3254660+5351700</f>
        <v>8606360</v>
      </c>
      <c r="F179" s="45"/>
      <c r="G179" s="45">
        <v>16497567</v>
      </c>
      <c r="H179" s="45"/>
      <c r="I179" s="45">
        <v>4634818</v>
      </c>
      <c r="J179" s="45"/>
      <c r="K179" s="45">
        <v>13562811</v>
      </c>
      <c r="L179" s="45"/>
      <c r="M179" s="45">
        <f>1658259+105266+101963+469954</f>
        <v>2335442</v>
      </c>
      <c r="N179" s="45"/>
      <c r="O179" s="45">
        <v>0</v>
      </c>
      <c r="P179" s="45"/>
      <c r="Q179" s="45">
        <f>4991973+2230125+2935-6625719</f>
        <v>599314</v>
      </c>
      <c r="R179" s="45"/>
      <c r="S179" s="45">
        <f t="shared" si="10"/>
        <v>2934756</v>
      </c>
      <c r="T179" s="45"/>
      <c r="U179" s="44">
        <f t="shared" si="11"/>
        <v>0</v>
      </c>
    </row>
    <row r="180" spans="1:21" s="44" customFormat="1" ht="12.75" customHeight="1">
      <c r="A180" s="44" t="s">
        <v>207</v>
      </c>
      <c r="C180" s="44" t="s">
        <v>102</v>
      </c>
      <c r="E180" s="45">
        <v>5473902</v>
      </c>
      <c r="F180" s="45"/>
      <c r="G180" s="45">
        <v>10690651</v>
      </c>
      <c r="H180" s="45"/>
      <c r="I180" s="45">
        <v>4235046</v>
      </c>
      <c r="J180" s="45"/>
      <c r="K180" s="45">
        <v>8314305</v>
      </c>
      <c r="L180" s="45"/>
      <c r="M180" s="45">
        <f>137810+5756</f>
        <v>143566</v>
      </c>
      <c r="N180" s="45"/>
      <c r="O180" s="45">
        <v>0</v>
      </c>
      <c r="P180" s="45"/>
      <c r="Q180" s="45">
        <f>3045545+1168950+68407-2050122</f>
        <v>2232780</v>
      </c>
      <c r="R180" s="45"/>
      <c r="S180" s="45">
        <f t="shared" si="10"/>
        <v>2376346</v>
      </c>
      <c r="T180" s="45"/>
      <c r="U180" s="44">
        <f>+G180-K180-S180</f>
        <v>0</v>
      </c>
    </row>
    <row r="181" spans="1:21" s="44" customFormat="1" ht="12.75" customHeight="1">
      <c r="A181" s="44" t="s">
        <v>208</v>
      </c>
      <c r="C181" s="44" t="s">
        <v>209</v>
      </c>
      <c r="E181" s="45">
        <f>8577499+1958609</f>
        <v>10536108</v>
      </c>
      <c r="F181" s="45"/>
      <c r="G181" s="45">
        <v>28053929</v>
      </c>
      <c r="H181" s="45"/>
      <c r="I181" s="45">
        <v>3162542</v>
      </c>
      <c r="J181" s="45"/>
      <c r="K181" s="45">
        <v>4220980</v>
      </c>
      <c r="L181" s="45"/>
      <c r="M181" s="45">
        <f>12521223+3598037</f>
        <v>16119260</v>
      </c>
      <c r="N181" s="45"/>
      <c r="O181" s="45">
        <v>2479995</v>
      </c>
      <c r="P181" s="45"/>
      <c r="Q181" s="45">
        <v>5233694</v>
      </c>
      <c r="R181" s="45"/>
      <c r="S181" s="45">
        <f t="shared" si="10"/>
        <v>23832949</v>
      </c>
      <c r="T181" s="45"/>
      <c r="U181" s="44">
        <f>+G181-K181-S181</f>
        <v>0</v>
      </c>
    </row>
    <row r="182" spans="1:21" s="44" customFormat="1" ht="12.75" customHeight="1">
      <c r="A182" s="44" t="s">
        <v>210</v>
      </c>
      <c r="C182" s="44" t="s">
        <v>211</v>
      </c>
      <c r="E182" s="45">
        <v>1786586</v>
      </c>
      <c r="F182" s="45"/>
      <c r="G182" s="45">
        <v>5095864</v>
      </c>
      <c r="H182" s="45"/>
      <c r="I182" s="45">
        <v>2205400</v>
      </c>
      <c r="J182" s="45"/>
      <c r="K182" s="45">
        <v>2960128</v>
      </c>
      <c r="L182" s="45"/>
      <c r="M182" s="45">
        <f>445373+23756+18373+554821</f>
        <v>1042323</v>
      </c>
      <c r="N182" s="45"/>
      <c r="O182" s="45">
        <v>0</v>
      </c>
      <c r="P182" s="45"/>
      <c r="Q182" s="45">
        <f>725870+208064+43012+116467</f>
        <v>1093413</v>
      </c>
      <c r="R182" s="45"/>
      <c r="S182" s="45">
        <f t="shared" si="10"/>
        <v>2135736</v>
      </c>
      <c r="T182" s="45"/>
      <c r="U182" s="44">
        <f>+G182-K182-S182</f>
        <v>0</v>
      </c>
    </row>
    <row r="183" spans="1:21" s="44" customFormat="1" ht="12.75" customHeight="1">
      <c r="A183" s="44" t="s">
        <v>212</v>
      </c>
      <c r="C183" s="44" t="s">
        <v>213</v>
      </c>
      <c r="E183" s="45">
        <v>3697935</v>
      </c>
      <c r="F183" s="45"/>
      <c r="G183" s="45">
        <v>12902281</v>
      </c>
      <c r="H183" s="45"/>
      <c r="I183" s="45">
        <v>6171305</v>
      </c>
      <c r="J183" s="45"/>
      <c r="K183" s="45">
        <v>8248437</v>
      </c>
      <c r="L183" s="45"/>
      <c r="M183" s="45">
        <f>515781+23537+67411+11191+26843</f>
        <v>644763</v>
      </c>
      <c r="N183" s="45"/>
      <c r="O183" s="45">
        <v>0</v>
      </c>
      <c r="P183" s="45"/>
      <c r="Q183" s="45">
        <f>-72347+671599+3250194+159635</f>
        <v>4009081</v>
      </c>
      <c r="R183" s="45"/>
      <c r="S183" s="45">
        <f t="shared" si="10"/>
        <v>4653844</v>
      </c>
      <c r="T183" s="45"/>
      <c r="U183" s="44">
        <f t="shared" si="11"/>
        <v>0</v>
      </c>
    </row>
    <row r="184" spans="1:21" s="44" customFormat="1" ht="12.75" customHeight="1">
      <c r="A184" s="44" t="s">
        <v>214</v>
      </c>
      <c r="C184" s="44" t="s">
        <v>86</v>
      </c>
      <c r="E184" s="45">
        <v>8419501</v>
      </c>
      <c r="F184" s="45"/>
      <c r="G184" s="45">
        <v>12284336</v>
      </c>
      <c r="H184" s="45"/>
      <c r="I184" s="45">
        <v>3422801</v>
      </c>
      <c r="J184" s="45"/>
      <c r="K184" s="45">
        <v>3739905</v>
      </c>
      <c r="L184" s="45"/>
      <c r="M184" s="45">
        <f>345594+25890+22624</f>
        <v>394108</v>
      </c>
      <c r="N184" s="45"/>
      <c r="O184" s="45">
        <v>0</v>
      </c>
      <c r="P184" s="45"/>
      <c r="Q184" s="45">
        <f>6422566+1258143+441286+28328</f>
        <v>8150323</v>
      </c>
      <c r="R184" s="45"/>
      <c r="S184" s="45">
        <f t="shared" si="10"/>
        <v>8544431</v>
      </c>
      <c r="T184" s="45"/>
      <c r="U184" s="44">
        <f t="shared" si="11"/>
        <v>0</v>
      </c>
    </row>
    <row r="185" spans="1:21" s="44" customFormat="1" ht="12.75" customHeight="1">
      <c r="A185" s="44" t="s">
        <v>215</v>
      </c>
      <c r="C185" s="44" t="s">
        <v>22</v>
      </c>
      <c r="E185" s="45">
        <f>6130422+469</f>
        <v>6130891</v>
      </c>
      <c r="F185" s="45"/>
      <c r="G185" s="45">
        <v>16171665</v>
      </c>
      <c r="H185" s="45"/>
      <c r="I185" s="45">
        <v>2389865</v>
      </c>
      <c r="J185" s="45"/>
      <c r="K185" s="45">
        <v>2999488</v>
      </c>
      <c r="L185" s="45"/>
      <c r="M185" s="45">
        <f>612135+5555319+4149</f>
        <v>6171603</v>
      </c>
      <c r="N185" s="45"/>
      <c r="O185" s="45">
        <v>0</v>
      </c>
      <c r="P185" s="45"/>
      <c r="Q185" s="45">
        <f>3126574+3216422+657578</f>
        <v>7000574</v>
      </c>
      <c r="R185" s="45"/>
      <c r="S185" s="45">
        <f t="shared" si="10"/>
        <v>13172177</v>
      </c>
      <c r="T185" s="45"/>
      <c r="U185" s="44">
        <f t="shared" si="11"/>
        <v>0</v>
      </c>
    </row>
    <row r="186" spans="1:21" s="44" customFormat="1" ht="12.75" customHeight="1">
      <c r="A186" s="44" t="s">
        <v>216</v>
      </c>
      <c r="C186" s="44" t="s">
        <v>45</v>
      </c>
      <c r="E186" s="45">
        <v>1891820</v>
      </c>
      <c r="F186" s="45"/>
      <c r="G186" s="45">
        <v>6197493</v>
      </c>
      <c r="H186" s="45"/>
      <c r="I186" s="45">
        <v>1889368</v>
      </c>
      <c r="J186" s="45"/>
      <c r="K186" s="45">
        <v>3575786</v>
      </c>
      <c r="L186" s="45"/>
      <c r="M186" s="45">
        <f>1696+900545+493750</f>
        <v>1395991</v>
      </c>
      <c r="N186" s="45"/>
      <c r="O186" s="45">
        <v>0</v>
      </c>
      <c r="P186" s="45"/>
      <c r="Q186" s="45">
        <f>337533+75026-49727+862884</f>
        <v>1225716</v>
      </c>
      <c r="R186" s="45"/>
      <c r="S186" s="45">
        <f t="shared" si="10"/>
        <v>2621707</v>
      </c>
      <c r="T186" s="45"/>
      <c r="U186" s="44">
        <f t="shared" si="11"/>
        <v>0</v>
      </c>
    </row>
    <row r="187" spans="1:21" s="44" customFormat="1" ht="12.75" customHeight="1">
      <c r="A187" s="44" t="s">
        <v>217</v>
      </c>
      <c r="C187" s="44" t="s">
        <v>43</v>
      </c>
      <c r="E187" s="45">
        <f>6074582+9983245</f>
        <v>16057827</v>
      </c>
      <c r="F187" s="45"/>
      <c r="G187" s="45">
        <v>22875930</v>
      </c>
      <c r="H187" s="45"/>
      <c r="I187" s="45">
        <v>3648758</v>
      </c>
      <c r="J187" s="45"/>
      <c r="K187" s="45">
        <v>4789101</v>
      </c>
      <c r="L187" s="45"/>
      <c r="M187" s="45">
        <f>1121908+27801+259079+2423405</f>
        <v>3832193</v>
      </c>
      <c r="N187" s="45"/>
      <c r="O187" s="45">
        <v>2326223</v>
      </c>
      <c r="P187" s="45"/>
      <c r="Q187" s="45">
        <f>5466472+3409188+3052753</f>
        <v>11928413</v>
      </c>
      <c r="R187" s="45"/>
      <c r="S187" s="45">
        <f t="shared" si="10"/>
        <v>18086829</v>
      </c>
      <c r="T187" s="45"/>
      <c r="U187" s="44">
        <f t="shared" si="11"/>
        <v>0</v>
      </c>
    </row>
    <row r="188" spans="1:21" s="44" customFormat="1" ht="12.75" hidden="1" customHeight="1">
      <c r="A188" s="44" t="s">
        <v>218</v>
      </c>
      <c r="C188" s="44" t="s">
        <v>27</v>
      </c>
      <c r="E188" s="45">
        <v>0</v>
      </c>
      <c r="F188" s="45"/>
      <c r="G188" s="45">
        <v>0</v>
      </c>
      <c r="H188" s="45"/>
      <c r="I188" s="45">
        <v>0</v>
      </c>
      <c r="J188" s="45"/>
      <c r="K188" s="45">
        <v>0</v>
      </c>
      <c r="L188" s="45"/>
      <c r="M188" s="45">
        <v>0</v>
      </c>
      <c r="N188" s="45"/>
      <c r="O188" s="45">
        <v>0</v>
      </c>
      <c r="P188" s="45"/>
      <c r="Q188" s="45">
        <v>0</v>
      </c>
      <c r="R188" s="45"/>
      <c r="S188" s="45">
        <f t="shared" si="10"/>
        <v>0</v>
      </c>
      <c r="T188" s="45"/>
      <c r="U188" s="44">
        <f t="shared" si="11"/>
        <v>0</v>
      </c>
    </row>
    <row r="189" spans="1:21" s="44" customFormat="1" ht="12.75" customHeight="1">
      <c r="A189" s="44" t="s">
        <v>219</v>
      </c>
      <c r="C189" s="44" t="s">
        <v>199</v>
      </c>
      <c r="E189" s="45">
        <f>1672983+2841</f>
        <v>1675824</v>
      </c>
      <c r="F189" s="45"/>
      <c r="G189" s="45">
        <v>3518799</v>
      </c>
      <c r="H189" s="45"/>
      <c r="I189" s="45">
        <v>1308631</v>
      </c>
      <c r="J189" s="45"/>
      <c r="K189" s="45">
        <v>1665639</v>
      </c>
      <c r="L189" s="45"/>
      <c r="M189" s="45">
        <f>183943+7484+52635</f>
        <v>244062</v>
      </c>
      <c r="N189" s="45"/>
      <c r="O189" s="45">
        <f>96660+133149</f>
        <v>229809</v>
      </c>
      <c r="P189" s="45"/>
      <c r="Q189" s="45">
        <f>686757+667455+78822-53745</f>
        <v>1379289</v>
      </c>
      <c r="R189" s="45"/>
      <c r="S189" s="45">
        <f t="shared" si="10"/>
        <v>1853160</v>
      </c>
      <c r="T189" s="45"/>
      <c r="U189" s="44">
        <f t="shared" si="11"/>
        <v>0</v>
      </c>
    </row>
    <row r="190" spans="1:21" s="44" customFormat="1" ht="12.75" customHeight="1">
      <c r="A190" s="44" t="s">
        <v>220</v>
      </c>
      <c r="C190" s="44" t="s">
        <v>66</v>
      </c>
      <c r="E190" s="45">
        <v>8216596</v>
      </c>
      <c r="F190" s="45"/>
      <c r="G190" s="45">
        <v>14080366</v>
      </c>
      <c r="H190" s="45"/>
      <c r="I190" s="45">
        <v>5055261</v>
      </c>
      <c r="J190" s="45"/>
      <c r="K190" s="45">
        <v>7320539</v>
      </c>
      <c r="L190" s="45"/>
      <c r="M190" s="45">
        <v>249313</v>
      </c>
      <c r="N190" s="45"/>
      <c r="O190" s="45">
        <v>540634</v>
      </c>
      <c r="P190" s="45"/>
      <c r="Q190" s="45">
        <f>7069234-1375593+4+276235</f>
        <v>5969880</v>
      </c>
      <c r="R190" s="45"/>
      <c r="S190" s="45">
        <f t="shared" si="10"/>
        <v>6759827</v>
      </c>
      <c r="T190" s="45"/>
      <c r="U190" s="44">
        <f t="shared" si="11"/>
        <v>0</v>
      </c>
    </row>
    <row r="191" spans="1:21" s="44" customFormat="1" ht="12.75" customHeight="1">
      <c r="A191" s="44" t="s">
        <v>221</v>
      </c>
      <c r="C191" s="44" t="s">
        <v>27</v>
      </c>
      <c r="E191" s="45">
        <v>12944214</v>
      </c>
      <c r="F191" s="45"/>
      <c r="G191" s="45">
        <v>25598123</v>
      </c>
      <c r="H191" s="45"/>
      <c r="I191" s="45">
        <v>9826753</v>
      </c>
      <c r="J191" s="45"/>
      <c r="K191" s="45">
        <v>13508944</v>
      </c>
      <c r="L191" s="45"/>
      <c r="M191" s="45">
        <f>2549963+184214</f>
        <v>2734177</v>
      </c>
      <c r="N191" s="45"/>
      <c r="O191" s="45">
        <v>0</v>
      </c>
      <c r="P191" s="45"/>
      <c r="Q191" s="45">
        <f>4363415+722896+296748+3971943</f>
        <v>9355002</v>
      </c>
      <c r="R191" s="45"/>
      <c r="S191" s="45">
        <f t="shared" si="10"/>
        <v>12089179</v>
      </c>
      <c r="T191" s="45"/>
      <c r="U191" s="44">
        <f t="shared" si="11"/>
        <v>0</v>
      </c>
    </row>
    <row r="192" spans="1:21" s="44" customFormat="1" ht="12.75" customHeight="1">
      <c r="A192" s="44" t="s">
        <v>222</v>
      </c>
      <c r="C192" s="44" t="s">
        <v>47</v>
      </c>
      <c r="E192" s="45">
        <v>5712280</v>
      </c>
      <c r="F192" s="45"/>
      <c r="G192" s="45">
        <v>8560450</v>
      </c>
      <c r="H192" s="45"/>
      <c r="I192" s="45">
        <v>2134016</v>
      </c>
      <c r="J192" s="45"/>
      <c r="K192" s="45">
        <v>3757057</v>
      </c>
      <c r="L192" s="45"/>
      <c r="M192" s="45">
        <f>320987+24800+42843</f>
        <v>388630</v>
      </c>
      <c r="N192" s="45"/>
      <c r="O192" s="45">
        <v>0</v>
      </c>
      <c r="P192" s="45"/>
      <c r="Q192" s="45">
        <f>3030980+992825-279777+670735</f>
        <v>4414763</v>
      </c>
      <c r="R192" s="45"/>
      <c r="S192" s="45">
        <f t="shared" si="10"/>
        <v>4803393</v>
      </c>
      <c r="T192" s="45"/>
      <c r="U192" s="44">
        <f t="shared" si="11"/>
        <v>0</v>
      </c>
    </row>
    <row r="193" spans="1:21" s="44" customFormat="1" ht="12.75" customHeight="1">
      <c r="A193" s="44" t="s">
        <v>223</v>
      </c>
      <c r="C193" s="44" t="s">
        <v>94</v>
      </c>
      <c r="E193" s="45">
        <f>2077540+176834</f>
        <v>2254374</v>
      </c>
      <c r="F193" s="45"/>
      <c r="G193" s="45">
        <v>12232304</v>
      </c>
      <c r="H193" s="45"/>
      <c r="I193" s="45">
        <v>1128332</v>
      </c>
      <c r="J193" s="45"/>
      <c r="K193" s="45">
        <v>2610688</v>
      </c>
      <c r="L193" s="45"/>
      <c r="M193" s="45">
        <f>714039+39682+61557+29840+176834</f>
        <v>1021952</v>
      </c>
      <c r="N193" s="45"/>
      <c r="O193" s="45">
        <v>0</v>
      </c>
      <c r="P193" s="45"/>
      <c r="Q193" s="45">
        <f>7580362+342605+676697</f>
        <v>8599664</v>
      </c>
      <c r="R193" s="45"/>
      <c r="S193" s="45">
        <f t="shared" si="10"/>
        <v>9621616</v>
      </c>
      <c r="T193" s="45"/>
      <c r="U193" s="44">
        <f t="shared" si="11"/>
        <v>0</v>
      </c>
    </row>
    <row r="194" spans="1:21" s="44" customFormat="1" ht="12.75" customHeight="1">
      <c r="A194" s="44" t="s">
        <v>76</v>
      </c>
      <c r="C194" s="44" t="s">
        <v>132</v>
      </c>
      <c r="E194" s="45">
        <v>9038711</v>
      </c>
      <c r="F194" s="45"/>
      <c r="G194" s="45">
        <v>25766295</v>
      </c>
      <c r="H194" s="45"/>
      <c r="I194" s="45">
        <v>12205207</v>
      </c>
      <c r="J194" s="45"/>
      <c r="K194" s="45">
        <v>18973037</v>
      </c>
      <c r="L194" s="45"/>
      <c r="M194" s="45">
        <f>1385295+19590+86561+2259561</f>
        <v>3751007</v>
      </c>
      <c r="N194" s="45"/>
      <c r="O194" s="45">
        <v>0</v>
      </c>
      <c r="P194" s="45"/>
      <c r="Q194" s="45">
        <f>2908251+2812530+743456-3421986</f>
        <v>3042251</v>
      </c>
      <c r="R194" s="45"/>
      <c r="S194" s="45">
        <f t="shared" si="10"/>
        <v>6793258</v>
      </c>
      <c r="T194" s="45"/>
      <c r="U194" s="44">
        <f t="shared" si="11"/>
        <v>0</v>
      </c>
    </row>
    <row r="195" spans="1:21" s="44" customFormat="1" ht="12.75" customHeight="1">
      <c r="A195" s="44" t="s">
        <v>224</v>
      </c>
      <c r="C195" s="44" t="s">
        <v>27</v>
      </c>
      <c r="E195" s="45">
        <v>6728703</v>
      </c>
      <c r="F195" s="45"/>
      <c r="G195" s="45">
        <v>15066013</v>
      </c>
      <c r="H195" s="45"/>
      <c r="I195" s="45">
        <v>7174496</v>
      </c>
      <c r="J195" s="45"/>
      <c r="K195" s="45">
        <v>10948624</v>
      </c>
      <c r="L195" s="45"/>
      <c r="M195" s="45">
        <f>31898+17135+661132</f>
        <v>710165</v>
      </c>
      <c r="N195" s="45"/>
      <c r="O195" s="45">
        <v>0</v>
      </c>
      <c r="P195" s="45"/>
      <c r="Q195" s="45">
        <v>3407224</v>
      </c>
      <c r="R195" s="45"/>
      <c r="S195" s="45">
        <f t="shared" si="10"/>
        <v>4117389</v>
      </c>
      <c r="T195" s="45"/>
      <c r="U195" s="44">
        <f t="shared" si="11"/>
        <v>0</v>
      </c>
    </row>
    <row r="196" spans="1:21" s="44" customFormat="1" ht="12.75" customHeight="1">
      <c r="A196" s="44" t="s">
        <v>225</v>
      </c>
      <c r="C196" s="44" t="s">
        <v>27</v>
      </c>
      <c r="E196" s="45">
        <v>37472889</v>
      </c>
      <c r="F196" s="45"/>
      <c r="G196" s="45">
        <v>61675863</v>
      </c>
      <c r="H196" s="45"/>
      <c r="I196" s="45">
        <v>18405614</v>
      </c>
      <c r="J196" s="45"/>
      <c r="K196" s="45">
        <v>21389908</v>
      </c>
      <c r="L196" s="45"/>
      <c r="M196" s="45">
        <f>2440240+4149531</f>
        <v>6589771</v>
      </c>
      <c r="N196" s="45"/>
      <c r="O196" s="45">
        <v>0</v>
      </c>
      <c r="P196" s="45"/>
      <c r="Q196" s="45">
        <f>10832936+8165918+1043472+13653858</f>
        <v>33696184</v>
      </c>
      <c r="R196" s="45"/>
      <c r="S196" s="45">
        <f t="shared" ref="S196:S207" si="12">+Q196+O196+M196</f>
        <v>40285955</v>
      </c>
      <c r="T196" s="94"/>
      <c r="U196" s="46">
        <f t="shared" si="11"/>
        <v>0</v>
      </c>
    </row>
    <row r="197" spans="1:21" s="44" customFormat="1" ht="12.75" customHeight="1">
      <c r="A197" s="44" t="s">
        <v>226</v>
      </c>
      <c r="C197" s="44" t="s">
        <v>45</v>
      </c>
      <c r="E197" s="45">
        <f>10735671+200000</f>
        <v>10935671</v>
      </c>
      <c r="F197" s="45"/>
      <c r="G197" s="45">
        <v>15814784</v>
      </c>
      <c r="H197" s="45"/>
      <c r="I197" s="45">
        <v>1791434</v>
      </c>
      <c r="J197" s="45"/>
      <c r="K197" s="45">
        <v>7989146</v>
      </c>
      <c r="L197" s="45"/>
      <c r="M197" s="45">
        <f>1992067+77507+112448+655583</f>
        <v>2837605</v>
      </c>
      <c r="N197" s="45"/>
      <c r="O197" s="45">
        <v>0</v>
      </c>
      <c r="P197" s="45"/>
      <c r="Q197" s="45">
        <f>4137756+3080558-2230281</f>
        <v>4988033</v>
      </c>
      <c r="R197" s="45"/>
      <c r="S197" s="45">
        <f t="shared" si="12"/>
        <v>7825638</v>
      </c>
      <c r="T197" s="45"/>
      <c r="U197" s="44">
        <f t="shared" si="11"/>
        <v>0</v>
      </c>
    </row>
    <row r="198" spans="1:21" s="46" customFormat="1" ht="12.75" customHeight="1">
      <c r="A198" s="46" t="s">
        <v>227</v>
      </c>
      <c r="C198" s="46" t="s">
        <v>17</v>
      </c>
      <c r="E198" s="45">
        <f>1547847+749</f>
        <v>1548596</v>
      </c>
      <c r="F198" s="45"/>
      <c r="G198" s="45">
        <v>8911323</v>
      </c>
      <c r="H198" s="45"/>
      <c r="I198" s="45">
        <v>3104509</v>
      </c>
      <c r="J198" s="45"/>
      <c r="K198" s="45">
        <v>7183691</v>
      </c>
      <c r="L198" s="45"/>
      <c r="M198" s="45">
        <f>14610+22100+156252</f>
        <v>192962</v>
      </c>
      <c r="N198" s="45"/>
      <c r="O198" s="45">
        <v>0</v>
      </c>
      <c r="P198" s="45"/>
      <c r="Q198" s="45">
        <f>194113+530711+480011+329835</f>
        <v>1534670</v>
      </c>
      <c r="R198" s="45"/>
      <c r="S198" s="45">
        <f t="shared" si="12"/>
        <v>1727632</v>
      </c>
      <c r="T198" s="45"/>
      <c r="U198" s="44">
        <f t="shared" si="11"/>
        <v>0</v>
      </c>
    </row>
    <row r="199" spans="1:21" s="44" customFormat="1" ht="12.75" customHeight="1">
      <c r="A199" s="44" t="s">
        <v>228</v>
      </c>
      <c r="C199" s="44" t="s">
        <v>153</v>
      </c>
      <c r="E199" s="45">
        <v>4022550</v>
      </c>
      <c r="F199" s="45"/>
      <c r="G199" s="45">
        <v>6110107</v>
      </c>
      <c r="H199" s="45"/>
      <c r="I199" s="45">
        <v>571134</v>
      </c>
      <c r="J199" s="45"/>
      <c r="K199" s="45">
        <v>1698256</v>
      </c>
      <c r="L199" s="45"/>
      <c r="M199" s="45">
        <f>154883+51821+48089+868551</f>
        <v>1123344</v>
      </c>
      <c r="N199" s="45"/>
      <c r="O199" s="45">
        <v>0</v>
      </c>
      <c r="P199" s="45"/>
      <c r="Q199" s="45">
        <f>598854+1444125+1245528</f>
        <v>3288507</v>
      </c>
      <c r="R199" s="45"/>
      <c r="S199" s="45">
        <f t="shared" si="12"/>
        <v>4411851</v>
      </c>
      <c r="T199" s="45"/>
      <c r="U199" s="44">
        <f t="shared" si="11"/>
        <v>0</v>
      </c>
    </row>
    <row r="200" spans="1:21" s="44" customFormat="1" ht="12.75" customHeight="1">
      <c r="A200" s="44" t="s">
        <v>229</v>
      </c>
      <c r="C200" s="44" t="s">
        <v>228</v>
      </c>
      <c r="E200" s="45">
        <f>2278772+211+19121</f>
        <v>2298104</v>
      </c>
      <c r="F200" s="45"/>
      <c r="G200" s="45">
        <v>15180983</v>
      </c>
      <c r="H200" s="45"/>
      <c r="I200" s="45">
        <v>5429024</v>
      </c>
      <c r="J200" s="45"/>
      <c r="K200" s="45">
        <v>8081177</v>
      </c>
      <c r="L200" s="45"/>
      <c r="M200" s="45">
        <f>117947+43280+820639</f>
        <v>981866</v>
      </c>
      <c r="N200" s="45"/>
      <c r="O200" s="45">
        <v>0</v>
      </c>
      <c r="P200" s="45"/>
      <c r="Q200" s="45">
        <f>3884890+1719035+514015</f>
        <v>6117940</v>
      </c>
      <c r="R200" s="45"/>
      <c r="S200" s="45">
        <f t="shared" si="12"/>
        <v>7099806</v>
      </c>
      <c r="T200" s="45"/>
      <c r="U200" s="44">
        <f t="shared" si="11"/>
        <v>0</v>
      </c>
    </row>
    <row r="201" spans="1:21" s="44" customFormat="1" ht="12.75" customHeight="1">
      <c r="A201" s="44" t="s">
        <v>230</v>
      </c>
      <c r="C201" s="44" t="s">
        <v>45</v>
      </c>
      <c r="E201" s="45">
        <f>2708709+3089</f>
        <v>2711798</v>
      </c>
      <c r="F201" s="45"/>
      <c r="G201" s="45">
        <v>4717348</v>
      </c>
      <c r="H201" s="45"/>
      <c r="I201" s="45">
        <v>1785822</v>
      </c>
      <c r="J201" s="45"/>
      <c r="K201" s="45">
        <v>3146639</v>
      </c>
      <c r="L201" s="45"/>
      <c r="M201" s="45">
        <f>737865+7123+26371</f>
        <v>771359</v>
      </c>
      <c r="N201" s="45"/>
      <c r="O201" s="45">
        <v>0</v>
      </c>
      <c r="P201" s="45"/>
      <c r="Q201" s="45">
        <f>957419+404022+39455-601546</f>
        <v>799350</v>
      </c>
      <c r="R201" s="45"/>
      <c r="S201" s="45">
        <f t="shared" si="12"/>
        <v>1570709</v>
      </c>
      <c r="T201" s="45"/>
      <c r="U201" s="44">
        <f t="shared" si="11"/>
        <v>0</v>
      </c>
    </row>
    <row r="202" spans="1:21" s="44" customFormat="1" ht="12.75" customHeight="1">
      <c r="A202" s="44" t="s">
        <v>231</v>
      </c>
      <c r="C202" s="44" t="s">
        <v>27</v>
      </c>
      <c r="E202" s="45">
        <v>35470196</v>
      </c>
      <c r="F202" s="45"/>
      <c r="G202" s="45">
        <v>51548029</v>
      </c>
      <c r="H202" s="45"/>
      <c r="I202" s="45">
        <v>9735185</v>
      </c>
      <c r="J202" s="45"/>
      <c r="K202" s="45">
        <v>17725878</v>
      </c>
      <c r="L202" s="45"/>
      <c r="M202" s="45">
        <f>289021+82981</f>
        <v>372002</v>
      </c>
      <c r="N202" s="45"/>
      <c r="O202" s="45">
        <v>0</v>
      </c>
      <c r="P202" s="45"/>
      <c r="Q202" s="45">
        <f>24251415+4166058+1186690+3845986</f>
        <v>33450149</v>
      </c>
      <c r="R202" s="45"/>
      <c r="S202" s="45">
        <f t="shared" si="12"/>
        <v>33822151</v>
      </c>
      <c r="T202" s="45"/>
      <c r="U202" s="44">
        <f t="shared" si="11"/>
        <v>0</v>
      </c>
    </row>
    <row r="203" spans="1:21" s="44" customFormat="1" ht="12.75" customHeight="1">
      <c r="A203" s="44" t="s">
        <v>232</v>
      </c>
      <c r="C203" s="44" t="s">
        <v>27</v>
      </c>
      <c r="E203" s="45">
        <f>9616705+84586</f>
        <v>9701291</v>
      </c>
      <c r="F203" s="45"/>
      <c r="G203" s="45">
        <v>42765769</v>
      </c>
      <c r="H203" s="45"/>
      <c r="I203" s="45">
        <v>13210527</v>
      </c>
      <c r="J203" s="45"/>
      <c r="K203" s="45">
        <v>16839015</v>
      </c>
      <c r="L203" s="45"/>
      <c r="M203" s="45">
        <f>880644+18293873</f>
        <v>19174517</v>
      </c>
      <c r="N203" s="45"/>
      <c r="O203" s="45">
        <v>2827</v>
      </c>
      <c r="P203" s="45"/>
      <c r="Q203" s="45">
        <f>4167031+606791+748674+1226914</f>
        <v>6749410</v>
      </c>
      <c r="R203" s="45"/>
      <c r="S203" s="45">
        <f t="shared" si="12"/>
        <v>25926754</v>
      </c>
      <c r="T203" s="45"/>
      <c r="U203" s="44">
        <f t="shared" si="11"/>
        <v>0</v>
      </c>
    </row>
    <row r="204" spans="1:21" s="44" customFormat="1" ht="12.75" customHeight="1">
      <c r="A204" s="44" t="s">
        <v>233</v>
      </c>
      <c r="C204" s="44" t="s">
        <v>111</v>
      </c>
      <c r="E204" s="45">
        <f>1984851+10056265</f>
        <v>12041116</v>
      </c>
      <c r="F204" s="45"/>
      <c r="G204" s="45">
        <v>22849473</v>
      </c>
      <c r="H204" s="45"/>
      <c r="I204" s="45">
        <v>5441723</v>
      </c>
      <c r="J204" s="45"/>
      <c r="K204" s="45">
        <v>13045752</v>
      </c>
      <c r="L204" s="45"/>
      <c r="M204" s="45">
        <f>2854717+51144+122448+957269+3774067</f>
        <v>7759645</v>
      </c>
      <c r="N204" s="45"/>
      <c r="O204" s="45">
        <v>0</v>
      </c>
      <c r="P204" s="45"/>
      <c r="Q204" s="45">
        <f>5967265-2663656-1259533</f>
        <v>2044076</v>
      </c>
      <c r="R204" s="45"/>
      <c r="S204" s="45">
        <f t="shared" si="12"/>
        <v>9803721</v>
      </c>
      <c r="T204" s="45"/>
      <c r="U204" s="44">
        <f>+G204-K204-S204</f>
        <v>0</v>
      </c>
    </row>
    <row r="205" spans="1:21" s="44" customFormat="1" ht="12.75" customHeight="1">
      <c r="A205" s="44" t="s">
        <v>234</v>
      </c>
      <c r="C205" s="44" t="s">
        <v>45</v>
      </c>
      <c r="E205" s="45">
        <f>6249168+36642</f>
        <v>6285810</v>
      </c>
      <c r="F205" s="45"/>
      <c r="G205" s="45">
        <v>14299638</v>
      </c>
      <c r="H205" s="45"/>
      <c r="I205" s="45">
        <v>4069454</v>
      </c>
      <c r="J205" s="45"/>
      <c r="K205" s="45">
        <v>6419800</v>
      </c>
      <c r="L205" s="45"/>
      <c r="M205" s="45">
        <f>575046+221641+21129</f>
        <v>817816</v>
      </c>
      <c r="N205" s="45"/>
      <c r="O205" s="45">
        <f>167895+802037</f>
        <v>969932</v>
      </c>
      <c r="P205" s="45"/>
      <c r="Q205" s="45">
        <f>6298522+266805-473237</f>
        <v>6092090</v>
      </c>
      <c r="R205" s="45"/>
      <c r="S205" s="45">
        <f t="shared" si="12"/>
        <v>7879838</v>
      </c>
      <c r="T205" s="45"/>
      <c r="U205" s="44">
        <f>+G205-K205-S205</f>
        <v>0</v>
      </c>
    </row>
    <row r="206" spans="1:21" s="44" customFormat="1" ht="12.75" customHeight="1">
      <c r="A206" s="44" t="s">
        <v>235</v>
      </c>
      <c r="C206" s="44" t="s">
        <v>183</v>
      </c>
      <c r="E206" s="45">
        <f>14626210+757457</f>
        <v>15383667</v>
      </c>
      <c r="F206" s="45"/>
      <c r="G206" s="45">
        <v>64357943</v>
      </c>
      <c r="H206" s="45"/>
      <c r="I206" s="45">
        <v>16311474</v>
      </c>
      <c r="J206" s="45"/>
      <c r="K206" s="45">
        <v>24687207</v>
      </c>
      <c r="L206" s="45"/>
      <c r="M206" s="45">
        <f>490101+6451774+10618709+386953+14586938</f>
        <v>32534475</v>
      </c>
      <c r="N206" s="45"/>
      <c r="O206" s="45">
        <v>0</v>
      </c>
      <c r="P206" s="45"/>
      <c r="Q206" s="45">
        <f>3137774+3079288+891638-331153+358714</f>
        <v>7136261</v>
      </c>
      <c r="R206" s="45"/>
      <c r="S206" s="45">
        <f t="shared" si="12"/>
        <v>39670736</v>
      </c>
      <c r="T206" s="45"/>
      <c r="U206" s="44">
        <f t="shared" si="11"/>
        <v>0</v>
      </c>
    </row>
    <row r="207" spans="1:21" s="44" customFormat="1" ht="12.75" customHeight="1">
      <c r="A207" s="44" t="s">
        <v>236</v>
      </c>
      <c r="C207" s="44" t="s">
        <v>45</v>
      </c>
      <c r="E207" s="45">
        <f>2077540+176834</f>
        <v>2254374</v>
      </c>
      <c r="F207" s="45"/>
      <c r="G207" s="45">
        <v>12232304</v>
      </c>
      <c r="H207" s="45"/>
      <c r="I207" s="45">
        <v>1128332</v>
      </c>
      <c r="J207" s="45"/>
      <c r="K207" s="45">
        <v>2610688</v>
      </c>
      <c r="L207" s="45"/>
      <c r="M207" s="45">
        <f>714039+39682+61557+29840+176834</f>
        <v>1021952</v>
      </c>
      <c r="N207" s="45"/>
      <c r="O207" s="45">
        <v>0</v>
      </c>
      <c r="P207" s="45"/>
      <c r="Q207" s="45">
        <f>7580362+342605+676697</f>
        <v>8599664</v>
      </c>
      <c r="R207" s="45"/>
      <c r="S207" s="45">
        <f t="shared" si="12"/>
        <v>9621616</v>
      </c>
      <c r="T207" s="45"/>
      <c r="U207" s="44">
        <f t="shared" si="11"/>
        <v>0</v>
      </c>
    </row>
    <row r="208" spans="1:21" s="44" customFormat="1" ht="12.75" customHeight="1">
      <c r="A208" s="44" t="s">
        <v>237</v>
      </c>
      <c r="C208" s="44" t="s">
        <v>33</v>
      </c>
      <c r="E208" s="45">
        <f>727180+725</f>
        <v>727905</v>
      </c>
      <c r="F208" s="45"/>
      <c r="G208" s="45">
        <v>2573209</v>
      </c>
      <c r="H208" s="45"/>
      <c r="I208" s="45">
        <v>1274726</v>
      </c>
      <c r="J208" s="45"/>
      <c r="K208" s="45">
        <v>1810772</v>
      </c>
      <c r="L208" s="45"/>
      <c r="M208" s="45">
        <f>28580+860+381258+1761</f>
        <v>412459</v>
      </c>
      <c r="N208" s="45"/>
      <c r="O208" s="45">
        <v>0</v>
      </c>
      <c r="P208" s="45"/>
      <c r="Q208" s="45">
        <f>-56657+306905+164191-64461</f>
        <v>349978</v>
      </c>
      <c r="R208" s="45"/>
      <c r="S208" s="45">
        <f t="shared" ref="S208:S256" si="13">+Q208+O208+M208</f>
        <v>762437</v>
      </c>
      <c r="T208" s="45"/>
      <c r="U208" s="44">
        <f t="shared" si="11"/>
        <v>0</v>
      </c>
    </row>
    <row r="209" spans="1:21" s="44" customFormat="1" ht="12.75" customHeight="1"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8" t="s">
        <v>484</v>
      </c>
      <c r="T209" s="45"/>
    </row>
    <row r="210" spans="1:21" s="44" customFormat="1" ht="12.75" customHeight="1">
      <c r="A210" s="44" t="s">
        <v>238</v>
      </c>
      <c r="C210" s="44" t="s">
        <v>239</v>
      </c>
      <c r="E210" s="94">
        <v>12458001</v>
      </c>
      <c r="F210" s="94"/>
      <c r="G210" s="94">
        <v>15696916</v>
      </c>
      <c r="H210" s="94"/>
      <c r="I210" s="94">
        <v>1050268</v>
      </c>
      <c r="J210" s="94"/>
      <c r="K210" s="94">
        <v>2209489</v>
      </c>
      <c r="L210" s="94"/>
      <c r="M210" s="94">
        <f>431881+48850+52848+831281+12980+99742</f>
        <v>1477582</v>
      </c>
      <c r="N210" s="94"/>
      <c r="O210" s="94">
        <v>0</v>
      </c>
      <c r="P210" s="94"/>
      <c r="Q210" s="94">
        <f>4321838+2720114-302390+5270283</f>
        <v>12009845</v>
      </c>
      <c r="R210" s="94"/>
      <c r="S210" s="94">
        <f t="shared" si="13"/>
        <v>13487427</v>
      </c>
      <c r="T210" s="45"/>
      <c r="U210" s="44">
        <f t="shared" si="11"/>
        <v>0</v>
      </c>
    </row>
    <row r="211" spans="1:21" s="44" customFormat="1" ht="12.75" customHeight="1">
      <c r="A211" s="44" t="s">
        <v>486</v>
      </c>
      <c r="C211" s="44" t="s">
        <v>249</v>
      </c>
      <c r="E211" s="45">
        <v>6374700</v>
      </c>
      <c r="F211" s="45"/>
      <c r="G211" s="45">
        <v>13888246</v>
      </c>
      <c r="H211" s="45"/>
      <c r="I211" s="45">
        <v>4902445</v>
      </c>
      <c r="J211" s="45"/>
      <c r="K211" s="45">
        <v>8918341</v>
      </c>
      <c r="L211" s="45"/>
      <c r="M211" s="45">
        <f>1418145+9016+365234</f>
        <v>1792395</v>
      </c>
      <c r="N211" s="45"/>
      <c r="O211" s="45">
        <v>0</v>
      </c>
      <c r="P211" s="45"/>
      <c r="Q211" s="45">
        <f>-839403+3188847+344483+483583</f>
        <v>3177510</v>
      </c>
      <c r="R211" s="45"/>
      <c r="S211" s="45">
        <f t="shared" si="13"/>
        <v>4969905</v>
      </c>
      <c r="T211" s="45"/>
      <c r="U211" s="44">
        <f>+G211-K211-S211</f>
        <v>0</v>
      </c>
    </row>
    <row r="212" spans="1:21" s="44" customFormat="1" ht="12.75" customHeight="1">
      <c r="A212" s="44" t="s">
        <v>240</v>
      </c>
      <c r="C212" s="44" t="s">
        <v>13</v>
      </c>
      <c r="E212" s="45">
        <f>10387409+24716</f>
        <v>10412125</v>
      </c>
      <c r="F212" s="45"/>
      <c r="G212" s="45">
        <v>23393079</v>
      </c>
      <c r="H212" s="45"/>
      <c r="I212" s="45">
        <v>2599688</v>
      </c>
      <c r="J212" s="45"/>
      <c r="K212" s="45">
        <v>12317528</v>
      </c>
      <c r="L212" s="45"/>
      <c r="M212" s="45">
        <f>1110626+684721+150000</f>
        <v>1945347</v>
      </c>
      <c r="N212" s="45"/>
      <c r="O212" s="45">
        <v>0</v>
      </c>
      <c r="P212" s="45"/>
      <c r="Q212" s="45">
        <f>3856832+3142525+2130847</f>
        <v>9130204</v>
      </c>
      <c r="R212" s="45"/>
      <c r="S212" s="45">
        <f t="shared" si="13"/>
        <v>11075551</v>
      </c>
      <c r="T212" s="45"/>
      <c r="U212" s="44">
        <f t="shared" si="11"/>
        <v>0</v>
      </c>
    </row>
    <row r="213" spans="1:21" s="44" customFormat="1" ht="12.75" customHeight="1">
      <c r="A213" s="44" t="s">
        <v>241</v>
      </c>
      <c r="C213" s="44" t="s">
        <v>22</v>
      </c>
      <c r="E213" s="45">
        <v>3192588</v>
      </c>
      <c r="F213" s="45"/>
      <c r="G213" s="45">
        <v>8305074</v>
      </c>
      <c r="H213" s="45"/>
      <c r="I213" s="45">
        <v>2088754</v>
      </c>
      <c r="J213" s="45"/>
      <c r="K213" s="45">
        <v>4489261</v>
      </c>
      <c r="L213" s="45"/>
      <c r="M213" s="45">
        <f>524301+5367+42170+219380+381034</f>
        <v>1172252</v>
      </c>
      <c r="N213" s="45"/>
      <c r="O213" s="45">
        <v>0</v>
      </c>
      <c r="P213" s="45"/>
      <c r="Q213" s="45">
        <f>1568031+996382+79148</f>
        <v>2643561</v>
      </c>
      <c r="R213" s="45"/>
      <c r="S213" s="45">
        <f t="shared" si="13"/>
        <v>3815813</v>
      </c>
      <c r="T213" s="45"/>
      <c r="U213" s="44">
        <f t="shared" si="11"/>
        <v>0</v>
      </c>
    </row>
    <row r="214" spans="1:21" s="44" customFormat="1" ht="12.75" customHeight="1">
      <c r="A214" s="44" t="s">
        <v>242</v>
      </c>
      <c r="C214" s="44" t="s">
        <v>27</v>
      </c>
      <c r="E214" s="45">
        <v>29932657</v>
      </c>
      <c r="F214" s="45"/>
      <c r="G214" s="45">
        <v>52490377</v>
      </c>
      <c r="H214" s="45"/>
      <c r="I214" s="45">
        <v>16244759</v>
      </c>
      <c r="J214" s="45"/>
      <c r="K214" s="45">
        <v>19458395</v>
      </c>
      <c r="L214" s="45"/>
      <c r="M214" s="45">
        <f>608719+272303+2107301</f>
        <v>2988323</v>
      </c>
      <c r="N214" s="45"/>
      <c r="O214" s="45">
        <v>0</v>
      </c>
      <c r="P214" s="45"/>
      <c r="Q214" s="45">
        <v>30043659</v>
      </c>
      <c r="R214" s="45"/>
      <c r="S214" s="45">
        <f t="shared" si="13"/>
        <v>33031982</v>
      </c>
      <c r="T214" s="45"/>
      <c r="U214" s="44">
        <f t="shared" si="11"/>
        <v>0</v>
      </c>
    </row>
    <row r="215" spans="1:21" s="44" customFormat="1" ht="12.75" customHeight="1">
      <c r="A215" s="44" t="s">
        <v>243</v>
      </c>
      <c r="C215" s="44" t="s">
        <v>163</v>
      </c>
      <c r="E215" s="45">
        <f>5341481+17893553</f>
        <v>23235034</v>
      </c>
      <c r="F215" s="45"/>
      <c r="G215" s="45">
        <v>28732797</v>
      </c>
      <c r="H215" s="45"/>
      <c r="I215" s="45">
        <v>3057737</v>
      </c>
      <c r="J215" s="45"/>
      <c r="K215" s="45">
        <v>7661531</v>
      </c>
      <c r="L215" s="45"/>
      <c r="M215" s="45">
        <f>571403+69380+531559+1063</f>
        <v>1173405</v>
      </c>
      <c r="N215" s="45"/>
      <c r="O215" s="45">
        <v>0</v>
      </c>
      <c r="P215" s="45"/>
      <c r="Q215" s="45">
        <f>1066475+2235305+202222+16393859</f>
        <v>19897861</v>
      </c>
      <c r="R215" s="45"/>
      <c r="S215" s="45">
        <f t="shared" si="13"/>
        <v>21071266</v>
      </c>
      <c r="T215" s="45"/>
      <c r="U215" s="44">
        <f t="shared" ref="U215:U256" si="14">+G215-K215-S215</f>
        <v>0</v>
      </c>
    </row>
    <row r="216" spans="1:21" s="44" customFormat="1" ht="12.75" customHeight="1">
      <c r="A216" s="44" t="s">
        <v>244</v>
      </c>
      <c r="C216" s="44" t="s">
        <v>13</v>
      </c>
      <c r="E216" s="45">
        <v>5033791</v>
      </c>
      <c r="F216" s="45"/>
      <c r="G216" s="45">
        <v>11048707</v>
      </c>
      <c r="H216" s="45"/>
      <c r="I216" s="45">
        <v>2255598</v>
      </c>
      <c r="J216" s="45"/>
      <c r="K216" s="45">
        <v>5663965</v>
      </c>
      <c r="L216" s="45"/>
      <c r="M216" s="45">
        <f>362061+117436+87757</f>
        <v>567254</v>
      </c>
      <c r="N216" s="45"/>
      <c r="O216" s="45">
        <v>0</v>
      </c>
      <c r="P216" s="45"/>
      <c r="Q216" s="45">
        <f>3104686+840684+37899+834219</f>
        <v>4817488</v>
      </c>
      <c r="R216" s="45"/>
      <c r="S216" s="45">
        <f t="shared" si="13"/>
        <v>5384742</v>
      </c>
      <c r="T216" s="45"/>
      <c r="U216" s="44">
        <f t="shared" si="14"/>
        <v>0</v>
      </c>
    </row>
    <row r="217" spans="1:21" s="44" customFormat="1" ht="12.75" customHeight="1">
      <c r="A217" s="44" t="s">
        <v>245</v>
      </c>
      <c r="C217" s="44" t="s">
        <v>110</v>
      </c>
      <c r="E217" s="45">
        <f>3353523+67525</f>
        <v>3421048</v>
      </c>
      <c r="F217" s="45"/>
      <c r="G217" s="45">
        <v>8652038</v>
      </c>
      <c r="H217" s="45"/>
      <c r="I217" s="45">
        <v>2332682</v>
      </c>
      <c r="J217" s="45"/>
      <c r="K217" s="45">
        <v>7557786</v>
      </c>
      <c r="L217" s="45"/>
      <c r="M217" s="45">
        <f>997635+95851+66435+169036+127531+25000</f>
        <v>1481488</v>
      </c>
      <c r="N217" s="45"/>
      <c r="O217" s="45">
        <v>0</v>
      </c>
      <c r="P217" s="45"/>
      <c r="Q217" s="45">
        <f>861625+580149+22802-1860450+8638</f>
        <v>-387236</v>
      </c>
      <c r="R217" s="45"/>
      <c r="S217" s="45">
        <f t="shared" si="13"/>
        <v>1094252</v>
      </c>
      <c r="T217" s="45"/>
      <c r="U217" s="44">
        <f t="shared" si="14"/>
        <v>0</v>
      </c>
    </row>
    <row r="218" spans="1:21" s="44" customFormat="1" ht="12.75" customHeight="1">
      <c r="A218" s="44" t="s">
        <v>246</v>
      </c>
      <c r="C218" s="44" t="s">
        <v>209</v>
      </c>
      <c r="E218" s="45">
        <f>2045235+3322552</f>
        <v>5367787</v>
      </c>
      <c r="F218" s="45"/>
      <c r="G218" s="45">
        <v>9179501</v>
      </c>
      <c r="H218" s="45"/>
      <c r="I218" s="45">
        <v>2607792</v>
      </c>
      <c r="J218" s="45"/>
      <c r="K218" s="45">
        <v>4828164</v>
      </c>
      <c r="L218" s="45"/>
      <c r="M218" s="45">
        <f>445285+24173+143133+12647</f>
        <v>625238</v>
      </c>
      <c r="N218" s="45"/>
      <c r="O218" s="45">
        <v>0</v>
      </c>
      <c r="P218" s="45"/>
      <c r="Q218" s="45">
        <f>3856093+514834-644828</f>
        <v>3726099</v>
      </c>
      <c r="R218" s="45"/>
      <c r="S218" s="45">
        <f t="shared" si="13"/>
        <v>4351337</v>
      </c>
      <c r="T218" s="45"/>
      <c r="U218" s="44">
        <f>+G218-K218-S218</f>
        <v>0</v>
      </c>
    </row>
    <row r="219" spans="1:21" s="44" customFormat="1" ht="12.75" customHeight="1">
      <c r="A219" s="44" t="s">
        <v>247</v>
      </c>
      <c r="C219" s="44" t="s">
        <v>163</v>
      </c>
      <c r="E219" s="45">
        <f>13006000+33000+13732000</f>
        <v>26771000</v>
      </c>
      <c r="F219" s="45"/>
      <c r="G219" s="45">
        <v>232319000</v>
      </c>
      <c r="H219" s="45"/>
      <c r="I219" s="45">
        <v>92929000</v>
      </c>
      <c r="J219" s="45"/>
      <c r="K219" s="45">
        <v>216079000</v>
      </c>
      <c r="L219" s="45"/>
      <c r="M219" s="45">
        <f>23905000+4900000+12608000+134000+4161000+1495000</f>
        <v>47203000</v>
      </c>
      <c r="N219" s="45"/>
      <c r="O219" s="45">
        <v>0</v>
      </c>
      <c r="P219" s="45"/>
      <c r="Q219" s="45">
        <f>465000-1932000+21355000-50851000</f>
        <v>-30963000</v>
      </c>
      <c r="R219" s="45"/>
      <c r="S219" s="45">
        <f t="shared" si="13"/>
        <v>16240000</v>
      </c>
      <c r="T219" s="45"/>
      <c r="U219" s="44">
        <f t="shared" si="14"/>
        <v>0</v>
      </c>
    </row>
    <row r="220" spans="1:21" s="44" customFormat="1" ht="12.75" customHeight="1">
      <c r="A220" s="44" t="s">
        <v>248</v>
      </c>
      <c r="C220" s="44" t="s">
        <v>249</v>
      </c>
      <c r="E220" s="45">
        <v>1513901</v>
      </c>
      <c r="F220" s="45"/>
      <c r="G220" s="45">
        <v>3473974</v>
      </c>
      <c r="H220" s="45"/>
      <c r="I220" s="45">
        <v>1672885</v>
      </c>
      <c r="J220" s="45"/>
      <c r="K220" s="45">
        <v>1863860</v>
      </c>
      <c r="L220" s="45"/>
      <c r="M220" s="45">
        <f>239192+10870</f>
        <v>250062</v>
      </c>
      <c r="N220" s="45"/>
      <c r="O220" s="45">
        <v>0</v>
      </c>
      <c r="P220" s="45"/>
      <c r="Q220" s="45">
        <v>1360052</v>
      </c>
      <c r="R220" s="45"/>
      <c r="S220" s="45">
        <f t="shared" si="13"/>
        <v>1610114</v>
      </c>
      <c r="T220" s="45"/>
      <c r="U220" s="44">
        <f>+G220-K220-S220</f>
        <v>0</v>
      </c>
    </row>
    <row r="221" spans="1:21" s="44" customFormat="1" ht="12.75" customHeight="1">
      <c r="A221" s="44" t="s">
        <v>250</v>
      </c>
      <c r="C221" s="44" t="s">
        <v>103</v>
      </c>
      <c r="E221" s="45">
        <v>3042430</v>
      </c>
      <c r="F221" s="45"/>
      <c r="G221" s="45">
        <v>4229001</v>
      </c>
      <c r="H221" s="45"/>
      <c r="I221" s="45">
        <v>973078</v>
      </c>
      <c r="J221" s="45"/>
      <c r="K221" s="45">
        <v>1253516</v>
      </c>
      <c r="L221" s="45"/>
      <c r="M221" s="45">
        <v>116654</v>
      </c>
      <c r="N221" s="45"/>
      <c r="O221" s="45">
        <v>0</v>
      </c>
      <c r="P221" s="45"/>
      <c r="Q221" s="45">
        <v>2858831</v>
      </c>
      <c r="R221" s="45"/>
      <c r="S221" s="45">
        <f t="shared" si="13"/>
        <v>2975485</v>
      </c>
      <c r="T221" s="45"/>
      <c r="U221" s="44">
        <f t="shared" si="14"/>
        <v>0</v>
      </c>
    </row>
    <row r="222" spans="1:21" s="44" customFormat="1" ht="12.75" customHeight="1">
      <c r="A222" s="44" t="s">
        <v>251</v>
      </c>
      <c r="C222" s="44" t="s">
        <v>66</v>
      </c>
      <c r="E222" s="45">
        <v>2647099</v>
      </c>
      <c r="F222" s="45"/>
      <c r="G222" s="45">
        <v>11533820</v>
      </c>
      <c r="H222" s="45"/>
      <c r="I222" s="45">
        <v>7562748</v>
      </c>
      <c r="J222" s="45"/>
      <c r="K222" s="45">
        <v>20224396</v>
      </c>
      <c r="L222" s="45"/>
      <c r="M222" s="45">
        <v>653902</v>
      </c>
      <c r="N222" s="45"/>
      <c r="O222" s="45">
        <f>899472+425726+75507</f>
        <v>1400705</v>
      </c>
      <c r="P222" s="45"/>
      <c r="Q222" s="45">
        <v>-10745183</v>
      </c>
      <c r="R222" s="45"/>
      <c r="S222" s="45">
        <f t="shared" si="13"/>
        <v>-8690576</v>
      </c>
      <c r="T222" s="45"/>
      <c r="U222" s="44">
        <f>+G222-K222-S222</f>
        <v>0</v>
      </c>
    </row>
    <row r="223" spans="1:21" s="44" customFormat="1" ht="12.75" customHeight="1">
      <c r="A223" s="44" t="s">
        <v>252</v>
      </c>
      <c r="C223" s="44" t="s">
        <v>209</v>
      </c>
      <c r="E223" s="45">
        <v>47713923</v>
      </c>
      <c r="F223" s="45"/>
      <c r="G223" s="45">
        <v>55989769</v>
      </c>
      <c r="H223" s="45"/>
      <c r="I223" s="45">
        <v>3275137</v>
      </c>
      <c r="J223" s="45"/>
      <c r="K223" s="45">
        <v>4251870</v>
      </c>
      <c r="L223" s="45"/>
      <c r="M223" s="45">
        <f>757974+107686+2600408</f>
        <v>3466068</v>
      </c>
      <c r="N223" s="45"/>
      <c r="O223" s="45">
        <v>0</v>
      </c>
      <c r="P223" s="45"/>
      <c r="Q223" s="45">
        <f>42053913+5243384+20632+953902</f>
        <v>48271831</v>
      </c>
      <c r="R223" s="45"/>
      <c r="S223" s="45">
        <f t="shared" si="13"/>
        <v>51737899</v>
      </c>
      <c r="T223" s="45"/>
      <c r="U223" s="44">
        <f t="shared" si="14"/>
        <v>0</v>
      </c>
    </row>
    <row r="224" spans="1:21" s="44" customFormat="1" ht="12.75" customHeight="1">
      <c r="A224" s="44" t="s">
        <v>253</v>
      </c>
      <c r="C224" s="44" t="s">
        <v>13</v>
      </c>
      <c r="E224" s="45">
        <f>17129887+426719</f>
        <v>17556606</v>
      </c>
      <c r="F224" s="45"/>
      <c r="G224" s="45">
        <v>23798735</v>
      </c>
      <c r="H224" s="45"/>
      <c r="I224" s="45">
        <v>3034138</v>
      </c>
      <c r="J224" s="45"/>
      <c r="K224" s="45">
        <v>4603368</v>
      </c>
      <c r="L224" s="45"/>
      <c r="M224" s="45">
        <f>2574122+219928+35841</f>
        <v>2829891</v>
      </c>
      <c r="N224" s="45"/>
      <c r="O224" s="45">
        <v>0</v>
      </c>
      <c r="P224" s="45"/>
      <c r="Q224" s="45">
        <f>8485156+2316244+164668+5399408</f>
        <v>16365476</v>
      </c>
      <c r="R224" s="45"/>
      <c r="S224" s="45">
        <f t="shared" si="13"/>
        <v>19195367</v>
      </c>
      <c r="T224" s="45"/>
      <c r="U224" s="44">
        <f t="shared" si="14"/>
        <v>0</v>
      </c>
    </row>
    <row r="225" spans="1:21" s="44" customFormat="1" ht="12.75" customHeight="1">
      <c r="A225" s="44" t="s">
        <v>254</v>
      </c>
      <c r="C225" s="44" t="s">
        <v>89</v>
      </c>
      <c r="E225" s="45">
        <v>1694383</v>
      </c>
      <c r="F225" s="45"/>
      <c r="G225" s="45">
        <v>3187850</v>
      </c>
      <c r="H225" s="45"/>
      <c r="I225" s="45">
        <v>1195596</v>
      </c>
      <c r="J225" s="45"/>
      <c r="K225" s="45">
        <v>1327657</v>
      </c>
      <c r="L225" s="45"/>
      <c r="M225" s="45">
        <v>0</v>
      </c>
      <c r="N225" s="45"/>
      <c r="O225" s="45">
        <v>0</v>
      </c>
      <c r="P225" s="45"/>
      <c r="Q225" s="45">
        <v>1860193</v>
      </c>
      <c r="R225" s="45"/>
      <c r="S225" s="45">
        <f t="shared" si="13"/>
        <v>1860193</v>
      </c>
      <c r="T225" s="45"/>
      <c r="U225" s="44">
        <f t="shared" si="14"/>
        <v>0</v>
      </c>
    </row>
    <row r="226" spans="1:21" s="44" customFormat="1" ht="12.75" customHeight="1">
      <c r="A226" s="44" t="s">
        <v>159</v>
      </c>
      <c r="C226" s="44" t="s">
        <v>66</v>
      </c>
      <c r="E226" s="45">
        <v>1792243</v>
      </c>
      <c r="F226" s="45"/>
      <c r="G226" s="45">
        <v>4903151</v>
      </c>
      <c r="H226" s="45"/>
      <c r="I226" s="45">
        <v>2889665</v>
      </c>
      <c r="J226" s="45"/>
      <c r="K226" s="45">
        <v>3554826</v>
      </c>
      <c r="L226" s="45"/>
      <c r="M226" s="45">
        <f>7008+31454+10699</f>
        <v>49161</v>
      </c>
      <c r="N226" s="45"/>
      <c r="O226" s="45">
        <v>0</v>
      </c>
      <c r="P226" s="45"/>
      <c r="Q226" s="45">
        <f>498565+720240+80359</f>
        <v>1299164</v>
      </c>
      <c r="R226" s="45"/>
      <c r="S226" s="45">
        <f t="shared" si="13"/>
        <v>1348325</v>
      </c>
      <c r="T226" s="45"/>
      <c r="U226" s="44">
        <f>+G226-K226-S226</f>
        <v>0</v>
      </c>
    </row>
    <row r="227" spans="1:21" s="44" customFormat="1" ht="12.75" customHeight="1">
      <c r="A227" s="44" t="s">
        <v>255</v>
      </c>
      <c r="C227" s="44" t="s">
        <v>27</v>
      </c>
      <c r="E227" s="45">
        <v>2970231</v>
      </c>
      <c r="F227" s="45"/>
      <c r="G227" s="45">
        <v>11733762</v>
      </c>
      <c r="H227" s="45"/>
      <c r="I227" s="45">
        <v>6916219</v>
      </c>
      <c r="J227" s="45"/>
      <c r="K227" s="45">
        <v>8612440</v>
      </c>
      <c r="L227" s="45"/>
      <c r="M227" s="45">
        <f>42374+162670+120369</f>
        <v>325413</v>
      </c>
      <c r="N227" s="45"/>
      <c r="O227" s="45">
        <v>0</v>
      </c>
      <c r="P227" s="45"/>
      <c r="Q227" s="45">
        <f>948660+1620791+184886+41572</f>
        <v>2795909</v>
      </c>
      <c r="R227" s="45"/>
      <c r="S227" s="45">
        <f t="shared" si="13"/>
        <v>3121322</v>
      </c>
      <c r="T227" s="45"/>
      <c r="U227" s="44">
        <f t="shared" si="14"/>
        <v>0</v>
      </c>
    </row>
    <row r="228" spans="1:21" s="44" customFormat="1" ht="12.75" customHeight="1">
      <c r="A228" s="44" t="s">
        <v>256</v>
      </c>
      <c r="C228" s="44" t="s">
        <v>43</v>
      </c>
      <c r="E228" s="45">
        <v>46989729</v>
      </c>
      <c r="F228" s="45"/>
      <c r="G228" s="45">
        <v>66475400</v>
      </c>
      <c r="H228" s="45"/>
      <c r="I228" s="45">
        <v>15684719</v>
      </c>
      <c r="J228" s="45"/>
      <c r="K228" s="45">
        <v>18176095</v>
      </c>
      <c r="L228" s="45"/>
      <c r="M228" s="45">
        <f>4624226+208236+655031</f>
        <v>5487493</v>
      </c>
      <c r="N228" s="45"/>
      <c r="O228" s="45">
        <f>6203914+359425</f>
        <v>6563339</v>
      </c>
      <c r="P228" s="45"/>
      <c r="Q228" s="45">
        <f>18942252+2536100+14476039+294082</f>
        <v>36248473</v>
      </c>
      <c r="R228" s="45"/>
      <c r="S228" s="45">
        <f t="shared" si="13"/>
        <v>48299305</v>
      </c>
      <c r="T228" s="45"/>
      <c r="U228" s="44">
        <f>+G228-K228-S228</f>
        <v>0</v>
      </c>
    </row>
    <row r="229" spans="1:21" s="44" customFormat="1" ht="12.75" customHeight="1">
      <c r="A229" s="44" t="s">
        <v>257</v>
      </c>
      <c r="C229" s="44" t="s">
        <v>258</v>
      </c>
      <c r="E229" s="45">
        <v>491207</v>
      </c>
      <c r="F229" s="45"/>
      <c r="G229" s="45">
        <v>2373340</v>
      </c>
      <c r="H229" s="45"/>
      <c r="I229" s="45">
        <v>1353593</v>
      </c>
      <c r="J229" s="45"/>
      <c r="K229" s="45">
        <v>1777211</v>
      </c>
      <c r="L229" s="45"/>
      <c r="M229" s="45">
        <f>55481+149756</f>
        <v>205237</v>
      </c>
      <c r="N229" s="45"/>
      <c r="O229" s="45">
        <v>0</v>
      </c>
      <c r="P229" s="45"/>
      <c r="Q229" s="45">
        <f>-239390+485976+144306</f>
        <v>390892</v>
      </c>
      <c r="R229" s="45"/>
      <c r="S229" s="45">
        <f t="shared" si="13"/>
        <v>596129</v>
      </c>
      <c r="T229" s="45"/>
      <c r="U229" s="44">
        <f>+G229-K229-S229</f>
        <v>0</v>
      </c>
    </row>
    <row r="230" spans="1:21" s="44" customFormat="1" ht="12.75" customHeight="1">
      <c r="A230" s="44" t="s">
        <v>259</v>
      </c>
      <c r="C230" s="44" t="s">
        <v>343</v>
      </c>
      <c r="E230" s="45">
        <v>3950072</v>
      </c>
      <c r="F230" s="45"/>
      <c r="G230" s="45">
        <v>7695110</v>
      </c>
      <c r="H230" s="45"/>
      <c r="I230" s="45">
        <v>2074350</v>
      </c>
      <c r="J230" s="45"/>
      <c r="K230" s="45">
        <v>4409030</v>
      </c>
      <c r="L230" s="45"/>
      <c r="M230" s="45">
        <f>68901+42268+426460+33878+31484+88382</f>
        <v>691373</v>
      </c>
      <c r="N230" s="45"/>
      <c r="O230" s="45">
        <v>0</v>
      </c>
      <c r="P230" s="45"/>
      <c r="Q230" s="45">
        <f>283655+857180+27774+1426098</f>
        <v>2594707</v>
      </c>
      <c r="R230" s="45"/>
      <c r="S230" s="45">
        <f t="shared" si="13"/>
        <v>3286080</v>
      </c>
      <c r="T230" s="45"/>
      <c r="U230" s="44">
        <f t="shared" si="14"/>
        <v>0</v>
      </c>
    </row>
    <row r="231" spans="1:21" s="44" customFormat="1" ht="12.75" customHeight="1">
      <c r="A231" s="44" t="s">
        <v>261</v>
      </c>
      <c r="C231" s="44" t="s">
        <v>66</v>
      </c>
      <c r="E231" s="45">
        <v>24761921</v>
      </c>
      <c r="F231" s="45"/>
      <c r="G231" s="45">
        <v>34407913</v>
      </c>
      <c r="H231" s="45"/>
      <c r="I231" s="45">
        <v>4094754</v>
      </c>
      <c r="J231" s="45"/>
      <c r="K231" s="45">
        <v>12060204</v>
      </c>
      <c r="L231" s="45"/>
      <c r="M231" s="45">
        <f>5114433+152922+407511+33541+3675263</f>
        <v>9383670</v>
      </c>
      <c r="N231" s="45"/>
      <c r="O231" s="45">
        <v>915000</v>
      </c>
      <c r="P231" s="45"/>
      <c r="Q231" s="45">
        <f>11813674+1445453+243154-1453242</f>
        <v>12049039</v>
      </c>
      <c r="R231" s="45"/>
      <c r="S231" s="45">
        <f t="shared" si="13"/>
        <v>22347709</v>
      </c>
      <c r="T231" s="45"/>
      <c r="U231" s="44">
        <f t="shared" si="14"/>
        <v>0</v>
      </c>
    </row>
    <row r="232" spans="1:21" s="44" customFormat="1" ht="12.75" customHeight="1">
      <c r="A232" s="44" t="s">
        <v>262</v>
      </c>
      <c r="C232" s="44" t="s">
        <v>132</v>
      </c>
      <c r="E232" s="45">
        <f>4527663+365</f>
        <v>4528028</v>
      </c>
      <c r="F232" s="45"/>
      <c r="G232" s="45">
        <v>9620378</v>
      </c>
      <c r="H232" s="45"/>
      <c r="I232" s="45">
        <v>4223097</v>
      </c>
      <c r="J232" s="45"/>
      <c r="K232" s="45">
        <v>5090739</v>
      </c>
      <c r="L232" s="45"/>
      <c r="M232" s="45">
        <f>557926+35296+219497+31835</f>
        <v>844554</v>
      </c>
      <c r="N232" s="45"/>
      <c r="O232" s="45">
        <v>0</v>
      </c>
      <c r="P232" s="45"/>
      <c r="Q232" s="45">
        <f>66477+2279069+161671+1177868</f>
        <v>3685085</v>
      </c>
      <c r="R232" s="45"/>
      <c r="S232" s="45">
        <f t="shared" si="13"/>
        <v>4529639</v>
      </c>
      <c r="T232" s="45"/>
      <c r="U232" s="44">
        <f t="shared" si="14"/>
        <v>0</v>
      </c>
    </row>
    <row r="233" spans="1:21" s="44" customFormat="1" ht="12.75" customHeight="1">
      <c r="A233" s="44" t="s">
        <v>263</v>
      </c>
      <c r="C233" s="44" t="s">
        <v>53</v>
      </c>
      <c r="E233" s="45">
        <f>14820706+5579+128+3178</f>
        <v>14829591</v>
      </c>
      <c r="F233" s="45"/>
      <c r="G233" s="45">
        <v>25305634</v>
      </c>
      <c r="H233" s="45"/>
      <c r="I233" s="45">
        <v>2531649</v>
      </c>
      <c r="J233" s="45"/>
      <c r="K233" s="45">
        <v>8874615</v>
      </c>
      <c r="L233" s="45"/>
      <c r="M233" s="45">
        <f>1360697+61455+2889980+224000+495248</f>
        <v>5031380</v>
      </c>
      <c r="N233" s="45"/>
      <c r="O233" s="45">
        <v>0</v>
      </c>
      <c r="P233" s="45"/>
      <c r="Q233" s="45">
        <f>2503732+8404961+490946</f>
        <v>11399639</v>
      </c>
      <c r="R233" s="45"/>
      <c r="S233" s="45">
        <f t="shared" si="13"/>
        <v>16431019</v>
      </c>
      <c r="T233" s="45"/>
      <c r="U233" s="44">
        <f t="shared" si="14"/>
        <v>0</v>
      </c>
    </row>
    <row r="234" spans="1:21" s="44" customFormat="1" ht="12.75" customHeight="1">
      <c r="A234" s="44" t="s">
        <v>264</v>
      </c>
      <c r="C234" s="44" t="s">
        <v>239</v>
      </c>
      <c r="E234" s="45">
        <v>6577247</v>
      </c>
      <c r="F234" s="45"/>
      <c r="G234" s="45">
        <v>9518920</v>
      </c>
      <c r="H234" s="45"/>
      <c r="I234" s="45">
        <v>2103573</v>
      </c>
      <c r="J234" s="45"/>
      <c r="K234" s="45">
        <v>2520409</v>
      </c>
      <c r="L234" s="45"/>
      <c r="M234" s="45">
        <f>5263+187710+276435</f>
        <v>469408</v>
      </c>
      <c r="N234" s="45"/>
      <c r="O234" s="45">
        <v>0</v>
      </c>
      <c r="P234" s="45"/>
      <c r="Q234" s="45">
        <f>2546481+1265764+539473+2177385</f>
        <v>6529103</v>
      </c>
      <c r="R234" s="45"/>
      <c r="S234" s="45">
        <f t="shared" si="13"/>
        <v>6998511</v>
      </c>
      <c r="T234" s="45"/>
      <c r="U234" s="44">
        <f t="shared" si="14"/>
        <v>0</v>
      </c>
    </row>
    <row r="235" spans="1:21" s="44" customFormat="1" ht="12.75" customHeight="1">
      <c r="A235" s="44" t="s">
        <v>111</v>
      </c>
      <c r="C235" s="44" t="s">
        <v>80</v>
      </c>
      <c r="E235" s="45">
        <v>5531337</v>
      </c>
      <c r="F235" s="45"/>
      <c r="G235" s="45">
        <v>21296875</v>
      </c>
      <c r="H235" s="45"/>
      <c r="I235" s="45">
        <v>4695086</v>
      </c>
      <c r="J235" s="45"/>
      <c r="K235" s="45">
        <v>7703613</v>
      </c>
      <c r="L235" s="45"/>
      <c r="M235" s="45">
        <f>2561841+42527+5775336+43794</f>
        <v>8423498</v>
      </c>
      <c r="N235" s="45"/>
      <c r="O235" s="45">
        <v>0</v>
      </c>
      <c r="P235" s="45"/>
      <c r="Q235" s="45">
        <f>4027419+2183565+300006-1341226</f>
        <v>5169764</v>
      </c>
      <c r="R235" s="45"/>
      <c r="S235" s="45">
        <f t="shared" si="13"/>
        <v>13593262</v>
      </c>
      <c r="T235" s="45"/>
      <c r="U235" s="44">
        <f t="shared" si="14"/>
        <v>0</v>
      </c>
    </row>
    <row r="236" spans="1:21" s="44" customFormat="1" ht="12.75" customHeight="1">
      <c r="A236" s="44" t="s">
        <v>265</v>
      </c>
      <c r="C236" s="44" t="s">
        <v>27</v>
      </c>
      <c r="E236" s="45">
        <v>1075496</v>
      </c>
      <c r="F236" s="45"/>
      <c r="G236" s="45">
        <v>8115874</v>
      </c>
      <c r="H236" s="45"/>
      <c r="I236" s="45">
        <v>3505977</v>
      </c>
      <c r="J236" s="45"/>
      <c r="K236" s="45">
        <v>12284660</v>
      </c>
      <c r="L236" s="45"/>
      <c r="M236" s="45">
        <v>52059</v>
      </c>
      <c r="N236" s="45"/>
      <c r="O236" s="45">
        <v>0</v>
      </c>
      <c r="P236" s="45"/>
      <c r="Q236" s="45">
        <f>221247+755159+257832-5455083</f>
        <v>-4220845</v>
      </c>
      <c r="R236" s="45"/>
      <c r="S236" s="45">
        <f t="shared" si="13"/>
        <v>-4168786</v>
      </c>
      <c r="T236" s="45"/>
      <c r="U236" s="44">
        <f>+G236-K236-S236</f>
        <v>0</v>
      </c>
    </row>
    <row r="237" spans="1:21" s="44" customFormat="1" ht="12.75" customHeight="1">
      <c r="A237" s="44" t="s">
        <v>40</v>
      </c>
      <c r="C237" s="47" t="s">
        <v>451</v>
      </c>
      <c r="E237" s="45">
        <f>4191110+44844</f>
        <v>4235954</v>
      </c>
      <c r="F237" s="45"/>
      <c r="G237" s="45">
        <v>8374906</v>
      </c>
      <c r="H237" s="45"/>
      <c r="I237" s="45">
        <v>2920431</v>
      </c>
      <c r="J237" s="45"/>
      <c r="K237" s="45">
        <v>3754452</v>
      </c>
      <c r="L237" s="45"/>
      <c r="M237" s="45">
        <f>540365+69393+55600+29240</f>
        <v>694598</v>
      </c>
      <c r="N237" s="45"/>
      <c r="O237" s="45">
        <v>0</v>
      </c>
      <c r="P237" s="45"/>
      <c r="Q237" s="45">
        <f>1278662+1099769+1431680+115745</f>
        <v>3925856</v>
      </c>
      <c r="R237" s="45"/>
      <c r="S237" s="45">
        <f t="shared" si="13"/>
        <v>4620454</v>
      </c>
      <c r="T237" s="45"/>
      <c r="U237" s="44">
        <f t="shared" si="14"/>
        <v>0</v>
      </c>
    </row>
    <row r="238" spans="1:21" s="44" customFormat="1" ht="12.75" customHeight="1">
      <c r="A238" s="44" t="s">
        <v>266</v>
      </c>
      <c r="C238" s="44" t="s">
        <v>267</v>
      </c>
      <c r="E238" s="45">
        <f>1366553+1119371</f>
        <v>2485924</v>
      </c>
      <c r="F238" s="45"/>
      <c r="G238" s="45">
        <v>4553711</v>
      </c>
      <c r="H238" s="45"/>
      <c r="I238" s="45">
        <v>607714</v>
      </c>
      <c r="J238" s="45"/>
      <c r="K238" s="45">
        <v>935903</v>
      </c>
      <c r="L238" s="45"/>
      <c r="M238" s="45">
        <f>656734+50391+51497+419700</f>
        <v>1178322</v>
      </c>
      <c r="N238" s="45"/>
      <c r="O238" s="45">
        <v>0</v>
      </c>
      <c r="P238" s="45"/>
      <c r="Q238" s="45">
        <f>281168+897206+1261112</f>
        <v>2439486</v>
      </c>
      <c r="R238" s="45"/>
      <c r="S238" s="45">
        <f t="shared" si="13"/>
        <v>3617808</v>
      </c>
      <c r="T238" s="45"/>
      <c r="U238" s="44">
        <f t="shared" si="14"/>
        <v>0</v>
      </c>
    </row>
    <row r="239" spans="1:21" s="44" customFormat="1" ht="12.75" customHeight="1">
      <c r="A239" s="44" t="s">
        <v>268</v>
      </c>
      <c r="C239" s="44" t="s">
        <v>269</v>
      </c>
      <c r="E239" s="45">
        <v>1595124</v>
      </c>
      <c r="F239" s="45"/>
      <c r="G239" s="45">
        <v>3147784</v>
      </c>
      <c r="H239" s="45"/>
      <c r="I239" s="45">
        <v>1231228</v>
      </c>
      <c r="J239" s="45"/>
      <c r="K239" s="45">
        <v>1376365</v>
      </c>
      <c r="L239" s="45"/>
      <c r="M239" s="45">
        <v>95138</v>
      </c>
      <c r="N239" s="45"/>
      <c r="O239" s="45">
        <v>0</v>
      </c>
      <c r="P239" s="45"/>
      <c r="Q239" s="45">
        <f>994155+501433+180693</f>
        <v>1676281</v>
      </c>
      <c r="R239" s="45"/>
      <c r="S239" s="45">
        <f t="shared" si="13"/>
        <v>1771419</v>
      </c>
      <c r="T239" s="45"/>
      <c r="U239" s="44">
        <f t="shared" si="14"/>
        <v>0</v>
      </c>
    </row>
    <row r="240" spans="1:21" s="44" customFormat="1" ht="12.75" customHeight="1">
      <c r="A240" s="44" t="s">
        <v>270</v>
      </c>
      <c r="C240" s="44" t="s">
        <v>136</v>
      </c>
      <c r="E240" s="45">
        <v>2659062</v>
      </c>
      <c r="F240" s="45"/>
      <c r="G240" s="45">
        <v>6332929</v>
      </c>
      <c r="H240" s="45"/>
      <c r="I240" s="45">
        <v>640051</v>
      </c>
      <c r="J240" s="45"/>
      <c r="K240" s="45">
        <v>3284143</v>
      </c>
      <c r="L240" s="45"/>
      <c r="M240" s="45">
        <f>282340+204347+193061</f>
        <v>679748</v>
      </c>
      <c r="N240" s="45"/>
      <c r="O240" s="45">
        <v>0</v>
      </c>
      <c r="P240" s="45"/>
      <c r="Q240" s="45">
        <f>-350455+214459+2459753+45281</f>
        <v>2369038</v>
      </c>
      <c r="R240" s="45"/>
      <c r="S240" s="45">
        <f t="shared" si="13"/>
        <v>3048786</v>
      </c>
      <c r="T240" s="45"/>
      <c r="U240" s="44">
        <f>+G240-K240-S240</f>
        <v>0</v>
      </c>
    </row>
    <row r="241" spans="1:21" s="44" customFormat="1" ht="12.75" customHeight="1">
      <c r="A241" s="44" t="s">
        <v>271</v>
      </c>
      <c r="C241" s="44" t="s">
        <v>66</v>
      </c>
      <c r="E241" s="45">
        <v>2907627</v>
      </c>
      <c r="F241" s="45"/>
      <c r="G241" s="45">
        <v>8327407</v>
      </c>
      <c r="H241" s="45"/>
      <c r="I241" s="45">
        <v>3494211</v>
      </c>
      <c r="J241" s="45"/>
      <c r="K241" s="45">
        <v>4375606</v>
      </c>
      <c r="L241" s="45"/>
      <c r="M241" s="45">
        <f>204167+2051+287307+56998+80082</f>
        <v>630605</v>
      </c>
      <c r="N241" s="45"/>
      <c r="O241" s="45">
        <v>0</v>
      </c>
      <c r="P241" s="45"/>
      <c r="Q241" s="45">
        <f>2479925+608560+232711</f>
        <v>3321196</v>
      </c>
      <c r="R241" s="45"/>
      <c r="S241" s="45">
        <f t="shared" si="13"/>
        <v>3951801</v>
      </c>
      <c r="T241" s="45"/>
      <c r="U241" s="44">
        <f t="shared" si="14"/>
        <v>0</v>
      </c>
    </row>
    <row r="242" spans="1:21" s="44" customFormat="1" ht="12.75" customHeight="1">
      <c r="A242" s="44" t="s">
        <v>272</v>
      </c>
      <c r="C242" s="44" t="s">
        <v>43</v>
      </c>
      <c r="E242" s="45">
        <f>45534474+166073</f>
        <v>45700547</v>
      </c>
      <c r="F242" s="45"/>
      <c r="G242" s="45">
        <v>77222550</v>
      </c>
      <c r="H242" s="45"/>
      <c r="I242" s="45">
        <v>17122839</v>
      </c>
      <c r="J242" s="45"/>
      <c r="K242" s="45">
        <v>30736124</v>
      </c>
      <c r="L242" s="45"/>
      <c r="M242" s="45">
        <f>3659049+7817756+231890+99126</f>
        <v>11807821</v>
      </c>
      <c r="N242" s="45"/>
      <c r="O242" s="45">
        <v>0</v>
      </c>
      <c r="P242" s="45"/>
      <c r="Q242" s="45">
        <f>21871346+13269120+82826-544687</f>
        <v>34678605</v>
      </c>
      <c r="R242" s="45"/>
      <c r="S242" s="45">
        <f t="shared" si="13"/>
        <v>46486426</v>
      </c>
      <c r="T242" s="45"/>
      <c r="U242" s="44">
        <f t="shared" si="14"/>
        <v>0</v>
      </c>
    </row>
    <row r="243" spans="1:21" s="44" customFormat="1" ht="12.75" customHeight="1">
      <c r="A243" s="44" t="s">
        <v>273</v>
      </c>
      <c r="C243" s="44" t="s">
        <v>27</v>
      </c>
      <c r="E243" s="45">
        <f>60101553+35000+766299</f>
        <v>60902852</v>
      </c>
      <c r="F243" s="45"/>
      <c r="G243" s="45">
        <v>88232802</v>
      </c>
      <c r="H243" s="45"/>
      <c r="I243" s="45">
        <v>19926438</v>
      </c>
      <c r="J243" s="45"/>
      <c r="K243" s="45">
        <v>23884510</v>
      </c>
      <c r="L243" s="45"/>
      <c r="M243" s="45">
        <f>1275002+36573112+1491683</f>
        <v>39339797</v>
      </c>
      <c r="N243" s="45"/>
      <c r="O243" s="45">
        <v>12642845</v>
      </c>
      <c r="P243" s="45"/>
      <c r="Q243" s="45">
        <v>12365650</v>
      </c>
      <c r="R243" s="45"/>
      <c r="S243" s="45">
        <f t="shared" si="13"/>
        <v>64348292</v>
      </c>
      <c r="T243" s="45"/>
      <c r="U243" s="44">
        <f t="shared" si="14"/>
        <v>0</v>
      </c>
    </row>
    <row r="244" spans="1:21" s="44" customFormat="1" ht="12.75" customHeight="1">
      <c r="A244" s="44" t="s">
        <v>274</v>
      </c>
      <c r="C244" s="44" t="s">
        <v>43</v>
      </c>
      <c r="E244" s="45">
        <v>10055160</v>
      </c>
      <c r="F244" s="45"/>
      <c r="G244" s="45">
        <v>14187592</v>
      </c>
      <c r="H244" s="45"/>
      <c r="I244" s="45">
        <v>1845166</v>
      </c>
      <c r="J244" s="45"/>
      <c r="K244" s="45">
        <v>4738742</v>
      </c>
      <c r="L244" s="45"/>
      <c r="M244" s="45">
        <f>1017832+146086+132781+867893</f>
        <v>2164592</v>
      </c>
      <c r="N244" s="45"/>
      <c r="O244" s="45">
        <v>0</v>
      </c>
      <c r="P244" s="45"/>
      <c r="Q244" s="45">
        <f>3572316+2293035+1418907</f>
        <v>7284258</v>
      </c>
      <c r="R244" s="45"/>
      <c r="S244" s="45">
        <f t="shared" si="13"/>
        <v>9448850</v>
      </c>
      <c r="T244" s="45"/>
      <c r="U244" s="44">
        <f t="shared" si="14"/>
        <v>0</v>
      </c>
    </row>
    <row r="245" spans="1:21" s="44" customFormat="1" ht="12.75" customHeight="1">
      <c r="A245" s="44" t="s">
        <v>275</v>
      </c>
      <c r="C245" s="44" t="s">
        <v>92</v>
      </c>
      <c r="E245" s="45">
        <f>8881636+966+272833</f>
        <v>9155435</v>
      </c>
      <c r="F245" s="45"/>
      <c r="G245" s="45">
        <v>14107343</v>
      </c>
      <c r="H245" s="45"/>
      <c r="I245" s="45">
        <v>3464107</v>
      </c>
      <c r="J245" s="45"/>
      <c r="K245" s="45">
        <v>4306333</v>
      </c>
      <c r="L245" s="45"/>
      <c r="M245" s="45">
        <f>28422+13361+92772</f>
        <v>134555</v>
      </c>
      <c r="N245" s="45"/>
      <c r="O245" s="45">
        <v>0</v>
      </c>
      <c r="P245" s="45"/>
      <c r="Q245" s="45">
        <f>6155066+783308+109462+2618619</f>
        <v>9666455</v>
      </c>
      <c r="R245" s="45"/>
      <c r="S245" s="45">
        <f t="shared" si="13"/>
        <v>9801010</v>
      </c>
      <c r="T245" s="45"/>
      <c r="U245" s="44">
        <f t="shared" si="14"/>
        <v>0</v>
      </c>
    </row>
    <row r="246" spans="1:21" s="44" customFormat="1" ht="12.75" customHeight="1">
      <c r="A246" s="44" t="s">
        <v>276</v>
      </c>
      <c r="C246" s="44" t="s">
        <v>38</v>
      </c>
      <c r="E246" s="45">
        <f>5988180+256022</f>
        <v>6244202</v>
      </c>
      <c r="F246" s="45"/>
      <c r="G246" s="45">
        <v>7958873</v>
      </c>
      <c r="H246" s="45"/>
      <c r="I246" s="45">
        <v>350297</v>
      </c>
      <c r="J246" s="45"/>
      <c r="K246" s="45">
        <v>1752073</v>
      </c>
      <c r="L246" s="45"/>
      <c r="M246" s="45">
        <f>144592+43633+25874+3897+14907+1575000</f>
        <v>1807903</v>
      </c>
      <c r="N246" s="45"/>
      <c r="O246" s="45">
        <v>0</v>
      </c>
      <c r="P246" s="45"/>
      <c r="Q246" s="45">
        <f>1833392+2209659-450597+806443</f>
        <v>4398897</v>
      </c>
      <c r="R246" s="45"/>
      <c r="S246" s="45">
        <f t="shared" si="13"/>
        <v>6206800</v>
      </c>
      <c r="T246" s="45"/>
      <c r="U246" s="44">
        <f t="shared" si="14"/>
        <v>0</v>
      </c>
    </row>
    <row r="247" spans="1:21" s="44" customFormat="1" ht="12.75" customHeight="1">
      <c r="A247" s="44" t="s">
        <v>277</v>
      </c>
      <c r="C247" s="44" t="s">
        <v>92</v>
      </c>
      <c r="E247" s="45">
        <v>18214223</v>
      </c>
      <c r="F247" s="45"/>
      <c r="G247" s="45">
        <v>35412765</v>
      </c>
      <c r="H247" s="45"/>
      <c r="I247" s="45">
        <v>8776940</v>
      </c>
      <c r="J247" s="45"/>
      <c r="K247" s="45">
        <v>19649159</v>
      </c>
      <c r="L247" s="45"/>
      <c r="M247" s="45">
        <f>3848565+231119+834621+2032+4491637</f>
        <v>9407974</v>
      </c>
      <c r="N247" s="45"/>
      <c r="O247" s="45">
        <v>0</v>
      </c>
      <c r="P247" s="45"/>
      <c r="Q247" s="45">
        <v>6355632</v>
      </c>
      <c r="R247" s="45"/>
      <c r="S247" s="45">
        <f t="shared" si="13"/>
        <v>15763606</v>
      </c>
      <c r="T247" s="45"/>
      <c r="U247" s="44">
        <f t="shared" si="14"/>
        <v>0</v>
      </c>
    </row>
    <row r="248" spans="1:21" s="44" customFormat="1" ht="12.75" customHeight="1">
      <c r="A248" s="44" t="s">
        <v>278</v>
      </c>
      <c r="C248" s="44" t="s">
        <v>92</v>
      </c>
      <c r="E248" s="45">
        <f>1205501+174754</f>
        <v>1380255</v>
      </c>
      <c r="F248" s="45"/>
      <c r="G248" s="45">
        <v>5884429</v>
      </c>
      <c r="H248" s="45"/>
      <c r="I248" s="45">
        <v>3738439</v>
      </c>
      <c r="J248" s="45"/>
      <c r="K248" s="45">
        <v>4663199</v>
      </c>
      <c r="L248" s="45"/>
      <c r="M248" s="45">
        <f>241821+164983+21982</f>
        <v>428786</v>
      </c>
      <c r="N248" s="45"/>
      <c r="O248" s="45">
        <v>0</v>
      </c>
      <c r="P248" s="45"/>
      <c r="Q248" s="45">
        <f>90799+321022+23115+357508</f>
        <v>792444</v>
      </c>
      <c r="R248" s="45"/>
      <c r="S248" s="45">
        <f t="shared" si="13"/>
        <v>1221230</v>
      </c>
      <c r="T248" s="45"/>
      <c r="U248" s="44">
        <f t="shared" si="14"/>
        <v>0</v>
      </c>
    </row>
    <row r="249" spans="1:21" s="44" customFormat="1" ht="12.75" customHeight="1">
      <c r="A249" s="44" t="s">
        <v>279</v>
      </c>
      <c r="C249" s="44" t="s">
        <v>92</v>
      </c>
      <c r="E249" s="45">
        <v>6862272</v>
      </c>
      <c r="F249" s="45"/>
      <c r="G249" s="45">
        <v>14923673</v>
      </c>
      <c r="H249" s="45"/>
      <c r="I249" s="45">
        <v>7125143</v>
      </c>
      <c r="J249" s="45"/>
      <c r="K249" s="45">
        <v>8874286</v>
      </c>
      <c r="L249" s="45"/>
      <c r="M249" s="45">
        <f>739415+27573</f>
        <v>766988</v>
      </c>
      <c r="N249" s="45"/>
      <c r="O249" s="45">
        <v>0</v>
      </c>
      <c r="P249" s="45"/>
      <c r="Q249" s="45">
        <f>1425452+2709767+1147180</f>
        <v>5282399</v>
      </c>
      <c r="R249" s="45"/>
      <c r="S249" s="45">
        <f t="shared" si="13"/>
        <v>6049387</v>
      </c>
      <c r="T249" s="45"/>
      <c r="U249" s="44">
        <f t="shared" si="14"/>
        <v>0</v>
      </c>
    </row>
    <row r="250" spans="1:21" s="44" customFormat="1" ht="12.75" customHeight="1">
      <c r="A250" s="44" t="s">
        <v>280</v>
      </c>
      <c r="C250" s="44" t="s">
        <v>281</v>
      </c>
      <c r="E250" s="45">
        <v>7774760</v>
      </c>
      <c r="F250" s="45"/>
      <c r="G250" s="45">
        <v>12016677</v>
      </c>
      <c r="H250" s="45"/>
      <c r="I250" s="45">
        <v>2600992</v>
      </c>
      <c r="J250" s="45"/>
      <c r="K250" s="45">
        <v>4035416</v>
      </c>
      <c r="L250" s="45"/>
      <c r="M250" s="45">
        <f>151142+275672+35000</f>
        <v>461814</v>
      </c>
      <c r="N250" s="45"/>
      <c r="O250" s="45">
        <v>0</v>
      </c>
      <c r="P250" s="45"/>
      <c r="Q250" s="45">
        <f>5468590+1881918+160057+4129+4753</f>
        <v>7519447</v>
      </c>
      <c r="R250" s="45"/>
      <c r="S250" s="45">
        <f t="shared" si="13"/>
        <v>7981261</v>
      </c>
      <c r="T250" s="45"/>
      <c r="U250" s="44">
        <f t="shared" si="14"/>
        <v>0</v>
      </c>
    </row>
    <row r="251" spans="1:21" s="44" customFormat="1" ht="12.75" customHeight="1">
      <c r="A251" s="44" t="s">
        <v>282</v>
      </c>
      <c r="C251" s="44" t="s">
        <v>199</v>
      </c>
      <c r="E251" s="45">
        <v>17523788</v>
      </c>
      <c r="F251" s="45"/>
      <c r="G251" s="45">
        <v>28343544</v>
      </c>
      <c r="H251" s="45"/>
      <c r="I251" s="45">
        <v>6536071</v>
      </c>
      <c r="J251" s="45"/>
      <c r="K251" s="45">
        <v>10747062</v>
      </c>
      <c r="L251" s="45"/>
      <c r="M251" s="45">
        <f>5543922+579137</f>
        <v>6123059</v>
      </c>
      <c r="N251" s="45"/>
      <c r="O251" s="45">
        <v>0</v>
      </c>
      <c r="P251" s="45"/>
      <c r="Q251" s="45">
        <f>8820044+2412193-383055+624241</f>
        <v>11473423</v>
      </c>
      <c r="R251" s="45"/>
      <c r="S251" s="45">
        <f t="shared" si="13"/>
        <v>17596482</v>
      </c>
      <c r="T251" s="45"/>
      <c r="U251" s="44">
        <f t="shared" si="14"/>
        <v>0</v>
      </c>
    </row>
    <row r="252" spans="1:21" s="44" customFormat="1" ht="12.75" customHeight="1">
      <c r="A252" s="44" t="s">
        <v>283</v>
      </c>
      <c r="C252" s="44" t="s">
        <v>43</v>
      </c>
      <c r="E252" s="45">
        <f>2604003+11188033</f>
        <v>13792036</v>
      </c>
      <c r="F252" s="45"/>
      <c r="G252" s="45">
        <v>21149043</v>
      </c>
      <c r="H252" s="45"/>
      <c r="I252" s="45">
        <v>4075383</v>
      </c>
      <c r="J252" s="45"/>
      <c r="K252" s="45">
        <v>6925059</v>
      </c>
      <c r="L252" s="45"/>
      <c r="M252" s="45">
        <f>942623+85263+841527+210000</f>
        <v>2079413</v>
      </c>
      <c r="N252" s="45"/>
      <c r="O252" s="45">
        <v>0</v>
      </c>
      <c r="P252" s="45"/>
      <c r="Q252" s="45">
        <f>2499840+1558991+8085740</f>
        <v>12144571</v>
      </c>
      <c r="R252" s="45"/>
      <c r="S252" s="45">
        <f t="shared" si="13"/>
        <v>14223984</v>
      </c>
      <c r="T252" s="45"/>
      <c r="U252" s="44">
        <f t="shared" si="14"/>
        <v>0</v>
      </c>
    </row>
    <row r="253" spans="1:21" s="44" customFormat="1" ht="12.75" customHeight="1">
      <c r="A253" s="44" t="s">
        <v>284</v>
      </c>
      <c r="C253" s="44" t="s">
        <v>45</v>
      </c>
      <c r="E253" s="45">
        <f>8851434+78639</f>
        <v>8930073</v>
      </c>
      <c r="F253" s="45"/>
      <c r="G253" s="45">
        <v>14600484</v>
      </c>
      <c r="H253" s="45"/>
      <c r="I253" s="45">
        <v>4232836</v>
      </c>
      <c r="J253" s="45"/>
      <c r="K253" s="45">
        <v>5621098</v>
      </c>
      <c r="L253" s="45"/>
      <c r="M253" s="45">
        <f>1074221+29950</f>
        <v>1104171</v>
      </c>
      <c r="N253" s="45"/>
      <c r="O253" s="45">
        <v>0</v>
      </c>
      <c r="P253" s="45"/>
      <c r="Q253" s="45">
        <f>2854509+416956+47+4603703</f>
        <v>7875215</v>
      </c>
      <c r="R253" s="45"/>
      <c r="S253" s="45">
        <f t="shared" si="13"/>
        <v>8979386</v>
      </c>
      <c r="T253" s="45"/>
      <c r="U253" s="44">
        <f t="shared" si="14"/>
        <v>0</v>
      </c>
    </row>
    <row r="254" spans="1:21" s="44" customFormat="1" ht="12.75" customHeight="1">
      <c r="A254" s="44" t="s">
        <v>285</v>
      </c>
      <c r="C254" s="44" t="s">
        <v>30</v>
      </c>
      <c r="E254" s="45">
        <f>1353591+61522+4803529</f>
        <v>6218642</v>
      </c>
      <c r="F254" s="45"/>
      <c r="G254" s="45">
        <v>12618757</v>
      </c>
      <c r="H254" s="45"/>
      <c r="I254" s="45">
        <v>3332454</v>
      </c>
      <c r="J254" s="45"/>
      <c r="K254" s="45">
        <v>4456849</v>
      </c>
      <c r="L254" s="45"/>
      <c r="M254" s="45">
        <f>359750+38383+183135+26726+33971</f>
        <v>641965</v>
      </c>
      <c r="N254" s="45"/>
      <c r="O254" s="45">
        <v>0</v>
      </c>
      <c r="P254" s="45"/>
      <c r="Q254" s="45">
        <f>4286603+1731786+1501554</f>
        <v>7519943</v>
      </c>
      <c r="R254" s="45"/>
      <c r="S254" s="45">
        <f t="shared" si="13"/>
        <v>8161908</v>
      </c>
      <c r="T254" s="45"/>
      <c r="U254" s="44">
        <f t="shared" si="14"/>
        <v>0</v>
      </c>
    </row>
    <row r="255" spans="1:21" s="44" customFormat="1" ht="12.75" customHeight="1">
      <c r="A255" s="44" t="s">
        <v>286</v>
      </c>
      <c r="C255" s="44" t="s">
        <v>61</v>
      </c>
      <c r="E255" s="45">
        <f>4162249+729001</f>
        <v>4891250</v>
      </c>
      <c r="F255" s="45"/>
      <c r="G255" s="45">
        <v>30852942</v>
      </c>
      <c r="H255" s="45"/>
      <c r="I255" s="45">
        <v>13623611</v>
      </c>
      <c r="J255" s="45"/>
      <c r="K255" s="45">
        <v>41844624</v>
      </c>
      <c r="L255" s="45"/>
      <c r="M255" s="45">
        <f>373239+708536+10399+2166618</f>
        <v>3258792</v>
      </c>
      <c r="N255" s="45"/>
      <c r="O255" s="45">
        <v>0</v>
      </c>
      <c r="P255" s="45"/>
      <c r="Q255" s="45">
        <f>3215771-13352142-4114103</f>
        <v>-14250474</v>
      </c>
      <c r="R255" s="45"/>
      <c r="S255" s="45">
        <f t="shared" si="13"/>
        <v>-10991682</v>
      </c>
      <c r="T255" s="45"/>
      <c r="U255" s="44">
        <f t="shared" si="14"/>
        <v>0</v>
      </c>
    </row>
    <row r="256" spans="1:21" s="44" customFormat="1" ht="12.75" customHeight="1">
      <c r="A256" s="44" t="s">
        <v>287</v>
      </c>
      <c r="C256" s="44" t="s">
        <v>288</v>
      </c>
      <c r="E256" s="45">
        <f>40311485+36055+6538</f>
        <v>40354078</v>
      </c>
      <c r="F256" s="45"/>
      <c r="G256" s="45">
        <v>12895613</v>
      </c>
      <c r="H256" s="45"/>
      <c r="I256" s="45">
        <v>4965286</v>
      </c>
      <c r="J256" s="45"/>
      <c r="K256" s="45">
        <v>9006190</v>
      </c>
      <c r="L256" s="45"/>
      <c r="M256" s="45">
        <f>317422+12624+278493</f>
        <v>608539</v>
      </c>
      <c r="N256" s="45"/>
      <c r="O256" s="45">
        <v>0</v>
      </c>
      <c r="P256" s="45"/>
      <c r="Q256" s="45">
        <f>1147914+1519137-5042+618875</f>
        <v>3280884</v>
      </c>
      <c r="R256" s="45"/>
      <c r="S256" s="45">
        <f t="shared" si="13"/>
        <v>3889423</v>
      </c>
      <c r="T256" s="45"/>
      <c r="U256" s="44">
        <f t="shared" si="14"/>
        <v>0</v>
      </c>
    </row>
    <row r="257" spans="2:2" s="44" customFormat="1" ht="12.75" customHeight="1"/>
    <row r="258" spans="2:2" s="44" customFormat="1" ht="12.75" customHeight="1"/>
    <row r="259" spans="2:2" s="44" customFormat="1" ht="12.75" customHeight="1">
      <c r="B259" s="51"/>
    </row>
    <row r="260" spans="2:2" s="44" customFormat="1" ht="12.75" customHeight="1">
      <c r="B260" s="51"/>
    </row>
    <row r="261" spans="2:2" s="44" customFormat="1" ht="12.75" customHeight="1">
      <c r="B261" s="51"/>
    </row>
    <row r="262" spans="2:2" s="44" customFormat="1" ht="12.75" customHeight="1">
      <c r="B262" s="51"/>
    </row>
    <row r="263" spans="2:2" s="44" customFormat="1" ht="12.75" customHeight="1">
      <c r="B263" s="51"/>
    </row>
    <row r="264" spans="2:2" s="44" customFormat="1" ht="12.75" customHeight="1">
      <c r="B264" s="51"/>
    </row>
    <row r="265" spans="2:2" s="44" customFormat="1" ht="12.75" customHeight="1">
      <c r="B265" s="51"/>
    </row>
    <row r="266" spans="2:2" s="44" customFormat="1" ht="12.75" customHeight="1">
      <c r="B266" s="51"/>
    </row>
    <row r="267" spans="2:2" s="44" customFormat="1" ht="12.75" customHeight="1">
      <c r="B267" s="51"/>
    </row>
    <row r="268" spans="2:2" s="44" customFormat="1" ht="12.75" customHeight="1">
      <c r="B268" s="51"/>
    </row>
    <row r="269" spans="2:2" s="44" customFormat="1" ht="12.75" customHeight="1">
      <c r="B269" s="51"/>
    </row>
    <row r="270" spans="2:2" s="44" customFormat="1" ht="12.75" customHeight="1">
      <c r="B270" s="51"/>
    </row>
    <row r="271" spans="2:2" s="44" customFormat="1" ht="12.75" customHeight="1">
      <c r="B271" s="51"/>
    </row>
    <row r="272" spans="2:2" s="44" customFormat="1" ht="12.75" customHeight="1">
      <c r="B272" s="51"/>
    </row>
    <row r="273" spans="2:2" s="44" customFormat="1" ht="12.75" customHeight="1">
      <c r="B273" s="51"/>
    </row>
    <row r="274" spans="2:2" s="44" customFormat="1" ht="12.75" customHeight="1">
      <c r="B274" s="51"/>
    </row>
    <row r="275" spans="2:2" s="44" customFormat="1" ht="12.75" customHeight="1">
      <c r="B275" s="51"/>
    </row>
    <row r="276" spans="2:2" s="44" customFormat="1" ht="12.75" customHeight="1">
      <c r="B276" s="51"/>
    </row>
    <row r="277" spans="2:2" s="44" customFormat="1" ht="12.75" customHeight="1">
      <c r="B277" s="51"/>
    </row>
    <row r="278" spans="2:2" s="44" customFormat="1" ht="12.75" customHeight="1">
      <c r="B278" s="51"/>
    </row>
    <row r="279" spans="2:2" s="44" customFormat="1" ht="12.75" customHeight="1">
      <c r="B279" s="51"/>
    </row>
    <row r="280" spans="2:2" s="44" customFormat="1" ht="12.75" customHeight="1">
      <c r="B280" s="51"/>
    </row>
    <row r="281" spans="2:2" s="44" customFormat="1" ht="12.75" customHeight="1">
      <c r="B281" s="51"/>
    </row>
    <row r="282" spans="2:2" s="44" customFormat="1" ht="12.75" customHeight="1">
      <c r="B282" s="51"/>
    </row>
    <row r="283" spans="2:2" s="44" customFormat="1" ht="12.75" customHeight="1">
      <c r="B283" s="51"/>
    </row>
    <row r="284" spans="2:2" s="44" customFormat="1" ht="12.75" customHeight="1">
      <c r="B284" s="51"/>
    </row>
    <row r="285" spans="2:2" s="44" customFormat="1" ht="12.75" customHeight="1">
      <c r="B285" s="51"/>
    </row>
    <row r="286" spans="2:2" s="44" customFormat="1" ht="12.75" customHeight="1">
      <c r="B286" s="51"/>
    </row>
    <row r="287" spans="2:2" s="44" customFormat="1" ht="12.75" customHeight="1">
      <c r="B287" s="51"/>
    </row>
    <row r="288" spans="2:2" s="44" customFormat="1" ht="12.75" customHeight="1">
      <c r="B288" s="51"/>
    </row>
    <row r="289" spans="2:2" s="44" customFormat="1" ht="12.75" customHeight="1">
      <c r="B289" s="51"/>
    </row>
    <row r="290" spans="2:2" s="44" customFormat="1" ht="12.75" customHeight="1">
      <c r="B290" s="51"/>
    </row>
    <row r="291" spans="2:2" s="44" customFormat="1" ht="12.75" customHeight="1">
      <c r="B291" s="51"/>
    </row>
    <row r="292" spans="2:2" s="44" customFormat="1" ht="12.75" customHeight="1">
      <c r="B292" s="51"/>
    </row>
    <row r="293" spans="2:2" s="44" customFormat="1" ht="12.75" customHeight="1">
      <c r="B293" s="51"/>
    </row>
    <row r="294" spans="2:2" s="44" customFormat="1" ht="12.75" customHeight="1">
      <c r="B294" s="51"/>
    </row>
    <row r="295" spans="2:2" s="44" customFormat="1" ht="12.75" customHeight="1">
      <c r="B295" s="51"/>
    </row>
    <row r="296" spans="2:2" s="44" customFormat="1" ht="12.75" customHeight="1">
      <c r="B296" s="51"/>
    </row>
    <row r="297" spans="2:2" s="44" customFormat="1" ht="12.75" customHeight="1">
      <c r="B297" s="51"/>
    </row>
    <row r="298" spans="2:2" s="44" customFormat="1" ht="12.75" customHeight="1">
      <c r="B298" s="51"/>
    </row>
    <row r="299" spans="2:2" s="44" customFormat="1" ht="12.75" customHeight="1">
      <c r="B299" s="51"/>
    </row>
    <row r="300" spans="2:2" s="44" customFormat="1" ht="12.75" customHeight="1">
      <c r="B300" s="51"/>
    </row>
    <row r="301" spans="2:2" s="44" customFormat="1" ht="12.75" customHeight="1">
      <c r="B301" s="51"/>
    </row>
    <row r="302" spans="2:2" s="44" customFormat="1" ht="12.75" customHeight="1">
      <c r="B302" s="51"/>
    </row>
    <row r="303" spans="2:2" s="44" customFormat="1" ht="12.75" customHeight="1">
      <c r="B303" s="51"/>
    </row>
    <row r="304" spans="2:2" s="44" customFormat="1" ht="12.75" customHeight="1">
      <c r="B304" s="51"/>
    </row>
    <row r="305" spans="2:2" s="44" customFormat="1" ht="12.75" customHeight="1">
      <c r="B305" s="51"/>
    </row>
    <row r="306" spans="2:2" s="44" customFormat="1" ht="12.75" customHeight="1">
      <c r="B306" s="51"/>
    </row>
    <row r="307" spans="2:2" s="44" customFormat="1" ht="12.75" customHeight="1">
      <c r="B307" s="51"/>
    </row>
    <row r="308" spans="2:2" s="44" customFormat="1" ht="12.75" customHeight="1">
      <c r="B308" s="51"/>
    </row>
    <row r="309" spans="2:2" s="44" customFormat="1" ht="12.75" customHeight="1">
      <c r="B309" s="51"/>
    </row>
    <row r="310" spans="2:2" s="44" customFormat="1" ht="12.75" customHeight="1">
      <c r="B310" s="51"/>
    </row>
    <row r="311" spans="2:2" s="44" customFormat="1" ht="12.75" customHeight="1">
      <c r="B311" s="51"/>
    </row>
  </sheetData>
  <phoneticPr fontId="4" type="noConversion"/>
  <pageMargins left="0.75" right="0.75" top="0.5" bottom="0.5" header="0" footer="0.25"/>
  <pageSetup firstPageNumber="40" pageOrder="overThenDown" orientation="portrait" useFirstPageNumber="1" r:id="rId1"/>
  <headerFooter alignWithMargins="0">
    <oddFooter>&amp;C&amp;"Times New Roman,Regular"&amp;11&amp;P</oddFooter>
  </headerFooter>
  <rowBreaks count="3" manualBreakCount="3">
    <brk id="58" max="18" man="1"/>
    <brk id="107" max="18" man="1"/>
    <brk id="158" max="18" man="1"/>
  </rowBreaks>
  <colBreaks count="1" manualBreakCount="1">
    <brk id="11" min="9" max="2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Z336"/>
  <sheetViews>
    <sheetView view="pageBreakPreview" zoomScale="75" zoomScaleNormal="100" zoomScaleSheetLayoutView="75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A5" sqref="A5"/>
    </sheetView>
  </sheetViews>
  <sheetFormatPr defaultColWidth="9.140625" defaultRowHeight="12.75" customHeight="1"/>
  <cols>
    <col min="1" max="1" width="18.140625" style="17" customWidth="1"/>
    <col min="2" max="2" width="1.7109375" customWidth="1"/>
    <col min="3" max="3" width="14.5703125" style="17" customWidth="1"/>
    <col min="4" max="4" width="1.7109375" style="10" customWidth="1"/>
    <col min="5" max="5" width="14.5703125" style="17" customWidth="1"/>
    <col min="6" max="6" width="1.7109375" style="17" customWidth="1"/>
    <col min="7" max="7" width="14.5703125" style="17" customWidth="1"/>
    <col min="8" max="8" width="1.7109375" style="17" customWidth="1"/>
    <col min="9" max="9" width="14.5703125" style="17" customWidth="1"/>
    <col min="10" max="10" width="1.7109375" style="17" customWidth="1"/>
    <col min="11" max="11" width="14.5703125" style="17" customWidth="1"/>
    <col min="12" max="12" width="1.7109375" style="17" customWidth="1"/>
    <col min="13" max="13" width="14.5703125" style="17" customWidth="1"/>
    <col min="14" max="14" width="1.7109375" style="17" customWidth="1"/>
    <col min="15" max="15" width="14.5703125" style="17" customWidth="1"/>
    <col min="16" max="16" width="1.7109375" style="17" customWidth="1"/>
    <col min="17" max="17" width="14.5703125" style="17" customWidth="1"/>
    <col min="18" max="18" width="1.7109375" style="17" customWidth="1"/>
    <col min="19" max="19" width="14.5703125" style="2" customWidth="1"/>
    <col min="20" max="20" width="1.7109375" style="17" customWidth="1"/>
    <col min="21" max="21" width="14.5703125" style="32" customWidth="1"/>
    <col min="22" max="22" width="2.5703125" style="10" customWidth="1"/>
    <col min="23" max="23" width="14.5703125" style="10" customWidth="1"/>
    <col min="24" max="25" width="9.28515625" style="10" bestFit="1" customWidth="1"/>
    <col min="26" max="16384" width="9.140625" style="10"/>
  </cols>
  <sheetData>
    <row r="1" spans="1:23" s="31" customFormat="1" ht="12.75" customHeight="1">
      <c r="A1" s="23" t="s">
        <v>387</v>
      </c>
      <c r="C1" s="23"/>
      <c r="D1" s="10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9"/>
      <c r="T1" s="23"/>
      <c r="U1" s="73"/>
      <c r="V1" s="24"/>
    </row>
    <row r="2" spans="1:23" s="31" customFormat="1" ht="12.75" customHeight="1">
      <c r="A2" s="23" t="s">
        <v>501</v>
      </c>
      <c r="C2" s="23"/>
      <c r="D2" s="10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9"/>
      <c r="T2" s="23"/>
      <c r="U2" s="73"/>
      <c r="V2" s="24"/>
    </row>
    <row r="3" spans="1:23" s="17" customFormat="1" ht="12.75" customHeight="1">
      <c r="A3" s="24" t="s">
        <v>289</v>
      </c>
      <c r="C3" s="11"/>
      <c r="D3" s="10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37"/>
      <c r="V3" s="11"/>
    </row>
    <row r="4" spans="1:23" s="17" customFormat="1" ht="12.75" customHeight="1">
      <c r="A4" s="24" t="s">
        <v>484</v>
      </c>
      <c r="C4" s="11"/>
      <c r="D4" s="10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5"/>
      <c r="T4" s="11"/>
      <c r="U4" s="37"/>
      <c r="V4" s="11"/>
    </row>
    <row r="6" spans="1:23" s="30" customFormat="1" ht="12.75" customHeight="1">
      <c r="A6" s="23"/>
      <c r="C6" s="25"/>
      <c r="D6" s="12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6"/>
      <c r="T6" s="25"/>
      <c r="U6" s="37"/>
      <c r="V6" s="25"/>
      <c r="W6" s="30" t="s">
        <v>294</v>
      </c>
    </row>
    <row r="7" spans="1:23" s="30" customFormat="1" ht="12.75" customHeight="1">
      <c r="A7" s="25"/>
      <c r="C7" s="25"/>
      <c r="D7" s="25"/>
      <c r="E7" s="25" t="s">
        <v>293</v>
      </c>
      <c r="F7" s="25"/>
      <c r="G7" s="25" t="s">
        <v>326</v>
      </c>
      <c r="H7" s="25"/>
      <c r="I7" s="25" t="s">
        <v>294</v>
      </c>
      <c r="J7" s="25"/>
      <c r="K7" s="25" t="s">
        <v>292</v>
      </c>
      <c r="L7" s="25"/>
      <c r="M7" s="25" t="s">
        <v>327</v>
      </c>
      <c r="N7" s="25"/>
      <c r="O7" s="25" t="s">
        <v>328</v>
      </c>
      <c r="P7" s="25"/>
      <c r="Q7" s="25" t="s">
        <v>329</v>
      </c>
      <c r="R7" s="25"/>
      <c r="S7" s="6" t="s">
        <v>330</v>
      </c>
      <c r="T7" s="25"/>
      <c r="U7" s="6" t="s">
        <v>6</v>
      </c>
      <c r="V7" s="25"/>
      <c r="W7" s="30" t="s">
        <v>434</v>
      </c>
    </row>
    <row r="8" spans="1:23" s="98" customFormat="1" ht="12.75" customHeight="1">
      <c r="A8" s="100" t="s">
        <v>8</v>
      </c>
      <c r="C8" s="100" t="s">
        <v>9</v>
      </c>
      <c r="D8" s="26"/>
      <c r="E8" s="100" t="s">
        <v>423</v>
      </c>
      <c r="F8" s="26"/>
      <c r="G8" s="100" t="s">
        <v>299</v>
      </c>
      <c r="H8" s="26"/>
      <c r="I8" s="100" t="s">
        <v>299</v>
      </c>
      <c r="J8" s="26"/>
      <c r="K8" s="100" t="s">
        <v>297</v>
      </c>
      <c r="L8" s="26"/>
      <c r="M8" s="100" t="s">
        <v>331</v>
      </c>
      <c r="N8" s="26"/>
      <c r="O8" s="100" t="s">
        <v>332</v>
      </c>
      <c r="P8" s="26"/>
      <c r="Q8" s="100" t="s">
        <v>401</v>
      </c>
      <c r="R8" s="26"/>
      <c r="S8" s="78" t="s">
        <v>323</v>
      </c>
      <c r="T8" s="26"/>
      <c r="U8" s="78" t="s">
        <v>302</v>
      </c>
      <c r="V8" s="26"/>
      <c r="W8" s="99" t="s">
        <v>435</v>
      </c>
    </row>
    <row r="9" spans="1:23" s="98" customFormat="1" ht="12.75" customHeight="1">
      <c r="A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8"/>
      <c r="T9" s="26"/>
      <c r="U9" s="53"/>
      <c r="V9" s="26"/>
    </row>
    <row r="10" spans="1:23" s="46" customFormat="1" ht="12.75" customHeight="1">
      <c r="A10" s="44" t="s">
        <v>12</v>
      </c>
      <c r="B10" s="49"/>
      <c r="C10" s="44" t="s">
        <v>13</v>
      </c>
      <c r="D10" s="35"/>
      <c r="E10" s="94">
        <v>17427919</v>
      </c>
      <c r="F10" s="94"/>
      <c r="G10" s="94">
        <v>74698881</v>
      </c>
      <c r="H10" s="94"/>
      <c r="I10" s="94">
        <v>24424499</v>
      </c>
      <c r="J10" s="94"/>
      <c r="K10" s="94">
        <v>19156018</v>
      </c>
      <c r="L10" s="94"/>
      <c r="M10" s="94">
        <v>6292</v>
      </c>
      <c r="N10" s="94"/>
      <c r="O10" s="94">
        <v>511782</v>
      </c>
      <c r="P10" s="94"/>
      <c r="Q10" s="94">
        <v>6191971</v>
      </c>
      <c r="R10" s="94"/>
      <c r="S10" s="46">
        <f>U10-E10-G10-K10-M10-O10-Q10-I10</f>
        <v>4294223</v>
      </c>
      <c r="T10" s="94"/>
      <c r="U10" s="94">
        <v>146711585</v>
      </c>
      <c r="V10" s="64"/>
      <c r="W10" s="46">
        <v>63293</v>
      </c>
    </row>
    <row r="11" spans="1:23" s="44" customFormat="1" ht="12.75" customHeight="1">
      <c r="A11" s="44" t="s">
        <v>14</v>
      </c>
      <c r="C11" s="44" t="s">
        <v>15</v>
      </c>
      <c r="D11" s="35"/>
      <c r="E11" s="45">
        <v>826714</v>
      </c>
      <c r="F11" s="45"/>
      <c r="G11" s="45">
        <v>7072527</v>
      </c>
      <c r="H11" s="45"/>
      <c r="I11" s="45">
        <v>0</v>
      </c>
      <c r="J11" s="45"/>
      <c r="K11" s="45">
        <v>286138</v>
      </c>
      <c r="L11" s="45"/>
      <c r="M11" s="45">
        <v>1711284</v>
      </c>
      <c r="N11" s="45"/>
      <c r="O11" s="45">
        <v>0</v>
      </c>
      <c r="P11" s="45"/>
      <c r="Q11" s="45">
        <f>98552+413992</f>
        <v>512544</v>
      </c>
      <c r="R11" s="45"/>
      <c r="S11" s="44">
        <f t="shared" ref="S11:S53" si="0">U11-E11-G11-K11-M11-O11-Q11-I11</f>
        <v>617273</v>
      </c>
      <c r="T11" s="45"/>
      <c r="U11" s="45">
        <v>11026480</v>
      </c>
      <c r="V11" s="35"/>
      <c r="W11" s="45">
        <v>0</v>
      </c>
    </row>
    <row r="12" spans="1:23" s="49" customFormat="1" ht="12.75" customHeight="1">
      <c r="A12" s="44" t="s">
        <v>16</v>
      </c>
      <c r="C12" s="44" t="s">
        <v>17</v>
      </c>
      <c r="D12" s="35"/>
      <c r="E12" s="45">
        <v>884867</v>
      </c>
      <c r="F12" s="45"/>
      <c r="G12" s="45">
        <v>2085125</v>
      </c>
      <c r="H12" s="45"/>
      <c r="I12" s="45">
        <v>0</v>
      </c>
      <c r="J12" s="45"/>
      <c r="K12" s="45">
        <v>112190</v>
      </c>
      <c r="L12" s="45"/>
      <c r="M12" s="45">
        <v>667432</v>
      </c>
      <c r="N12" s="45"/>
      <c r="O12" s="45">
        <v>0</v>
      </c>
      <c r="P12" s="45"/>
      <c r="Q12" s="45">
        <f>159688+74484</f>
        <v>234172</v>
      </c>
      <c r="R12" s="45"/>
      <c r="S12" s="44">
        <f t="shared" si="0"/>
        <v>512318</v>
      </c>
      <c r="T12" s="45"/>
      <c r="U12" s="45">
        <v>4496104</v>
      </c>
      <c r="V12" s="35"/>
      <c r="W12" s="45">
        <v>0</v>
      </c>
    </row>
    <row r="13" spans="1:23" s="49" customFormat="1" ht="12.75" customHeight="1">
      <c r="A13" s="44" t="s">
        <v>18</v>
      </c>
      <c r="C13" s="44" t="s">
        <v>18</v>
      </c>
      <c r="D13" s="35"/>
      <c r="E13" s="45">
        <v>584545</v>
      </c>
      <c r="F13" s="45"/>
      <c r="G13" s="45">
        <v>7218900</v>
      </c>
      <c r="H13" s="45"/>
      <c r="I13" s="45">
        <v>0</v>
      </c>
      <c r="J13" s="45"/>
      <c r="K13" s="45">
        <v>1818090</v>
      </c>
      <c r="L13" s="45"/>
      <c r="M13" s="45">
        <v>1064491</v>
      </c>
      <c r="N13" s="45"/>
      <c r="O13" s="45">
        <v>0</v>
      </c>
      <c r="P13" s="45"/>
      <c r="Q13" s="45">
        <f>53418+628028</f>
        <v>681446</v>
      </c>
      <c r="R13" s="45"/>
      <c r="S13" s="44">
        <f t="shared" si="0"/>
        <v>651747</v>
      </c>
      <c r="T13" s="45"/>
      <c r="U13" s="45">
        <v>12019219</v>
      </c>
      <c r="V13" s="35"/>
      <c r="W13" s="45">
        <v>0</v>
      </c>
    </row>
    <row r="14" spans="1:23" s="49" customFormat="1" ht="12.75" customHeight="1">
      <c r="A14" s="44" t="s">
        <v>19</v>
      </c>
      <c r="C14" s="44" t="s">
        <v>19</v>
      </c>
      <c r="D14" s="35"/>
      <c r="E14" s="45">
        <v>1086339</v>
      </c>
      <c r="F14" s="45"/>
      <c r="G14" s="45">
        <v>5619950</v>
      </c>
      <c r="H14" s="45"/>
      <c r="I14" s="45">
        <v>0</v>
      </c>
      <c r="J14" s="45"/>
      <c r="K14" s="45">
        <v>144797</v>
      </c>
      <c r="L14" s="45"/>
      <c r="M14" s="45">
        <v>1481801</v>
      </c>
      <c r="N14" s="45"/>
      <c r="O14" s="45">
        <v>0</v>
      </c>
      <c r="P14" s="45"/>
      <c r="Q14" s="45">
        <f>87024+704813</f>
        <v>791837</v>
      </c>
      <c r="R14" s="45"/>
      <c r="S14" s="44">
        <f t="shared" si="0"/>
        <v>394392</v>
      </c>
      <c r="T14" s="45"/>
      <c r="U14" s="45">
        <v>9519116</v>
      </c>
      <c r="V14" s="35"/>
      <c r="W14" s="45">
        <v>0</v>
      </c>
    </row>
    <row r="15" spans="1:23" s="49" customFormat="1" ht="12.75" customHeight="1">
      <c r="A15" s="44" t="s">
        <v>20</v>
      </c>
      <c r="C15" s="44" t="s">
        <v>20</v>
      </c>
      <c r="D15" s="35"/>
      <c r="E15" s="45">
        <v>810905</v>
      </c>
      <c r="F15" s="45"/>
      <c r="G15" s="45">
        <v>6199226</v>
      </c>
      <c r="H15" s="45"/>
      <c r="I15" s="45">
        <v>29159</v>
      </c>
      <c r="J15" s="45"/>
      <c r="K15" s="45">
        <v>954785</v>
      </c>
      <c r="L15" s="45"/>
      <c r="M15" s="45">
        <v>1170142</v>
      </c>
      <c r="N15" s="45"/>
      <c r="O15" s="45">
        <v>1585</v>
      </c>
      <c r="P15" s="45"/>
      <c r="Q15" s="45">
        <f>596379+1171920</f>
        <v>1768299</v>
      </c>
      <c r="R15" s="45"/>
      <c r="S15" s="44">
        <f t="shared" si="0"/>
        <v>131778</v>
      </c>
      <c r="T15" s="45"/>
      <c r="U15" s="45">
        <v>11065879</v>
      </c>
      <c r="V15" s="35"/>
      <c r="W15" s="45">
        <v>157188</v>
      </c>
    </row>
    <row r="16" spans="1:23" s="49" customFormat="1" ht="12.75" customHeight="1">
      <c r="A16" s="44" t="s">
        <v>21</v>
      </c>
      <c r="C16" s="44" t="s">
        <v>22</v>
      </c>
      <c r="D16" s="35"/>
      <c r="E16" s="45">
        <v>1416393</v>
      </c>
      <c r="F16" s="45"/>
      <c r="G16" s="45">
        <v>9045538</v>
      </c>
      <c r="H16" s="45"/>
      <c r="I16" s="45">
        <v>922373</v>
      </c>
      <c r="J16" s="45"/>
      <c r="K16" s="45">
        <v>130057</v>
      </c>
      <c r="L16" s="45"/>
      <c r="M16" s="45">
        <v>517475</v>
      </c>
      <c r="N16" s="45"/>
      <c r="O16" s="45">
        <v>0</v>
      </c>
      <c r="P16" s="45"/>
      <c r="Q16" s="45">
        <f>165187+34161</f>
        <v>199348</v>
      </c>
      <c r="R16" s="45"/>
      <c r="S16" s="44">
        <f t="shared" si="0"/>
        <v>311738</v>
      </c>
      <c r="T16" s="45"/>
      <c r="U16" s="45">
        <v>12542922</v>
      </c>
      <c r="V16" s="35"/>
      <c r="W16" s="45">
        <v>5530</v>
      </c>
    </row>
    <row r="17" spans="1:23" s="49" customFormat="1" ht="12.75" customHeight="1">
      <c r="A17" s="44" t="s">
        <v>23</v>
      </c>
      <c r="C17" s="44" t="s">
        <v>17</v>
      </c>
      <c r="D17" s="35"/>
      <c r="E17" s="45">
        <v>1529321</v>
      </c>
      <c r="F17" s="45"/>
      <c r="G17" s="45">
        <v>4722396</v>
      </c>
      <c r="H17" s="45"/>
      <c r="I17" s="45">
        <v>0</v>
      </c>
      <c r="J17" s="45"/>
      <c r="K17" s="45">
        <v>740012</v>
      </c>
      <c r="L17" s="45"/>
      <c r="M17" s="45">
        <v>993866</v>
      </c>
      <c r="N17" s="45"/>
      <c r="O17" s="45">
        <v>0</v>
      </c>
      <c r="P17" s="45"/>
      <c r="Q17" s="45">
        <f>598863+109289</f>
        <v>708152</v>
      </c>
      <c r="R17" s="45"/>
      <c r="S17" s="44">
        <f t="shared" si="0"/>
        <v>1071848</v>
      </c>
      <c r="T17" s="45"/>
      <c r="U17" s="45">
        <v>9765595</v>
      </c>
      <c r="V17" s="35"/>
      <c r="W17" s="45">
        <v>251796</v>
      </c>
    </row>
    <row r="18" spans="1:23" s="49" customFormat="1" ht="12.75" customHeight="1">
      <c r="A18" s="44" t="s">
        <v>24</v>
      </c>
      <c r="C18" s="44" t="s">
        <v>17</v>
      </c>
      <c r="D18" s="35"/>
      <c r="E18" s="45">
        <v>4083673</v>
      </c>
      <c r="F18" s="45"/>
      <c r="G18" s="45">
        <v>0</v>
      </c>
      <c r="H18" s="45"/>
      <c r="I18" s="45">
        <v>0</v>
      </c>
      <c r="J18" s="45"/>
      <c r="K18" s="45">
        <v>347563</v>
      </c>
      <c r="L18" s="45"/>
      <c r="M18" s="45">
        <v>1971985</v>
      </c>
      <c r="N18" s="45"/>
      <c r="O18" s="45">
        <v>0</v>
      </c>
      <c r="P18" s="45"/>
      <c r="Q18" s="45">
        <f>203033+266215</f>
        <v>469248</v>
      </c>
      <c r="R18" s="45"/>
      <c r="S18" s="44">
        <f t="shared" si="0"/>
        <v>63038</v>
      </c>
      <c r="T18" s="45"/>
      <c r="U18" s="45">
        <v>6935507</v>
      </c>
      <c r="V18" s="35"/>
      <c r="W18" s="45">
        <f>6000000+59291</f>
        <v>6059291</v>
      </c>
    </row>
    <row r="19" spans="1:23" s="49" customFormat="1" ht="12.75" customHeight="1">
      <c r="A19" s="44" t="s">
        <v>25</v>
      </c>
      <c r="C19" s="44" t="s">
        <v>13</v>
      </c>
      <c r="D19" s="35"/>
      <c r="E19" s="45">
        <v>1209433</v>
      </c>
      <c r="F19" s="45"/>
      <c r="G19" s="45">
        <v>10476295</v>
      </c>
      <c r="H19" s="45"/>
      <c r="I19" s="45">
        <v>0</v>
      </c>
      <c r="J19" s="45"/>
      <c r="K19" s="45">
        <v>1792190</v>
      </c>
      <c r="L19" s="45"/>
      <c r="M19" s="45">
        <v>2615404</v>
      </c>
      <c r="N19" s="45"/>
      <c r="O19" s="45">
        <v>0</v>
      </c>
      <c r="P19" s="45"/>
      <c r="Q19" s="45">
        <f>137327+84908</f>
        <v>222235</v>
      </c>
      <c r="R19" s="45"/>
      <c r="S19" s="44">
        <f t="shared" si="0"/>
        <v>674370</v>
      </c>
      <c r="T19" s="45"/>
      <c r="U19" s="45">
        <v>16989927</v>
      </c>
      <c r="V19" s="35"/>
      <c r="W19" s="45">
        <f>5950+39329</f>
        <v>45279</v>
      </c>
    </row>
    <row r="20" spans="1:23" s="49" customFormat="1" ht="12.75" customHeight="1">
      <c r="A20" s="44" t="s">
        <v>26</v>
      </c>
      <c r="C20" s="44" t="s">
        <v>27</v>
      </c>
      <c r="D20" s="35"/>
      <c r="E20" s="45">
        <v>3767632</v>
      </c>
      <c r="F20" s="45"/>
      <c r="G20" s="45">
        <v>4492593</v>
      </c>
      <c r="H20" s="45"/>
      <c r="I20" s="45">
        <v>0</v>
      </c>
      <c r="J20" s="45"/>
      <c r="K20" s="45">
        <v>198304</v>
      </c>
      <c r="L20" s="45"/>
      <c r="M20" s="45">
        <v>2234063</v>
      </c>
      <c r="N20" s="45"/>
      <c r="O20" s="45">
        <v>15196</v>
      </c>
      <c r="P20" s="45"/>
      <c r="Q20" s="45">
        <v>394773</v>
      </c>
      <c r="R20" s="45"/>
      <c r="S20" s="44">
        <f t="shared" si="0"/>
        <v>476372</v>
      </c>
      <c r="T20" s="45"/>
      <c r="U20" s="45">
        <v>11578933</v>
      </c>
      <c r="V20" s="35"/>
      <c r="W20" s="45">
        <v>31882</v>
      </c>
    </row>
    <row r="21" spans="1:23" s="49" customFormat="1" ht="12.75" customHeight="1">
      <c r="A21" s="44" t="s">
        <v>28</v>
      </c>
      <c r="C21" s="44" t="s">
        <v>27</v>
      </c>
      <c r="D21" s="35"/>
      <c r="E21" s="45">
        <v>2698540</v>
      </c>
      <c r="F21" s="45"/>
      <c r="G21" s="45">
        <v>18325854</v>
      </c>
      <c r="H21" s="45"/>
      <c r="I21" s="45">
        <f>2430800+130552+607839+105097</f>
        <v>3274288</v>
      </c>
      <c r="J21" s="45"/>
      <c r="K21" s="45">
        <v>2442116</v>
      </c>
      <c r="L21" s="45"/>
      <c r="M21" s="45">
        <v>662313</v>
      </c>
      <c r="N21" s="45"/>
      <c r="O21" s="45">
        <v>0</v>
      </c>
      <c r="P21" s="45"/>
      <c r="Q21" s="45">
        <v>976022</v>
      </c>
      <c r="R21" s="45"/>
      <c r="S21" s="44">
        <f t="shared" si="0"/>
        <v>627644</v>
      </c>
      <c r="T21" s="45"/>
      <c r="U21" s="45">
        <v>29006777</v>
      </c>
      <c r="V21" s="35"/>
      <c r="W21" s="45">
        <v>0</v>
      </c>
    </row>
    <row r="22" spans="1:23" s="49" customFormat="1" ht="12.75" customHeight="1">
      <c r="A22" s="44" t="s">
        <v>29</v>
      </c>
      <c r="C22" s="44" t="s">
        <v>30</v>
      </c>
      <c r="D22" s="35"/>
      <c r="E22" s="45">
        <v>1288456</v>
      </c>
      <c r="F22" s="45"/>
      <c r="G22" s="45">
        <v>0</v>
      </c>
      <c r="H22" s="45"/>
      <c r="I22" s="45">
        <v>0</v>
      </c>
      <c r="J22" s="45"/>
      <c r="K22" s="45">
        <v>195355</v>
      </c>
      <c r="L22" s="45"/>
      <c r="M22" s="45">
        <v>2283855</v>
      </c>
      <c r="N22" s="45"/>
      <c r="O22" s="45">
        <v>89601</v>
      </c>
      <c r="P22" s="45"/>
      <c r="Q22" s="45">
        <v>1061698</v>
      </c>
      <c r="R22" s="45"/>
      <c r="S22" s="44">
        <f t="shared" si="0"/>
        <v>214171</v>
      </c>
      <c r="T22" s="45"/>
      <c r="U22" s="45">
        <v>5133136</v>
      </c>
      <c r="V22" s="35"/>
      <c r="W22" s="45">
        <v>333</v>
      </c>
    </row>
    <row r="23" spans="1:23" s="49" customFormat="1" ht="12.75" customHeight="1">
      <c r="A23" s="44" t="s">
        <v>31</v>
      </c>
      <c r="C23" s="44" t="s">
        <v>27</v>
      </c>
      <c r="D23" s="35"/>
      <c r="E23" s="45">
        <v>2425077</v>
      </c>
      <c r="F23" s="45"/>
      <c r="G23" s="45">
        <v>7901941</v>
      </c>
      <c r="H23" s="45"/>
      <c r="I23" s="45">
        <v>0</v>
      </c>
      <c r="J23" s="45"/>
      <c r="K23" s="45">
        <v>1027866</v>
      </c>
      <c r="L23" s="45"/>
      <c r="M23" s="45">
        <v>1632489</v>
      </c>
      <c r="N23" s="45"/>
      <c r="O23" s="45">
        <v>0</v>
      </c>
      <c r="P23" s="45"/>
      <c r="Q23" s="45">
        <f>162368+1466843</f>
        <v>1629211</v>
      </c>
      <c r="R23" s="45"/>
      <c r="S23" s="44">
        <f t="shared" si="0"/>
        <v>234654</v>
      </c>
      <c r="T23" s="45"/>
      <c r="U23" s="45">
        <v>14851238</v>
      </c>
      <c r="V23" s="35"/>
      <c r="W23" s="45">
        <f>20986+3453+200000</f>
        <v>224439</v>
      </c>
    </row>
    <row r="24" spans="1:23" s="49" customFormat="1" ht="12.75" customHeight="1">
      <c r="A24" s="44" t="s">
        <v>32</v>
      </c>
      <c r="C24" s="44" t="s">
        <v>27</v>
      </c>
      <c r="D24" s="35"/>
      <c r="E24" s="45">
        <v>1410977</v>
      </c>
      <c r="F24" s="45"/>
      <c r="G24" s="45">
        <v>8053573</v>
      </c>
      <c r="H24" s="45"/>
      <c r="I24" s="45">
        <v>0</v>
      </c>
      <c r="J24" s="45"/>
      <c r="K24" s="45">
        <v>3465619</v>
      </c>
      <c r="L24" s="45"/>
      <c r="M24" s="45">
        <v>1001890</v>
      </c>
      <c r="N24" s="45"/>
      <c r="O24" s="45">
        <v>0</v>
      </c>
      <c r="P24" s="45"/>
      <c r="Q24" s="45">
        <f>211354+171331</f>
        <v>382685</v>
      </c>
      <c r="R24" s="45"/>
      <c r="S24" s="44">
        <f t="shared" si="0"/>
        <v>354076</v>
      </c>
      <c r="T24" s="45"/>
      <c r="U24" s="45">
        <v>14668820</v>
      </c>
      <c r="V24" s="35"/>
      <c r="W24" s="45">
        <v>3957</v>
      </c>
    </row>
    <row r="25" spans="1:23" s="49" customFormat="1" ht="12.75" customHeight="1">
      <c r="A25" s="46" t="s">
        <v>34</v>
      </c>
      <c r="B25" s="46"/>
      <c r="C25" s="46" t="s">
        <v>30</v>
      </c>
      <c r="D25" s="64"/>
      <c r="E25" s="45">
        <v>587430</v>
      </c>
      <c r="F25" s="45"/>
      <c r="G25" s="45">
        <v>0</v>
      </c>
      <c r="H25" s="45"/>
      <c r="I25" s="45">
        <v>0</v>
      </c>
      <c r="J25" s="45"/>
      <c r="K25" s="45">
        <v>36823</v>
      </c>
      <c r="L25" s="45"/>
      <c r="M25" s="45">
        <v>496751</v>
      </c>
      <c r="N25" s="45"/>
      <c r="O25" s="45">
        <v>0</v>
      </c>
      <c r="P25" s="45"/>
      <c r="Q25" s="45">
        <v>129580</v>
      </c>
      <c r="R25" s="45"/>
      <c r="S25" s="44">
        <f t="shared" si="0"/>
        <v>23787</v>
      </c>
      <c r="T25" s="45"/>
      <c r="U25" s="45">
        <v>1274371</v>
      </c>
      <c r="V25" s="35"/>
      <c r="W25" s="45">
        <v>0</v>
      </c>
    </row>
    <row r="26" spans="1:23" s="49" customFormat="1" ht="12.75" customHeight="1">
      <c r="A26" s="44" t="s">
        <v>35</v>
      </c>
      <c r="C26" s="44" t="s">
        <v>36</v>
      </c>
      <c r="D26" s="35"/>
      <c r="E26" s="45">
        <v>475160</v>
      </c>
      <c r="F26" s="45"/>
      <c r="G26" s="45">
        <v>5115994</v>
      </c>
      <c r="H26" s="45"/>
      <c r="I26" s="45">
        <v>17834</v>
      </c>
      <c r="J26" s="45"/>
      <c r="K26" s="45">
        <v>32000</v>
      </c>
      <c r="L26" s="45"/>
      <c r="M26" s="45">
        <v>1760971</v>
      </c>
      <c r="N26" s="45"/>
      <c r="O26" s="45">
        <v>0</v>
      </c>
      <c r="P26" s="45"/>
      <c r="Q26" s="45">
        <f>84146+452704</f>
        <v>536850</v>
      </c>
      <c r="R26" s="45"/>
      <c r="S26" s="44">
        <f t="shared" si="0"/>
        <v>150354</v>
      </c>
      <c r="T26" s="45"/>
      <c r="U26" s="45">
        <v>8089163</v>
      </c>
      <c r="V26" s="35"/>
      <c r="W26" s="45">
        <v>0</v>
      </c>
    </row>
    <row r="27" spans="1:23" s="49" customFormat="1" ht="12.75" customHeight="1">
      <c r="A27" s="44" t="s">
        <v>37</v>
      </c>
      <c r="C27" s="44" t="s">
        <v>38</v>
      </c>
      <c r="D27" s="35"/>
      <c r="E27" s="45">
        <v>316038</v>
      </c>
      <c r="F27" s="45"/>
      <c r="G27" s="45">
        <v>3015275</v>
      </c>
      <c r="H27" s="45"/>
      <c r="I27" s="45">
        <v>0</v>
      </c>
      <c r="J27" s="45"/>
      <c r="K27" s="45">
        <v>0</v>
      </c>
      <c r="L27" s="45"/>
      <c r="M27" s="45">
        <v>397697</v>
      </c>
      <c r="N27" s="45"/>
      <c r="O27" s="45">
        <v>0</v>
      </c>
      <c r="P27" s="45"/>
      <c r="Q27" s="45">
        <f>54169+107465</f>
        <v>161634</v>
      </c>
      <c r="R27" s="45"/>
      <c r="S27" s="44">
        <f t="shared" si="0"/>
        <v>104739</v>
      </c>
      <c r="T27" s="45"/>
      <c r="U27" s="45">
        <v>3995383</v>
      </c>
      <c r="V27" s="35"/>
      <c r="W27" s="45">
        <v>0</v>
      </c>
    </row>
    <row r="28" spans="1:23" s="49" customFormat="1" ht="12.75" customHeight="1">
      <c r="A28" s="46" t="s">
        <v>39</v>
      </c>
      <c r="B28" s="46"/>
      <c r="C28" s="46" t="s">
        <v>40</v>
      </c>
      <c r="D28" s="64"/>
      <c r="E28" s="45">
        <v>295963</v>
      </c>
      <c r="F28" s="45"/>
      <c r="G28" s="45">
        <v>1055876</v>
      </c>
      <c r="H28" s="45"/>
      <c r="I28" s="45">
        <v>750</v>
      </c>
      <c r="J28" s="45"/>
      <c r="K28" s="45">
        <v>227922</v>
      </c>
      <c r="L28" s="45"/>
      <c r="M28" s="45">
        <v>360316</v>
      </c>
      <c r="N28" s="45"/>
      <c r="O28" s="45">
        <v>0</v>
      </c>
      <c r="P28" s="45"/>
      <c r="Q28" s="45">
        <v>214806</v>
      </c>
      <c r="R28" s="45"/>
      <c r="S28" s="44">
        <f t="shared" si="0"/>
        <v>59519</v>
      </c>
      <c r="T28" s="45"/>
      <c r="U28" s="45">
        <v>2215152</v>
      </c>
      <c r="V28" s="35"/>
      <c r="W28" s="45">
        <f>4900+175000</f>
        <v>179900</v>
      </c>
    </row>
    <row r="29" spans="1:23" s="49" customFormat="1" ht="12.75" customHeight="1">
      <c r="A29" s="44" t="s">
        <v>41</v>
      </c>
      <c r="C29" s="44" t="s">
        <v>27</v>
      </c>
      <c r="D29" s="35"/>
      <c r="E29" s="45">
        <v>1713283</v>
      </c>
      <c r="F29" s="45"/>
      <c r="G29" s="45">
        <v>10181318</v>
      </c>
      <c r="H29" s="45"/>
      <c r="I29" s="45">
        <v>199128</v>
      </c>
      <c r="J29" s="45"/>
      <c r="K29" s="45">
        <v>228671</v>
      </c>
      <c r="L29" s="45"/>
      <c r="M29" s="45">
        <v>1672591</v>
      </c>
      <c r="N29" s="45"/>
      <c r="O29" s="45">
        <v>8310</v>
      </c>
      <c r="P29" s="45"/>
      <c r="Q29" s="45">
        <f>376046+1546055</f>
        <v>1922101</v>
      </c>
      <c r="R29" s="45"/>
      <c r="S29" s="44">
        <f t="shared" si="0"/>
        <v>210983</v>
      </c>
      <c r="T29" s="45"/>
      <c r="U29" s="45">
        <v>16136385</v>
      </c>
      <c r="V29" s="35"/>
      <c r="W29" s="45">
        <v>10578</v>
      </c>
    </row>
    <row r="30" spans="1:23" s="49" customFormat="1" ht="12.75" customHeight="1">
      <c r="A30" s="44" t="s">
        <v>42</v>
      </c>
      <c r="C30" s="44" t="s">
        <v>43</v>
      </c>
      <c r="D30" s="35"/>
      <c r="E30" s="45">
        <v>684078</v>
      </c>
      <c r="F30" s="45"/>
      <c r="G30" s="45">
        <v>5940465</v>
      </c>
      <c r="H30" s="45"/>
      <c r="I30" s="45">
        <v>163855</v>
      </c>
      <c r="J30" s="45"/>
      <c r="K30" s="45">
        <v>0</v>
      </c>
      <c r="L30" s="45"/>
      <c r="M30" s="45">
        <v>5222332</v>
      </c>
      <c r="N30" s="45"/>
      <c r="O30" s="45">
        <v>0</v>
      </c>
      <c r="P30" s="45"/>
      <c r="Q30" s="45">
        <f>225459+93327</f>
        <v>318786</v>
      </c>
      <c r="R30" s="45"/>
      <c r="S30" s="44">
        <f t="shared" si="0"/>
        <v>619600</v>
      </c>
      <c r="T30" s="45"/>
      <c r="U30" s="45">
        <v>12949116</v>
      </c>
      <c r="V30" s="35"/>
      <c r="W30" s="45">
        <f>7400000+12001</f>
        <v>7412001</v>
      </c>
    </row>
    <row r="31" spans="1:23" s="49" customFormat="1" ht="12.75" customHeight="1">
      <c r="A31" s="44" t="s">
        <v>44</v>
      </c>
      <c r="C31" s="44" t="s">
        <v>45</v>
      </c>
      <c r="D31" s="35"/>
      <c r="E31" s="45">
        <v>2169222</v>
      </c>
      <c r="F31" s="45"/>
      <c r="G31" s="45">
        <v>27084620</v>
      </c>
      <c r="H31" s="45"/>
      <c r="I31" s="45">
        <v>891104</v>
      </c>
      <c r="J31" s="45"/>
      <c r="K31" s="45">
        <v>674830</v>
      </c>
      <c r="L31" s="45"/>
      <c r="M31" s="45">
        <v>1953745</v>
      </c>
      <c r="N31" s="45"/>
      <c r="O31" s="45">
        <v>0</v>
      </c>
      <c r="P31" s="45"/>
      <c r="Q31" s="45">
        <f>252611+115694</f>
        <v>368305</v>
      </c>
      <c r="R31" s="45"/>
      <c r="S31" s="44">
        <f t="shared" si="0"/>
        <v>73977</v>
      </c>
      <c r="T31" s="45"/>
      <c r="U31" s="45">
        <v>33215803</v>
      </c>
      <c r="V31" s="35"/>
      <c r="W31" s="45">
        <f>17521+9320</f>
        <v>26841</v>
      </c>
    </row>
    <row r="32" spans="1:23" s="49" customFormat="1" ht="12.75" customHeight="1">
      <c r="A32" s="44" t="s">
        <v>46</v>
      </c>
      <c r="C32" s="44" t="s">
        <v>47</v>
      </c>
      <c r="D32" s="35"/>
      <c r="E32" s="45">
        <v>1643019</v>
      </c>
      <c r="F32" s="45"/>
      <c r="G32" s="45">
        <v>5683802</v>
      </c>
      <c r="H32" s="45"/>
      <c r="I32" s="45">
        <v>2095739</v>
      </c>
      <c r="J32" s="45"/>
      <c r="K32" s="45">
        <v>1490533</v>
      </c>
      <c r="L32" s="45"/>
      <c r="M32" s="45">
        <v>2461146</v>
      </c>
      <c r="N32" s="45"/>
      <c r="O32" s="45">
        <v>0</v>
      </c>
      <c r="P32" s="45"/>
      <c r="Q32" s="45">
        <f>23313+692894</f>
        <v>716207</v>
      </c>
      <c r="R32" s="45"/>
      <c r="S32" s="44">
        <f t="shared" si="0"/>
        <v>837869</v>
      </c>
      <c r="T32" s="45"/>
      <c r="U32" s="45">
        <v>14928315</v>
      </c>
      <c r="V32" s="35"/>
      <c r="W32" s="45">
        <v>536269</v>
      </c>
    </row>
    <row r="33" spans="1:23" s="49" customFormat="1" ht="12.75" customHeight="1">
      <c r="A33" s="44" t="s">
        <v>48</v>
      </c>
      <c r="C33" s="44" t="s">
        <v>27</v>
      </c>
      <c r="D33" s="35"/>
      <c r="E33" s="45">
        <v>1902737</v>
      </c>
      <c r="F33" s="45"/>
      <c r="G33" s="45">
        <v>10745856</v>
      </c>
      <c r="H33" s="45"/>
      <c r="I33" s="45">
        <v>0</v>
      </c>
      <c r="J33" s="45"/>
      <c r="K33" s="45">
        <v>95167</v>
      </c>
      <c r="L33" s="45"/>
      <c r="M33" s="45">
        <v>1409597</v>
      </c>
      <c r="N33" s="45"/>
      <c r="O33" s="45">
        <v>0</v>
      </c>
      <c r="P33" s="45"/>
      <c r="Q33" s="45">
        <f>298214+271077</f>
        <v>569291</v>
      </c>
      <c r="R33" s="45"/>
      <c r="S33" s="44">
        <f t="shared" si="0"/>
        <v>522850</v>
      </c>
      <c r="T33" s="45"/>
      <c r="U33" s="45">
        <v>15245498</v>
      </c>
      <c r="V33" s="35"/>
      <c r="W33" s="45">
        <v>17414</v>
      </c>
    </row>
    <row r="34" spans="1:23" s="49" customFormat="1" ht="12.75" customHeight="1">
      <c r="A34" s="44" t="s">
        <v>49</v>
      </c>
      <c r="C34" s="44" t="s">
        <v>27</v>
      </c>
      <c r="D34" s="35"/>
      <c r="E34" s="45">
        <v>8563268</v>
      </c>
      <c r="F34" s="45"/>
      <c r="G34" s="45">
        <v>0</v>
      </c>
      <c r="H34" s="45"/>
      <c r="I34" s="45">
        <v>0</v>
      </c>
      <c r="J34" s="45"/>
      <c r="K34" s="45">
        <v>421548</v>
      </c>
      <c r="L34" s="45"/>
      <c r="M34" s="45">
        <v>978491</v>
      </c>
      <c r="N34" s="45"/>
      <c r="O34" s="45">
        <v>39711</v>
      </c>
      <c r="P34" s="45"/>
      <c r="Q34" s="45">
        <f>586766+284129</f>
        <v>870895</v>
      </c>
      <c r="R34" s="45"/>
      <c r="S34" s="44">
        <f t="shared" si="0"/>
        <v>80252</v>
      </c>
      <c r="T34" s="45"/>
      <c r="U34" s="45">
        <v>10954165</v>
      </c>
      <c r="V34" s="35"/>
      <c r="W34" s="45">
        <v>0</v>
      </c>
    </row>
    <row r="35" spans="1:23" s="49" customFormat="1" ht="12.75" customHeight="1">
      <c r="A35" s="44" t="s">
        <v>50</v>
      </c>
      <c r="C35" s="44" t="s">
        <v>27</v>
      </c>
      <c r="D35" s="35"/>
      <c r="E35" s="45">
        <v>1864144</v>
      </c>
      <c r="F35" s="45"/>
      <c r="G35" s="45">
        <v>15958675</v>
      </c>
      <c r="H35" s="45"/>
      <c r="I35" s="45">
        <v>274922</v>
      </c>
      <c r="J35" s="45"/>
      <c r="K35" s="45">
        <v>2268175</v>
      </c>
      <c r="L35" s="45"/>
      <c r="M35" s="45">
        <v>1879997</v>
      </c>
      <c r="N35" s="45"/>
      <c r="O35" s="45">
        <v>0</v>
      </c>
      <c r="P35" s="45"/>
      <c r="Q35" s="45">
        <f>411410+264470</f>
        <v>675880</v>
      </c>
      <c r="R35" s="45"/>
      <c r="S35" s="44">
        <f t="shared" si="0"/>
        <v>477573</v>
      </c>
      <c r="T35" s="45"/>
      <c r="U35" s="45">
        <v>23399366</v>
      </c>
      <c r="V35" s="35"/>
      <c r="W35" s="45">
        <v>5362</v>
      </c>
    </row>
    <row r="36" spans="1:23" s="49" customFormat="1" ht="12.75" customHeight="1">
      <c r="A36" s="44" t="s">
        <v>51</v>
      </c>
      <c r="C36" s="44" t="s">
        <v>27</v>
      </c>
      <c r="D36" s="35"/>
      <c r="E36" s="45">
        <v>1106904</v>
      </c>
      <c r="F36" s="45"/>
      <c r="G36" s="45">
        <v>11300542</v>
      </c>
      <c r="H36" s="45"/>
      <c r="I36" s="45">
        <v>234609</v>
      </c>
      <c r="J36" s="45"/>
      <c r="K36" s="45">
        <v>1053057</v>
      </c>
      <c r="L36" s="45"/>
      <c r="M36" s="45">
        <v>1221018</v>
      </c>
      <c r="N36" s="45"/>
      <c r="O36" s="45">
        <v>0</v>
      </c>
      <c r="P36" s="45"/>
      <c r="Q36" s="45">
        <v>517663</v>
      </c>
      <c r="R36" s="45"/>
      <c r="S36" s="44">
        <f>U36-E36-G36-K36-M36-O36-Q36-I36</f>
        <v>217607</v>
      </c>
      <c r="T36" s="45"/>
      <c r="U36" s="45">
        <v>15651400</v>
      </c>
      <c r="V36" s="35"/>
      <c r="W36" s="45">
        <v>18750</v>
      </c>
    </row>
    <row r="37" spans="1:23" s="49" customFormat="1" ht="12.75" customHeight="1">
      <c r="A37" s="44" t="s">
        <v>462</v>
      </c>
      <c r="C37" s="44" t="s">
        <v>66</v>
      </c>
      <c r="D37" s="35"/>
      <c r="E37" s="45">
        <v>133034</v>
      </c>
      <c r="F37" s="45"/>
      <c r="G37" s="45">
        <v>2089262</v>
      </c>
      <c r="H37" s="45"/>
      <c r="I37" s="45">
        <v>0</v>
      </c>
      <c r="J37" s="45"/>
      <c r="K37" s="45">
        <v>641869</v>
      </c>
      <c r="L37" s="45"/>
      <c r="M37" s="45">
        <v>353247</v>
      </c>
      <c r="N37" s="45"/>
      <c r="O37" s="45">
        <v>0</v>
      </c>
      <c r="P37" s="45"/>
      <c r="Q37" s="45">
        <v>80984</v>
      </c>
      <c r="R37" s="45"/>
      <c r="S37" s="44">
        <f t="shared" si="0"/>
        <v>53009</v>
      </c>
      <c r="T37" s="45"/>
      <c r="U37" s="45">
        <v>3351405</v>
      </c>
      <c r="V37" s="35"/>
      <c r="W37" s="45">
        <v>5139</v>
      </c>
    </row>
    <row r="38" spans="1:23" s="49" customFormat="1" ht="12.75" customHeight="1">
      <c r="A38" s="44" t="s">
        <v>52</v>
      </c>
      <c r="C38" s="44" t="s">
        <v>53</v>
      </c>
      <c r="D38" s="35"/>
      <c r="E38" s="45">
        <v>1808734</v>
      </c>
      <c r="F38" s="45"/>
      <c r="G38" s="45">
        <v>3333900</v>
      </c>
      <c r="H38" s="45"/>
      <c r="I38" s="45">
        <v>0</v>
      </c>
      <c r="J38" s="45"/>
      <c r="K38" s="45">
        <v>173220</v>
      </c>
      <c r="L38" s="45"/>
      <c r="M38" s="45">
        <v>1310937</v>
      </c>
      <c r="N38" s="45"/>
      <c r="O38" s="45">
        <v>0</v>
      </c>
      <c r="P38" s="45"/>
      <c r="Q38" s="45">
        <f>576901+520521</f>
        <v>1097422</v>
      </c>
      <c r="R38" s="45"/>
      <c r="S38" s="44">
        <f t="shared" si="0"/>
        <v>87305</v>
      </c>
      <c r="T38" s="45"/>
      <c r="U38" s="45">
        <v>7811518</v>
      </c>
      <c r="V38" s="35"/>
      <c r="W38" s="45">
        <v>0</v>
      </c>
    </row>
    <row r="39" spans="1:23" s="49" customFormat="1" ht="12.75" customHeight="1">
      <c r="A39" s="44" t="s">
        <v>54</v>
      </c>
      <c r="C39" s="44" t="s">
        <v>55</v>
      </c>
      <c r="D39" s="35"/>
      <c r="E39" s="45">
        <v>1252909</v>
      </c>
      <c r="F39" s="45"/>
      <c r="G39" s="45">
        <v>0</v>
      </c>
      <c r="H39" s="45"/>
      <c r="I39" s="45">
        <v>0</v>
      </c>
      <c r="J39" s="45"/>
      <c r="K39" s="45">
        <v>136883</v>
      </c>
      <c r="L39" s="45"/>
      <c r="M39" s="45">
        <v>998442</v>
      </c>
      <c r="N39" s="45"/>
      <c r="O39" s="45">
        <v>0</v>
      </c>
      <c r="P39" s="45"/>
      <c r="Q39" s="45">
        <f>53507+545319</f>
        <v>598826</v>
      </c>
      <c r="R39" s="45"/>
      <c r="S39" s="44">
        <f t="shared" si="0"/>
        <v>341814</v>
      </c>
      <c r="T39" s="45"/>
      <c r="U39" s="45">
        <v>3328874</v>
      </c>
      <c r="V39" s="35"/>
      <c r="W39" s="45">
        <f>4553+2325000</f>
        <v>2329553</v>
      </c>
    </row>
    <row r="40" spans="1:23" s="49" customFormat="1" ht="12.75" customHeight="1">
      <c r="A40" s="44" t="s">
        <v>56</v>
      </c>
      <c r="C40" s="44" t="s">
        <v>57</v>
      </c>
      <c r="D40" s="35"/>
      <c r="E40" s="45">
        <v>542353</v>
      </c>
      <c r="F40" s="45"/>
      <c r="G40" s="45">
        <v>2414915</v>
      </c>
      <c r="H40" s="45"/>
      <c r="I40" s="45">
        <v>29234</v>
      </c>
      <c r="J40" s="45"/>
      <c r="K40" s="45">
        <v>347199</v>
      </c>
      <c r="L40" s="45"/>
      <c r="M40" s="45">
        <v>694545</v>
      </c>
      <c r="N40" s="45"/>
      <c r="O40" s="45">
        <v>0</v>
      </c>
      <c r="P40" s="45"/>
      <c r="Q40" s="45">
        <f>49416+38984</f>
        <v>88400</v>
      </c>
      <c r="R40" s="45"/>
      <c r="S40" s="44">
        <f t="shared" si="0"/>
        <v>165671</v>
      </c>
      <c r="T40" s="45"/>
      <c r="U40" s="45">
        <v>4282317</v>
      </c>
      <c r="V40" s="35"/>
      <c r="W40" s="45">
        <v>0</v>
      </c>
    </row>
    <row r="41" spans="1:23" s="49" customFormat="1" ht="12.75" customHeight="1">
      <c r="A41" s="44" t="s">
        <v>58</v>
      </c>
      <c r="C41" s="44" t="s">
        <v>59</v>
      </c>
      <c r="D41" s="35"/>
      <c r="E41" s="45">
        <v>302456</v>
      </c>
      <c r="F41" s="45"/>
      <c r="G41" s="45">
        <v>3148368</v>
      </c>
      <c r="H41" s="45"/>
      <c r="I41" s="45">
        <v>0</v>
      </c>
      <c r="J41" s="45"/>
      <c r="K41" s="45">
        <v>0</v>
      </c>
      <c r="L41" s="45"/>
      <c r="M41" s="45">
        <v>884463</v>
      </c>
      <c r="N41" s="45"/>
      <c r="O41" s="45">
        <v>0</v>
      </c>
      <c r="P41" s="45"/>
      <c r="Q41" s="45">
        <f>135890+653678</f>
        <v>789568</v>
      </c>
      <c r="R41" s="45"/>
      <c r="S41" s="44">
        <f t="shared" si="0"/>
        <v>346554</v>
      </c>
      <c r="T41" s="45"/>
      <c r="U41" s="45">
        <v>5471409</v>
      </c>
      <c r="V41" s="35"/>
      <c r="W41" s="45">
        <v>0</v>
      </c>
    </row>
    <row r="42" spans="1:23" s="49" customFormat="1" ht="12.75" customHeight="1">
      <c r="A42" s="46" t="s">
        <v>476</v>
      </c>
      <c r="B42" s="46"/>
      <c r="C42" s="46" t="s">
        <v>15</v>
      </c>
      <c r="D42" s="64"/>
      <c r="E42" s="45">
        <v>212447</v>
      </c>
      <c r="F42" s="45"/>
      <c r="G42" s="45">
        <v>1831818</v>
      </c>
      <c r="H42" s="45"/>
      <c r="I42" s="45">
        <v>0</v>
      </c>
      <c r="J42" s="45"/>
      <c r="K42" s="45">
        <v>3929</v>
      </c>
      <c r="L42" s="45"/>
      <c r="M42" s="45">
        <v>267833</v>
      </c>
      <c r="N42" s="45"/>
      <c r="O42" s="45">
        <v>0</v>
      </c>
      <c r="P42" s="45"/>
      <c r="Q42" s="45">
        <v>31598</v>
      </c>
      <c r="R42" s="45"/>
      <c r="S42" s="44">
        <f t="shared" si="0"/>
        <v>136528</v>
      </c>
      <c r="T42" s="45"/>
      <c r="U42" s="45">
        <v>2484153</v>
      </c>
      <c r="V42" s="35"/>
      <c r="W42" s="45">
        <v>0</v>
      </c>
    </row>
    <row r="43" spans="1:23" s="49" customFormat="1" ht="12.75" customHeight="1">
      <c r="A43" s="44" t="s">
        <v>60</v>
      </c>
      <c r="C43" s="44" t="s">
        <v>61</v>
      </c>
      <c r="D43" s="35"/>
      <c r="E43" s="45">
        <v>0</v>
      </c>
      <c r="F43" s="45"/>
      <c r="G43" s="45">
        <v>2332004</v>
      </c>
      <c r="H43" s="45"/>
      <c r="I43" s="45">
        <v>0</v>
      </c>
      <c r="J43" s="45"/>
      <c r="K43" s="45">
        <v>245730</v>
      </c>
      <c r="L43" s="45"/>
      <c r="M43" s="45">
        <v>335649</v>
      </c>
      <c r="N43" s="45"/>
      <c r="O43" s="45">
        <v>675</v>
      </c>
      <c r="P43" s="45"/>
      <c r="Q43" s="45">
        <f>83323+52886</f>
        <v>136209</v>
      </c>
      <c r="R43" s="45"/>
      <c r="S43" s="44">
        <f t="shared" si="0"/>
        <v>229702</v>
      </c>
      <c r="T43" s="45"/>
      <c r="U43" s="45">
        <v>3279969</v>
      </c>
      <c r="V43" s="35"/>
      <c r="W43" s="45">
        <v>3348</v>
      </c>
    </row>
    <row r="44" spans="1:23" s="49" customFormat="1" ht="12.75" customHeight="1">
      <c r="A44" s="46" t="s">
        <v>62</v>
      </c>
      <c r="B44" s="46"/>
      <c r="C44" s="46" t="s">
        <v>15</v>
      </c>
      <c r="D44" s="64"/>
      <c r="E44" s="45">
        <v>3710390</v>
      </c>
      <c r="F44" s="45"/>
      <c r="G44" s="45">
        <v>31152140</v>
      </c>
      <c r="H44" s="45"/>
      <c r="I44" s="45">
        <v>0</v>
      </c>
      <c r="J44" s="45"/>
      <c r="K44" s="45">
        <v>10085629</v>
      </c>
      <c r="L44" s="45"/>
      <c r="M44" s="45">
        <f>6050527+367617</f>
        <v>6418144</v>
      </c>
      <c r="N44" s="45"/>
      <c r="O44" s="45">
        <v>0</v>
      </c>
      <c r="P44" s="45"/>
      <c r="Q44" s="45">
        <f>1284188+243966</f>
        <v>1528154</v>
      </c>
      <c r="R44" s="45"/>
      <c r="S44" s="44">
        <f t="shared" si="0"/>
        <v>2044202</v>
      </c>
      <c r="T44" s="45"/>
      <c r="U44" s="45">
        <v>54938659</v>
      </c>
      <c r="V44" s="35"/>
      <c r="W44" s="45">
        <f>4080000+206933</f>
        <v>4286933</v>
      </c>
    </row>
    <row r="45" spans="1:23" s="49" customFormat="1" ht="12.75" customHeight="1">
      <c r="A45" s="44" t="s">
        <v>485</v>
      </c>
      <c r="C45" s="44" t="s">
        <v>111</v>
      </c>
      <c r="D45" s="35"/>
      <c r="E45" s="45">
        <v>78267</v>
      </c>
      <c r="F45" s="45"/>
      <c r="G45" s="45">
        <v>535058</v>
      </c>
      <c r="H45" s="45"/>
      <c r="I45" s="45">
        <v>0</v>
      </c>
      <c r="J45" s="45"/>
      <c r="K45" s="45">
        <v>0</v>
      </c>
      <c r="L45" s="45"/>
      <c r="M45" s="45">
        <v>94554</v>
      </c>
      <c r="N45" s="45"/>
      <c r="O45" s="45">
        <v>30278</v>
      </c>
      <c r="P45" s="45"/>
      <c r="Q45" s="45">
        <f>99804+107050</f>
        <v>206854</v>
      </c>
      <c r="R45" s="45"/>
      <c r="S45" s="44">
        <f>U45-E45-G45-K45-M45-O45-Q45-I45</f>
        <v>96874</v>
      </c>
      <c r="T45" s="45"/>
      <c r="U45" s="45">
        <v>1041885</v>
      </c>
      <c r="V45" s="35"/>
      <c r="W45" s="45">
        <v>1813</v>
      </c>
    </row>
    <row r="46" spans="1:23" s="49" customFormat="1" ht="12.75" customHeight="1">
      <c r="A46" s="44" t="s">
        <v>63</v>
      </c>
      <c r="C46" s="44" t="s">
        <v>64</v>
      </c>
      <c r="D46" s="35"/>
      <c r="E46" s="45">
        <v>299395</v>
      </c>
      <c r="F46" s="45"/>
      <c r="G46" s="45">
        <v>2464920</v>
      </c>
      <c r="H46" s="45"/>
      <c r="I46" s="45">
        <v>536329</v>
      </c>
      <c r="J46" s="45"/>
      <c r="K46" s="45">
        <v>220689</v>
      </c>
      <c r="L46" s="45"/>
      <c r="M46" s="45">
        <v>906504</v>
      </c>
      <c r="N46" s="45"/>
      <c r="O46" s="45">
        <v>0</v>
      </c>
      <c r="P46" s="45"/>
      <c r="Q46" s="45">
        <f>99562+321679</f>
        <v>421241</v>
      </c>
      <c r="R46" s="45"/>
      <c r="S46" s="44">
        <f t="shared" si="0"/>
        <v>167100</v>
      </c>
      <c r="T46" s="45"/>
      <c r="U46" s="45">
        <v>5016178</v>
      </c>
      <c r="V46" s="35"/>
      <c r="W46" s="45">
        <v>26895</v>
      </c>
    </row>
    <row r="47" spans="1:23" s="49" customFormat="1" ht="12.75" customHeight="1">
      <c r="A47" s="44" t="s">
        <v>65</v>
      </c>
      <c r="C47" s="44" t="s">
        <v>66</v>
      </c>
      <c r="D47" s="35"/>
      <c r="E47" s="45">
        <v>12205328</v>
      </c>
      <c r="F47" s="45"/>
      <c r="G47" s="45">
        <v>0</v>
      </c>
      <c r="H47" s="45"/>
      <c r="I47" s="45">
        <v>0</v>
      </c>
      <c r="J47" s="45"/>
      <c r="K47" s="45">
        <v>242665</v>
      </c>
      <c r="L47" s="45"/>
      <c r="M47" s="45">
        <v>2383601</v>
      </c>
      <c r="N47" s="45"/>
      <c r="O47" s="45">
        <v>14922</v>
      </c>
      <c r="P47" s="45"/>
      <c r="Q47" s="45">
        <v>192494</v>
      </c>
      <c r="R47" s="45"/>
      <c r="S47" s="44">
        <f t="shared" si="0"/>
        <v>190093</v>
      </c>
      <c r="T47" s="45"/>
      <c r="U47" s="45">
        <v>15229103</v>
      </c>
      <c r="V47" s="35"/>
      <c r="W47" s="45">
        <v>0</v>
      </c>
    </row>
    <row r="48" spans="1:23" s="49" customFormat="1" ht="12.75" customHeight="1">
      <c r="A48" s="44" t="s">
        <v>67</v>
      </c>
      <c r="C48" s="44" t="s">
        <v>375</v>
      </c>
      <c r="D48" s="35"/>
      <c r="E48" s="45">
        <v>339941</v>
      </c>
      <c r="F48" s="45"/>
      <c r="G48" s="45">
        <v>4864815</v>
      </c>
      <c r="H48" s="45"/>
      <c r="I48" s="45">
        <v>0</v>
      </c>
      <c r="J48" s="45"/>
      <c r="K48" s="45">
        <v>87092</v>
      </c>
      <c r="L48" s="45"/>
      <c r="M48" s="45">
        <v>351176</v>
      </c>
      <c r="N48" s="45"/>
      <c r="O48" s="45">
        <v>0</v>
      </c>
      <c r="P48" s="45"/>
      <c r="Q48" s="45">
        <f>130785+907340</f>
        <v>1038125</v>
      </c>
      <c r="R48" s="45"/>
      <c r="S48" s="44">
        <f t="shared" si="0"/>
        <v>207569</v>
      </c>
      <c r="T48" s="45"/>
      <c r="U48" s="45">
        <v>6888718</v>
      </c>
      <c r="V48" s="35"/>
      <c r="W48" s="45">
        <v>47500</v>
      </c>
    </row>
    <row r="49" spans="1:23" s="49" customFormat="1" ht="12.75" customHeight="1">
      <c r="A49" s="44" t="s">
        <v>68</v>
      </c>
      <c r="C49" s="44" t="s">
        <v>45</v>
      </c>
      <c r="D49" s="35"/>
      <c r="E49" s="45">
        <v>1074260</v>
      </c>
      <c r="F49" s="45"/>
      <c r="G49" s="45">
        <v>1742090</v>
      </c>
      <c r="H49" s="45"/>
      <c r="I49" s="45">
        <v>75240</v>
      </c>
      <c r="J49" s="45"/>
      <c r="K49" s="45">
        <v>578442</v>
      </c>
      <c r="L49" s="45"/>
      <c r="M49" s="45">
        <v>489430</v>
      </c>
      <c r="N49" s="45"/>
      <c r="O49" s="45">
        <v>0</v>
      </c>
      <c r="P49" s="45"/>
      <c r="Q49" s="45">
        <f>18601+84505</f>
        <v>103106</v>
      </c>
      <c r="R49" s="45"/>
      <c r="S49" s="44">
        <f t="shared" si="0"/>
        <v>89550</v>
      </c>
      <c r="T49" s="45"/>
      <c r="U49" s="45">
        <v>4152118</v>
      </c>
      <c r="V49" s="35"/>
      <c r="W49" s="45">
        <f>155+33080</f>
        <v>33235</v>
      </c>
    </row>
    <row r="50" spans="1:23" s="49" customFormat="1" ht="12.75" customHeight="1">
      <c r="A50" s="44" t="s">
        <v>69</v>
      </c>
      <c r="C50" s="44" t="s">
        <v>70</v>
      </c>
      <c r="D50" s="35"/>
      <c r="E50" s="45">
        <v>932321</v>
      </c>
      <c r="F50" s="45"/>
      <c r="G50" s="45">
        <v>8463474</v>
      </c>
      <c r="H50" s="45"/>
      <c r="I50" s="45">
        <v>133653</v>
      </c>
      <c r="J50" s="45"/>
      <c r="K50" s="45">
        <v>2177987</v>
      </c>
      <c r="L50" s="45"/>
      <c r="M50" s="45">
        <v>2052410</v>
      </c>
      <c r="N50" s="45"/>
      <c r="O50" s="45">
        <v>17104</v>
      </c>
      <c r="P50" s="45"/>
      <c r="Q50" s="45">
        <v>2136818</v>
      </c>
      <c r="R50" s="45"/>
      <c r="S50" s="44">
        <f t="shared" si="0"/>
        <v>386893</v>
      </c>
      <c r="T50" s="45"/>
      <c r="U50" s="45">
        <v>16300660</v>
      </c>
      <c r="V50" s="35"/>
      <c r="W50" s="45">
        <f>10108+35842+862420</f>
        <v>908370</v>
      </c>
    </row>
    <row r="51" spans="1:23" s="49" customFormat="1" ht="12.75" customHeight="1">
      <c r="A51" s="46" t="s">
        <v>71</v>
      </c>
      <c r="B51" s="46"/>
      <c r="C51" s="46" t="s">
        <v>45</v>
      </c>
      <c r="D51" s="64"/>
      <c r="E51" s="45">
        <v>250923000</v>
      </c>
      <c r="F51" s="45"/>
      <c r="G51" s="45">
        <v>0</v>
      </c>
      <c r="H51" s="45"/>
      <c r="I51" s="45">
        <v>13596000</v>
      </c>
      <c r="J51" s="45"/>
      <c r="K51" s="45">
        <v>18680000</v>
      </c>
      <c r="L51" s="45"/>
      <c r="M51" s="45">
        <v>43792000</v>
      </c>
      <c r="N51" s="45"/>
      <c r="O51" s="45">
        <v>0</v>
      </c>
      <c r="P51" s="45"/>
      <c r="Q51" s="45">
        <v>7709000</v>
      </c>
      <c r="R51" s="45"/>
      <c r="S51" s="44">
        <f t="shared" si="0"/>
        <v>5007000</v>
      </c>
      <c r="T51" s="45"/>
      <c r="U51" s="45">
        <v>339707000</v>
      </c>
      <c r="V51" s="35"/>
      <c r="W51" s="45">
        <v>11354000</v>
      </c>
    </row>
    <row r="52" spans="1:23" s="49" customFormat="1" ht="12.75" customHeight="1">
      <c r="A52" s="44" t="s">
        <v>463</v>
      </c>
      <c r="C52" s="44" t="s">
        <v>464</v>
      </c>
      <c r="D52" s="35"/>
      <c r="E52" s="45">
        <v>755009</v>
      </c>
      <c r="F52" s="45"/>
      <c r="G52" s="45">
        <v>1443736</v>
      </c>
      <c r="H52" s="45"/>
      <c r="I52" s="45">
        <v>179985</v>
      </c>
      <c r="J52" s="45"/>
      <c r="K52" s="45">
        <v>273673</v>
      </c>
      <c r="L52" s="45"/>
      <c r="M52" s="45">
        <v>1435777</v>
      </c>
      <c r="N52" s="45"/>
      <c r="O52" s="45">
        <v>0</v>
      </c>
      <c r="P52" s="45"/>
      <c r="Q52" s="45">
        <f>22655+535356</f>
        <v>558011</v>
      </c>
      <c r="R52" s="45"/>
      <c r="S52" s="44">
        <f t="shared" si="0"/>
        <v>211277</v>
      </c>
      <c r="T52" s="45"/>
      <c r="U52" s="45">
        <v>4857468</v>
      </c>
      <c r="V52" s="35"/>
      <c r="W52" s="45">
        <v>4671</v>
      </c>
    </row>
    <row r="53" spans="1:23" s="49" customFormat="1" ht="12.75" customHeight="1">
      <c r="A53" s="44" t="s">
        <v>72</v>
      </c>
      <c r="C53" s="44" t="s">
        <v>66</v>
      </c>
      <c r="D53" s="35"/>
      <c r="E53" s="45">
        <v>384686</v>
      </c>
      <c r="F53" s="45"/>
      <c r="G53" s="45">
        <v>1329918</v>
      </c>
      <c r="H53" s="45"/>
      <c r="I53" s="45">
        <v>111123</v>
      </c>
      <c r="J53" s="45"/>
      <c r="K53" s="45">
        <v>291902</v>
      </c>
      <c r="L53" s="45"/>
      <c r="M53" s="45">
        <v>319282</v>
      </c>
      <c r="N53" s="45"/>
      <c r="O53" s="45">
        <v>0</v>
      </c>
      <c r="P53" s="45"/>
      <c r="Q53" s="45">
        <v>3433</v>
      </c>
      <c r="R53" s="45"/>
      <c r="S53" s="44">
        <f t="shared" si="0"/>
        <v>42502</v>
      </c>
      <c r="T53" s="45"/>
      <c r="U53" s="45">
        <v>2482846</v>
      </c>
      <c r="V53" s="35"/>
      <c r="W53" s="45">
        <v>0</v>
      </c>
    </row>
    <row r="54" spans="1:23" s="49" customFormat="1" ht="12.75" customHeight="1">
      <c r="A54" s="44" t="s">
        <v>73</v>
      </c>
      <c r="C54" s="44" t="s">
        <v>27</v>
      </c>
      <c r="D54" s="35"/>
      <c r="E54" s="45">
        <v>41918000</v>
      </c>
      <c r="F54" s="45"/>
      <c r="G54" s="45">
        <v>265377000</v>
      </c>
      <c r="H54" s="45"/>
      <c r="I54" s="45">
        <v>47164000</v>
      </c>
      <c r="J54" s="45"/>
      <c r="K54" s="45">
        <v>15878000</v>
      </c>
      <c r="L54" s="45"/>
      <c r="M54" s="45">
        <v>45590000</v>
      </c>
      <c r="N54" s="45"/>
      <c r="O54" s="45">
        <v>0</v>
      </c>
      <c r="P54" s="45"/>
      <c r="Q54" s="45">
        <f>11631000+27617000</f>
        <v>39248000</v>
      </c>
      <c r="R54" s="45"/>
      <c r="S54" s="44">
        <f t="shared" ref="S54:S71" si="1">U54-E54-G54-K54-M54-O54-Q54-I54</f>
        <v>16809000</v>
      </c>
      <c r="T54" s="45"/>
      <c r="U54" s="45">
        <v>471984000</v>
      </c>
      <c r="V54" s="35"/>
      <c r="W54" s="45">
        <f>3872000+277000</f>
        <v>4149000</v>
      </c>
    </row>
    <row r="55" spans="1:23" s="49" customFormat="1" ht="12.75" customHeight="1">
      <c r="A55" s="44" t="s">
        <v>74</v>
      </c>
      <c r="C55" s="44" t="s">
        <v>27</v>
      </c>
      <c r="D55" s="35"/>
      <c r="E55" s="45">
        <v>6369190</v>
      </c>
      <c r="F55" s="45"/>
      <c r="G55" s="45">
        <v>20282703</v>
      </c>
      <c r="H55" s="45"/>
      <c r="I55" s="45">
        <v>0</v>
      </c>
      <c r="J55" s="45"/>
      <c r="K55" s="45">
        <v>2784577</v>
      </c>
      <c r="L55" s="45"/>
      <c r="M55" s="45">
        <v>5689746</v>
      </c>
      <c r="N55" s="45"/>
      <c r="O55" s="45">
        <v>66905</v>
      </c>
      <c r="P55" s="45"/>
      <c r="Q55" s="45">
        <f>1324218+2660476</f>
        <v>3984694</v>
      </c>
      <c r="R55" s="45"/>
      <c r="S55" s="44">
        <f t="shared" si="1"/>
        <v>1676199</v>
      </c>
      <c r="T55" s="45"/>
      <c r="U55" s="45">
        <v>40854014</v>
      </c>
      <c r="V55" s="35"/>
      <c r="W55" s="45">
        <f>17796+219783</f>
        <v>237579</v>
      </c>
    </row>
    <row r="56" spans="1:23" s="49" customFormat="1" ht="12.75" customHeight="1">
      <c r="A56" s="44" t="s">
        <v>75</v>
      </c>
      <c r="C56" s="44" t="s">
        <v>76</v>
      </c>
      <c r="D56" s="35"/>
      <c r="E56" s="45">
        <v>590095</v>
      </c>
      <c r="F56" s="45"/>
      <c r="G56" s="45">
        <v>2491668</v>
      </c>
      <c r="H56" s="45"/>
      <c r="I56" s="45">
        <v>0</v>
      </c>
      <c r="J56" s="45"/>
      <c r="K56" s="45">
        <v>196337</v>
      </c>
      <c r="L56" s="45"/>
      <c r="M56" s="45">
        <v>332555</v>
      </c>
      <c r="N56" s="45"/>
      <c r="O56" s="45">
        <v>31399</v>
      </c>
      <c r="P56" s="45"/>
      <c r="Q56" s="45">
        <f>42474+11475</f>
        <v>53949</v>
      </c>
      <c r="R56" s="45"/>
      <c r="S56" s="44">
        <f t="shared" si="1"/>
        <v>179545</v>
      </c>
      <c r="T56" s="45"/>
      <c r="U56" s="45">
        <v>3875548</v>
      </c>
      <c r="V56" s="35"/>
      <c r="W56" s="45">
        <v>1800000</v>
      </c>
    </row>
    <row r="57" spans="1:23" s="49" customFormat="1" ht="12.75" customHeight="1">
      <c r="A57" s="44" t="s">
        <v>77</v>
      </c>
      <c r="C57" s="44" t="s">
        <v>43</v>
      </c>
      <c r="D57" s="35"/>
      <c r="E57" s="45">
        <v>52379000</v>
      </c>
      <c r="F57" s="45"/>
      <c r="G57" s="45">
        <v>395262000</v>
      </c>
      <c r="H57" s="45"/>
      <c r="I57" s="45">
        <v>0</v>
      </c>
      <c r="J57" s="45"/>
      <c r="K57" s="45">
        <v>54500000</v>
      </c>
      <c r="L57" s="45"/>
      <c r="M57" s="45">
        <v>48877000</v>
      </c>
      <c r="N57" s="45"/>
      <c r="O57" s="45">
        <v>0</v>
      </c>
      <c r="P57" s="45"/>
      <c r="Q57" s="45">
        <f>9607000+22095000</f>
        <v>31702000</v>
      </c>
      <c r="R57" s="45"/>
      <c r="S57" s="44">
        <f t="shared" si="1"/>
        <v>15678000</v>
      </c>
      <c r="T57" s="45"/>
      <c r="U57" s="45">
        <v>598398000</v>
      </c>
      <c r="V57" s="35"/>
      <c r="W57" s="45">
        <v>16177000</v>
      </c>
    </row>
    <row r="58" spans="1:23" s="49" customFormat="1" ht="12.75" customHeight="1">
      <c r="A58" s="44" t="s">
        <v>94</v>
      </c>
      <c r="C58" s="44" t="s">
        <v>94</v>
      </c>
      <c r="D58" s="35"/>
      <c r="E58" s="45">
        <v>297535</v>
      </c>
      <c r="F58" s="45"/>
      <c r="G58" s="45">
        <v>0</v>
      </c>
      <c r="H58" s="45"/>
      <c r="I58" s="45">
        <v>0</v>
      </c>
      <c r="J58" s="45"/>
      <c r="K58" s="45">
        <v>57961</v>
      </c>
      <c r="L58" s="45"/>
      <c r="M58" s="45">
        <v>575737</v>
      </c>
      <c r="N58" s="45"/>
      <c r="O58" s="45">
        <v>0</v>
      </c>
      <c r="P58" s="45"/>
      <c r="Q58" s="45">
        <f>92500+17145</f>
        <v>109645</v>
      </c>
      <c r="R58" s="45"/>
      <c r="S58" s="44">
        <f>U58-E58-G58-K58-M58-O58-Q58-I58</f>
        <v>333034</v>
      </c>
      <c r="T58" s="45"/>
      <c r="U58" s="45">
        <v>1373912</v>
      </c>
      <c r="V58" s="35"/>
      <c r="W58" s="45">
        <v>768500</v>
      </c>
    </row>
    <row r="59" spans="1:23" s="46" customFormat="1" ht="12.75" customHeight="1">
      <c r="A59" s="44" t="s">
        <v>78</v>
      </c>
      <c r="B59" s="49"/>
      <c r="C59" s="44" t="s">
        <v>19</v>
      </c>
      <c r="D59" s="35"/>
      <c r="E59" s="45">
        <v>350248</v>
      </c>
      <c r="F59" s="45"/>
      <c r="G59" s="45">
        <v>1890070</v>
      </c>
      <c r="H59" s="45"/>
      <c r="I59" s="45">
        <f>18902+139594</f>
        <v>158496</v>
      </c>
      <c r="J59" s="45"/>
      <c r="K59" s="45">
        <v>0</v>
      </c>
      <c r="L59" s="45"/>
      <c r="M59" s="45">
        <v>840769</v>
      </c>
      <c r="N59" s="45"/>
      <c r="O59" s="45">
        <v>1066</v>
      </c>
      <c r="P59" s="45"/>
      <c r="Q59" s="45">
        <f>178288+680562</f>
        <v>858850</v>
      </c>
      <c r="R59" s="45"/>
      <c r="S59" s="44">
        <f t="shared" si="1"/>
        <v>66043</v>
      </c>
      <c r="T59" s="45"/>
      <c r="U59" s="45">
        <v>4165542</v>
      </c>
      <c r="V59" s="35"/>
      <c r="W59" s="45">
        <v>10800</v>
      </c>
    </row>
    <row r="60" spans="1:23" s="49" customFormat="1" ht="12.75" customHeight="1">
      <c r="A60" s="44" t="s">
        <v>79</v>
      </c>
      <c r="C60" s="44" t="s">
        <v>80</v>
      </c>
      <c r="D60" s="35"/>
      <c r="E60" s="45">
        <v>494859</v>
      </c>
      <c r="F60" s="45"/>
      <c r="G60" s="45">
        <v>0</v>
      </c>
      <c r="H60" s="45"/>
      <c r="I60" s="45">
        <v>0</v>
      </c>
      <c r="J60" s="45"/>
      <c r="K60" s="45">
        <v>18771</v>
      </c>
      <c r="L60" s="45"/>
      <c r="M60" s="45">
        <v>317281</v>
      </c>
      <c r="N60" s="45"/>
      <c r="O60" s="45">
        <v>0</v>
      </c>
      <c r="P60" s="45"/>
      <c r="Q60" s="45">
        <f>123434+3183</f>
        <v>126617</v>
      </c>
      <c r="R60" s="45"/>
      <c r="S60" s="44">
        <f t="shared" si="1"/>
        <v>128100</v>
      </c>
      <c r="T60" s="45"/>
      <c r="U60" s="45">
        <v>1085628</v>
      </c>
      <c r="V60" s="35"/>
      <c r="W60" s="45">
        <v>0</v>
      </c>
    </row>
    <row r="61" spans="1:23" s="49" customFormat="1" ht="12.75" customHeight="1">
      <c r="A61" s="44" t="s">
        <v>81</v>
      </c>
      <c r="C61" s="44" t="s">
        <v>81</v>
      </c>
      <c r="D61" s="35"/>
      <c r="E61" s="45">
        <v>483462</v>
      </c>
      <c r="F61" s="45"/>
      <c r="G61" s="45">
        <v>2084539</v>
      </c>
      <c r="H61" s="45"/>
      <c r="I61" s="45">
        <v>24058</v>
      </c>
      <c r="J61" s="45"/>
      <c r="K61" s="45">
        <v>314118</v>
      </c>
      <c r="L61" s="45"/>
      <c r="M61" s="45">
        <v>1643249</v>
      </c>
      <c r="N61" s="45"/>
      <c r="O61" s="45">
        <v>0</v>
      </c>
      <c r="P61" s="45"/>
      <c r="Q61" s="45">
        <f>5055+2662</f>
        <v>7717</v>
      </c>
      <c r="R61" s="45"/>
      <c r="S61" s="44">
        <f t="shared" si="1"/>
        <v>583276</v>
      </c>
      <c r="T61" s="45"/>
      <c r="U61" s="45">
        <v>5140419</v>
      </c>
      <c r="V61" s="35"/>
      <c r="W61" s="45">
        <v>0</v>
      </c>
    </row>
    <row r="62" spans="1:23" s="46" customFormat="1" ht="12.75" customHeight="1">
      <c r="A62" s="47" t="s">
        <v>465</v>
      </c>
      <c r="B62" s="47"/>
      <c r="C62" s="47" t="s">
        <v>57</v>
      </c>
      <c r="D62" s="35"/>
      <c r="E62" s="45">
        <v>129078</v>
      </c>
      <c r="F62" s="45"/>
      <c r="G62" s="45">
        <v>779466</v>
      </c>
      <c r="H62" s="45"/>
      <c r="I62" s="45">
        <v>0</v>
      </c>
      <c r="J62" s="45"/>
      <c r="K62" s="45">
        <v>94534</v>
      </c>
      <c r="L62" s="45"/>
      <c r="M62" s="45">
        <v>233924</v>
      </c>
      <c r="N62" s="45"/>
      <c r="O62" s="45">
        <v>0</v>
      </c>
      <c r="P62" s="45"/>
      <c r="Q62" s="45">
        <f>3245+56624</f>
        <v>59869</v>
      </c>
      <c r="R62" s="45"/>
      <c r="S62" s="44">
        <f t="shared" si="1"/>
        <v>83395</v>
      </c>
      <c r="T62" s="45"/>
      <c r="U62" s="45">
        <v>1380266</v>
      </c>
      <c r="V62" s="35"/>
      <c r="W62" s="45">
        <v>0</v>
      </c>
    </row>
    <row r="63" spans="1:23" s="49" customFormat="1" ht="12.75" customHeight="1">
      <c r="A63" s="44" t="s">
        <v>82</v>
      </c>
      <c r="C63" s="44" t="s">
        <v>13</v>
      </c>
      <c r="D63" s="35"/>
      <c r="E63" s="45">
        <v>10128996</v>
      </c>
      <c r="F63" s="45"/>
      <c r="G63" s="45">
        <v>0</v>
      </c>
      <c r="H63" s="45"/>
      <c r="I63" s="45">
        <v>932003</v>
      </c>
      <c r="J63" s="45"/>
      <c r="K63" s="45">
        <v>3856499</v>
      </c>
      <c r="L63" s="45"/>
      <c r="M63" s="45">
        <f>3885325+11494</f>
        <v>3896819</v>
      </c>
      <c r="N63" s="45"/>
      <c r="O63" s="45">
        <v>0</v>
      </c>
      <c r="P63" s="45"/>
      <c r="Q63" s="45">
        <v>404701</v>
      </c>
      <c r="R63" s="45"/>
      <c r="S63" s="44">
        <f t="shared" si="1"/>
        <v>224940</v>
      </c>
      <c r="T63" s="45"/>
      <c r="U63" s="45">
        <v>19443958</v>
      </c>
      <c r="V63" s="35"/>
      <c r="W63" s="45">
        <v>11196646</v>
      </c>
    </row>
    <row r="64" spans="1:23" s="49" customFormat="1" ht="12.75" customHeight="1">
      <c r="A64" s="44" t="s">
        <v>83</v>
      </c>
      <c r="C64" s="44" t="s">
        <v>66</v>
      </c>
      <c r="D64" s="35"/>
      <c r="E64" s="45">
        <v>9880083</v>
      </c>
      <c r="F64" s="45"/>
      <c r="G64" s="45">
        <v>99831456</v>
      </c>
      <c r="H64" s="45"/>
      <c r="I64" s="45">
        <v>0</v>
      </c>
      <c r="J64" s="45"/>
      <c r="K64" s="45">
        <v>23368644</v>
      </c>
      <c r="L64" s="45"/>
      <c r="M64" s="45">
        <f>13222031+1097695</f>
        <v>14319726</v>
      </c>
      <c r="N64" s="45"/>
      <c r="O64" s="45">
        <v>189434</v>
      </c>
      <c r="P64" s="45"/>
      <c r="Q64" s="45">
        <f>1585081+1604520</f>
        <v>3189601</v>
      </c>
      <c r="R64" s="45"/>
      <c r="S64" s="44">
        <f t="shared" si="1"/>
        <v>1883416</v>
      </c>
      <c r="T64" s="45"/>
      <c r="U64" s="45">
        <v>152662360</v>
      </c>
      <c r="V64" s="35"/>
      <c r="W64" s="45">
        <v>804913</v>
      </c>
    </row>
    <row r="65" spans="1:24" s="46" customFormat="1" ht="12.75" customHeight="1">
      <c r="A65" s="44" t="s">
        <v>84</v>
      </c>
      <c r="B65" s="49"/>
      <c r="C65" s="44" t="s">
        <v>45</v>
      </c>
      <c r="D65" s="35"/>
      <c r="E65" s="45">
        <v>2365874</v>
      </c>
      <c r="F65" s="45"/>
      <c r="G65" s="45">
        <v>0</v>
      </c>
      <c r="H65" s="45"/>
      <c r="I65" s="45">
        <v>0</v>
      </c>
      <c r="J65" s="45"/>
      <c r="K65" s="45">
        <v>108749</v>
      </c>
      <c r="L65" s="45"/>
      <c r="M65" s="45">
        <v>114948</v>
      </c>
      <c r="N65" s="45"/>
      <c r="O65" s="45">
        <v>0</v>
      </c>
      <c r="P65" s="45"/>
      <c r="Q65" s="45">
        <v>67910</v>
      </c>
      <c r="R65" s="45"/>
      <c r="S65" s="44">
        <f t="shared" si="1"/>
        <v>6459</v>
      </c>
      <c r="T65" s="45"/>
      <c r="U65" s="45">
        <v>2663940</v>
      </c>
      <c r="V65" s="35"/>
      <c r="W65" s="45">
        <v>0</v>
      </c>
    </row>
    <row r="66" spans="1:24" s="49" customFormat="1" ht="12.75" customHeight="1">
      <c r="A66" s="44" t="s">
        <v>471</v>
      </c>
      <c r="B66" s="46"/>
      <c r="C66" s="46"/>
      <c r="D66" s="64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4"/>
      <c r="T66" s="45"/>
      <c r="U66" s="45"/>
      <c r="V66" s="35"/>
      <c r="W66" s="48" t="s">
        <v>484</v>
      </c>
    </row>
    <row r="67" spans="1:24" s="49" customFormat="1" ht="12.75" customHeight="1">
      <c r="A67" s="44" t="s">
        <v>85</v>
      </c>
      <c r="C67" s="44" t="s">
        <v>85</v>
      </c>
      <c r="D67" s="35"/>
      <c r="E67" s="94">
        <v>527045</v>
      </c>
      <c r="F67" s="94"/>
      <c r="G67" s="94">
        <v>5240726</v>
      </c>
      <c r="H67" s="94"/>
      <c r="I67" s="94">
        <v>0</v>
      </c>
      <c r="J67" s="94"/>
      <c r="K67" s="94">
        <v>571338</v>
      </c>
      <c r="L67" s="94"/>
      <c r="M67" s="94">
        <v>875958</v>
      </c>
      <c r="N67" s="94"/>
      <c r="O67" s="94">
        <v>0</v>
      </c>
      <c r="P67" s="94"/>
      <c r="Q67" s="94">
        <f>114843+607056</f>
        <v>721899</v>
      </c>
      <c r="R67" s="94"/>
      <c r="S67" s="46">
        <f t="shared" si="1"/>
        <v>68466</v>
      </c>
      <c r="T67" s="94"/>
      <c r="U67" s="94">
        <v>8005432</v>
      </c>
      <c r="V67" s="64"/>
      <c r="W67" s="94">
        <v>0</v>
      </c>
    </row>
    <row r="68" spans="1:24" s="49" customFormat="1" ht="12.75" customHeight="1">
      <c r="A68" s="44" t="s">
        <v>86</v>
      </c>
      <c r="C68" s="44" t="s">
        <v>86</v>
      </c>
      <c r="D68" s="35"/>
      <c r="E68" s="45">
        <v>1421389</v>
      </c>
      <c r="F68" s="45"/>
      <c r="G68" s="45">
        <v>9549484</v>
      </c>
      <c r="H68" s="45"/>
      <c r="I68" s="45">
        <v>62339</v>
      </c>
      <c r="J68" s="45"/>
      <c r="K68" s="45">
        <v>924571</v>
      </c>
      <c r="L68" s="45"/>
      <c r="M68" s="45">
        <v>1893481</v>
      </c>
      <c r="N68" s="45"/>
      <c r="O68" s="45">
        <v>0</v>
      </c>
      <c r="P68" s="45"/>
      <c r="Q68" s="45">
        <f>649652+77630</f>
        <v>727282</v>
      </c>
      <c r="R68" s="45"/>
      <c r="S68" s="44">
        <f t="shared" si="1"/>
        <v>312796</v>
      </c>
      <c r="T68" s="45"/>
      <c r="U68" s="45">
        <v>14891342</v>
      </c>
      <c r="V68" s="35"/>
      <c r="W68" s="45">
        <f>36041+41944</f>
        <v>77985</v>
      </c>
    </row>
    <row r="69" spans="1:24" s="49" customFormat="1" ht="12.75" customHeight="1">
      <c r="A69" s="46" t="s">
        <v>87</v>
      </c>
      <c r="B69" s="46"/>
      <c r="C69" s="46" t="s">
        <v>88</v>
      </c>
      <c r="D69" s="64"/>
      <c r="E69" s="45">
        <v>316714</v>
      </c>
      <c r="F69" s="45"/>
      <c r="G69" s="45">
        <v>1610752</v>
      </c>
      <c r="H69" s="45"/>
      <c r="I69" s="45">
        <v>0</v>
      </c>
      <c r="J69" s="45"/>
      <c r="K69" s="45">
        <v>373610</v>
      </c>
      <c r="L69" s="45"/>
      <c r="M69" s="45">
        <v>521607</v>
      </c>
      <c r="N69" s="45"/>
      <c r="O69" s="45">
        <v>0</v>
      </c>
      <c r="P69" s="45"/>
      <c r="Q69" s="45">
        <v>77587</v>
      </c>
      <c r="R69" s="45"/>
      <c r="S69" s="44">
        <f t="shared" si="1"/>
        <v>657110</v>
      </c>
      <c r="T69" s="45"/>
      <c r="U69" s="45">
        <v>3557380</v>
      </c>
      <c r="V69" s="35"/>
      <c r="W69" s="45">
        <v>0</v>
      </c>
    </row>
    <row r="70" spans="1:24" s="49" customFormat="1" ht="12.75" customHeight="1">
      <c r="A70" s="44" t="s">
        <v>394</v>
      </c>
      <c r="C70" s="44" t="s">
        <v>89</v>
      </c>
      <c r="D70" s="35"/>
      <c r="E70" s="45">
        <v>1020462</v>
      </c>
      <c r="F70" s="45"/>
      <c r="G70" s="45">
        <v>2357268</v>
      </c>
      <c r="H70" s="45"/>
      <c r="I70" s="45">
        <v>0</v>
      </c>
      <c r="J70" s="45"/>
      <c r="K70" s="45">
        <v>785970</v>
      </c>
      <c r="L70" s="45"/>
      <c r="M70" s="45">
        <v>1279857</v>
      </c>
      <c r="N70" s="45"/>
      <c r="O70" s="45">
        <v>0</v>
      </c>
      <c r="P70" s="45"/>
      <c r="Q70" s="45">
        <v>36349</v>
      </c>
      <c r="R70" s="45"/>
      <c r="S70" s="44">
        <f t="shared" si="1"/>
        <v>271711</v>
      </c>
      <c r="T70" s="45"/>
      <c r="U70" s="45">
        <v>5751617</v>
      </c>
      <c r="V70" s="35"/>
      <c r="W70" s="45">
        <v>0</v>
      </c>
      <c r="X70" s="46"/>
    </row>
    <row r="71" spans="1:24" s="49" customFormat="1" ht="12.75" customHeight="1">
      <c r="A71" s="44" t="s">
        <v>90</v>
      </c>
      <c r="C71" s="44" t="s">
        <v>43</v>
      </c>
      <c r="D71" s="35"/>
      <c r="E71" s="45">
        <v>0</v>
      </c>
      <c r="F71" s="45"/>
      <c r="G71" s="45">
        <v>47207182</v>
      </c>
      <c r="H71" s="45"/>
      <c r="I71" s="45">
        <v>0</v>
      </c>
      <c r="J71" s="45"/>
      <c r="K71" s="45">
        <v>668341</v>
      </c>
      <c r="L71" s="45"/>
      <c r="M71" s="45">
        <v>2626248</v>
      </c>
      <c r="N71" s="45"/>
      <c r="O71" s="45">
        <v>0</v>
      </c>
      <c r="P71" s="45"/>
      <c r="Q71" s="45">
        <v>1854118</v>
      </c>
      <c r="R71" s="45"/>
      <c r="S71" s="44">
        <f t="shared" si="1"/>
        <v>849063</v>
      </c>
      <c r="T71" s="45"/>
      <c r="U71" s="45">
        <v>53204952</v>
      </c>
      <c r="V71" s="35"/>
      <c r="W71" s="45">
        <v>0</v>
      </c>
    </row>
    <row r="72" spans="1:24" s="49" customFormat="1" ht="12.75" customHeight="1">
      <c r="A72" s="47" t="s">
        <v>488</v>
      </c>
      <c r="B72" s="47"/>
      <c r="C72" s="47" t="s">
        <v>27</v>
      </c>
      <c r="D72" s="35"/>
      <c r="E72" s="45">
        <v>17289002</v>
      </c>
      <c r="F72" s="45"/>
      <c r="G72" s="45">
        <v>5515267</v>
      </c>
      <c r="H72" s="45"/>
      <c r="I72" s="45">
        <v>2250</v>
      </c>
      <c r="J72" s="45"/>
      <c r="K72" s="45">
        <v>0</v>
      </c>
      <c r="L72" s="45"/>
      <c r="M72" s="45">
        <v>5844768</v>
      </c>
      <c r="N72" s="45"/>
      <c r="O72" s="45">
        <v>312944</v>
      </c>
      <c r="P72" s="45"/>
      <c r="Q72" s="45">
        <f>253316+1151959</f>
        <v>1405275</v>
      </c>
      <c r="R72" s="45"/>
      <c r="S72" s="44">
        <f t="shared" ref="S72:S130" si="2">U72-E72-G72-K72-M72-O72-Q72-I72</f>
        <v>-13928166</v>
      </c>
      <c r="T72" s="45"/>
      <c r="U72" s="45">
        <v>16441340</v>
      </c>
      <c r="V72" s="35"/>
      <c r="W72" s="45">
        <v>29094</v>
      </c>
    </row>
    <row r="73" spans="1:24" s="49" customFormat="1" ht="12.75" customHeight="1">
      <c r="A73" s="44" t="s">
        <v>93</v>
      </c>
      <c r="B73" s="47"/>
      <c r="C73" s="44" t="s">
        <v>94</v>
      </c>
      <c r="D73" s="35"/>
      <c r="E73" s="45">
        <v>185984</v>
      </c>
      <c r="F73" s="45"/>
      <c r="G73" s="45">
        <v>2686078</v>
      </c>
      <c r="H73" s="45"/>
      <c r="I73" s="45">
        <v>0</v>
      </c>
      <c r="J73" s="45"/>
      <c r="K73" s="45">
        <v>0</v>
      </c>
      <c r="L73" s="45"/>
      <c r="M73" s="45">
        <v>347770</v>
      </c>
      <c r="N73" s="45"/>
      <c r="O73" s="45">
        <v>0</v>
      </c>
      <c r="P73" s="45"/>
      <c r="Q73" s="45">
        <f>523233+11435</f>
        <v>534668</v>
      </c>
      <c r="R73" s="45"/>
      <c r="S73" s="44">
        <f t="shared" si="2"/>
        <v>208156</v>
      </c>
      <c r="T73" s="45"/>
      <c r="U73" s="45">
        <v>3962656</v>
      </c>
      <c r="V73" s="35"/>
      <c r="W73" s="45">
        <v>4880</v>
      </c>
    </row>
    <row r="74" spans="1:24" s="46" customFormat="1" ht="12.75" customHeight="1">
      <c r="A74" s="46" t="s">
        <v>95</v>
      </c>
      <c r="C74" s="46" t="s">
        <v>94</v>
      </c>
      <c r="D74" s="64"/>
      <c r="E74" s="45">
        <v>957661</v>
      </c>
      <c r="F74" s="45"/>
      <c r="G74" s="45">
        <v>0</v>
      </c>
      <c r="H74" s="45"/>
      <c r="I74" s="45">
        <v>0</v>
      </c>
      <c r="J74" s="45"/>
      <c r="K74" s="45">
        <v>247619</v>
      </c>
      <c r="L74" s="45"/>
      <c r="M74" s="45">
        <v>132082</v>
      </c>
      <c r="N74" s="45"/>
      <c r="O74" s="45">
        <v>0</v>
      </c>
      <c r="P74" s="45"/>
      <c r="Q74" s="45">
        <f>77728+8303</f>
        <v>86031</v>
      </c>
      <c r="R74" s="45"/>
      <c r="S74" s="44">
        <f t="shared" si="2"/>
        <v>146280</v>
      </c>
      <c r="T74" s="45"/>
      <c r="U74" s="45">
        <v>1569673</v>
      </c>
      <c r="V74" s="35"/>
      <c r="W74" s="45">
        <v>74000</v>
      </c>
    </row>
    <row r="75" spans="1:24" s="49" customFormat="1" ht="12.75" customHeight="1">
      <c r="A75" s="44" t="s">
        <v>91</v>
      </c>
      <c r="C75" s="44" t="s">
        <v>92</v>
      </c>
      <c r="D75" s="35"/>
      <c r="E75" s="45">
        <v>1429226</v>
      </c>
      <c r="F75" s="45"/>
      <c r="G75" s="45">
        <v>6193554</v>
      </c>
      <c r="H75" s="45"/>
      <c r="I75" s="45">
        <v>235855</v>
      </c>
      <c r="J75" s="45"/>
      <c r="K75" s="45">
        <v>1641382</v>
      </c>
      <c r="L75" s="45"/>
      <c r="M75" s="45">
        <v>3359480</v>
      </c>
      <c r="N75" s="45"/>
      <c r="O75" s="45">
        <v>0</v>
      </c>
      <c r="P75" s="45"/>
      <c r="Q75" s="45">
        <f>283971+180664</f>
        <v>464635</v>
      </c>
      <c r="R75" s="45"/>
      <c r="S75" s="44">
        <f t="shared" si="2"/>
        <v>79883</v>
      </c>
      <c r="T75" s="45"/>
      <c r="U75" s="45">
        <v>13404015</v>
      </c>
      <c r="V75" s="35"/>
      <c r="W75" s="45">
        <f>41250+62301</f>
        <v>103551</v>
      </c>
    </row>
    <row r="76" spans="1:24" s="49" customFormat="1" ht="12.75" customHeight="1">
      <c r="A76" s="44" t="s">
        <v>96</v>
      </c>
      <c r="C76" s="44" t="s">
        <v>97</v>
      </c>
      <c r="D76" s="35"/>
      <c r="E76" s="45">
        <v>526299</v>
      </c>
      <c r="F76" s="45"/>
      <c r="G76" s="45">
        <v>821268</v>
      </c>
      <c r="H76" s="45"/>
      <c r="I76" s="45">
        <v>0</v>
      </c>
      <c r="J76" s="45"/>
      <c r="K76" s="45">
        <v>86237</v>
      </c>
      <c r="L76" s="45"/>
      <c r="M76" s="45">
        <v>581561</v>
      </c>
      <c r="N76" s="45"/>
      <c r="O76" s="45">
        <v>0</v>
      </c>
      <c r="P76" s="45"/>
      <c r="Q76" s="45">
        <f>160176+555964</f>
        <v>716140</v>
      </c>
      <c r="R76" s="45"/>
      <c r="S76" s="44">
        <f t="shared" si="2"/>
        <v>66101</v>
      </c>
      <c r="T76" s="45"/>
      <c r="U76" s="45">
        <v>2797606</v>
      </c>
      <c r="V76" s="35"/>
      <c r="W76" s="45">
        <v>0</v>
      </c>
    </row>
    <row r="77" spans="1:24" s="49" customFormat="1" ht="12.75" customHeight="1">
      <c r="A77" s="44" t="s">
        <v>98</v>
      </c>
      <c r="C77" s="44" t="s">
        <v>17</v>
      </c>
      <c r="D77" s="35"/>
      <c r="E77" s="45">
        <v>1587386</v>
      </c>
      <c r="F77" s="45"/>
      <c r="G77" s="45">
        <v>16408108</v>
      </c>
      <c r="H77" s="45"/>
      <c r="I77" s="45">
        <v>518482</v>
      </c>
      <c r="J77" s="45"/>
      <c r="K77" s="45">
        <v>1902222</v>
      </c>
      <c r="L77" s="45"/>
      <c r="M77" s="45">
        <v>3566519</v>
      </c>
      <c r="N77" s="45"/>
      <c r="O77" s="45">
        <v>14935</v>
      </c>
      <c r="P77" s="45"/>
      <c r="Q77" s="45">
        <f>805251+416293</f>
        <v>1221544</v>
      </c>
      <c r="R77" s="45"/>
      <c r="S77" s="44">
        <f t="shared" si="2"/>
        <v>63797</v>
      </c>
      <c r="T77" s="45"/>
      <c r="U77" s="45">
        <v>25282993</v>
      </c>
      <c r="V77" s="35"/>
      <c r="W77" s="45">
        <v>0</v>
      </c>
    </row>
    <row r="78" spans="1:24" s="49" customFormat="1" ht="12.75" customHeight="1">
      <c r="A78" s="44" t="s">
        <v>99</v>
      </c>
      <c r="C78" s="44" t="s">
        <v>66</v>
      </c>
      <c r="D78" s="35"/>
      <c r="E78" s="45">
        <v>786455</v>
      </c>
      <c r="F78" s="45"/>
      <c r="G78" s="45">
        <v>5366769</v>
      </c>
      <c r="H78" s="45"/>
      <c r="I78" s="45">
        <v>0</v>
      </c>
      <c r="J78" s="45"/>
      <c r="K78" s="45">
        <v>164418</v>
      </c>
      <c r="L78" s="45"/>
      <c r="M78" s="45">
        <v>645474</v>
      </c>
      <c r="N78" s="45"/>
      <c r="O78" s="45">
        <v>11165</v>
      </c>
      <c r="P78" s="45"/>
      <c r="Q78" s="45">
        <v>83207</v>
      </c>
      <c r="R78" s="45"/>
      <c r="S78" s="44">
        <f t="shared" si="2"/>
        <v>351723</v>
      </c>
      <c r="T78" s="45"/>
      <c r="U78" s="45">
        <v>7409211</v>
      </c>
      <c r="V78" s="35"/>
      <c r="W78" s="45">
        <v>254823</v>
      </c>
    </row>
    <row r="79" spans="1:24" s="49" customFormat="1" ht="12.75" customHeight="1">
      <c r="A79" s="44" t="s">
        <v>100</v>
      </c>
      <c r="C79" s="44" t="s">
        <v>27</v>
      </c>
      <c r="D79" s="35"/>
      <c r="E79" s="45">
        <v>1490321</v>
      </c>
      <c r="F79" s="45"/>
      <c r="G79" s="45">
        <v>22295312</v>
      </c>
      <c r="H79" s="45"/>
      <c r="I79" s="45">
        <v>0</v>
      </c>
      <c r="J79" s="45"/>
      <c r="K79" s="45">
        <v>3874232</v>
      </c>
      <c r="L79" s="45"/>
      <c r="M79" s="45">
        <v>5224519</v>
      </c>
      <c r="N79" s="45"/>
      <c r="O79" s="45">
        <v>0</v>
      </c>
      <c r="P79" s="45"/>
      <c r="Q79" s="45">
        <f>136019+166497</f>
        <v>302516</v>
      </c>
      <c r="R79" s="45"/>
      <c r="S79" s="44">
        <f t="shared" si="2"/>
        <v>2848478</v>
      </c>
      <c r="T79" s="45"/>
      <c r="U79" s="45">
        <v>36035378</v>
      </c>
      <c r="V79" s="35"/>
      <c r="W79" s="45">
        <v>500662</v>
      </c>
    </row>
    <row r="80" spans="1:24" s="49" customFormat="1" ht="12.75" customHeight="1">
      <c r="A80" s="44" t="s">
        <v>101</v>
      </c>
      <c r="C80" s="44" t="s">
        <v>30</v>
      </c>
      <c r="D80" s="35"/>
      <c r="E80" s="45">
        <v>1616439</v>
      </c>
      <c r="F80" s="45"/>
      <c r="G80" s="45">
        <v>7469822</v>
      </c>
      <c r="H80" s="45"/>
      <c r="I80" s="45">
        <v>64705</v>
      </c>
      <c r="J80" s="45"/>
      <c r="K80" s="45">
        <v>2686997</v>
      </c>
      <c r="L80" s="45"/>
      <c r="M80" s="45">
        <v>2210617</v>
      </c>
      <c r="N80" s="45"/>
      <c r="O80" s="45">
        <v>0</v>
      </c>
      <c r="P80" s="45"/>
      <c r="Q80" s="45">
        <v>1428231</v>
      </c>
      <c r="R80" s="45"/>
      <c r="S80" s="44">
        <f t="shared" si="2"/>
        <v>777670</v>
      </c>
      <c r="T80" s="45"/>
      <c r="U80" s="45">
        <v>16254481</v>
      </c>
      <c r="V80" s="35"/>
      <c r="W80" s="45">
        <v>0</v>
      </c>
    </row>
    <row r="81" spans="1:23" s="49" customFormat="1" ht="12.75" customHeight="1">
      <c r="A81" s="44" t="s">
        <v>102</v>
      </c>
      <c r="C81" s="44" t="s">
        <v>103</v>
      </c>
      <c r="D81" s="35"/>
      <c r="E81" s="45">
        <v>17255195</v>
      </c>
      <c r="F81" s="45"/>
      <c r="G81" s="45">
        <v>0</v>
      </c>
      <c r="H81" s="45"/>
      <c r="I81" s="45">
        <v>0</v>
      </c>
      <c r="J81" s="45"/>
      <c r="K81" s="45">
        <v>1019954</v>
      </c>
      <c r="L81" s="45"/>
      <c r="M81" s="45">
        <v>2808177</v>
      </c>
      <c r="N81" s="45"/>
      <c r="O81" s="45">
        <v>69656</v>
      </c>
      <c r="P81" s="45"/>
      <c r="Q81" s="45">
        <v>1317277</v>
      </c>
      <c r="R81" s="45"/>
      <c r="S81" s="44">
        <f t="shared" si="2"/>
        <v>443932</v>
      </c>
      <c r="T81" s="45"/>
      <c r="U81" s="45">
        <v>22914191</v>
      </c>
      <c r="V81" s="35"/>
      <c r="W81" s="45">
        <f>378346+336</f>
        <v>378682</v>
      </c>
    </row>
    <row r="82" spans="1:23" s="49" customFormat="1" ht="12.75" customHeight="1">
      <c r="A82" s="44" t="s">
        <v>104</v>
      </c>
      <c r="C82" s="44" t="s">
        <v>13</v>
      </c>
      <c r="D82" s="35"/>
      <c r="E82" s="45">
        <v>765448</v>
      </c>
      <c r="F82" s="45"/>
      <c r="G82" s="45">
        <v>5987444</v>
      </c>
      <c r="H82" s="45"/>
      <c r="I82" s="45">
        <v>0</v>
      </c>
      <c r="J82" s="45"/>
      <c r="K82" s="45">
        <v>117869</v>
      </c>
      <c r="L82" s="45"/>
      <c r="M82" s="45">
        <v>1294609</v>
      </c>
      <c r="N82" s="45"/>
      <c r="O82" s="45">
        <v>0</v>
      </c>
      <c r="P82" s="45"/>
      <c r="Q82" s="45">
        <f>120853+213569</f>
        <v>334422</v>
      </c>
      <c r="R82" s="45"/>
      <c r="S82" s="44">
        <f t="shared" si="2"/>
        <v>3033492</v>
      </c>
      <c r="T82" s="45"/>
      <c r="U82" s="45">
        <v>11533284</v>
      </c>
      <c r="V82" s="35"/>
      <c r="W82" s="45">
        <v>0</v>
      </c>
    </row>
    <row r="83" spans="1:23" s="49" customFormat="1" ht="12.75" customHeight="1">
      <c r="A83" s="44" t="s">
        <v>105</v>
      </c>
      <c r="C83" s="44" t="s">
        <v>27</v>
      </c>
      <c r="D83" s="35"/>
      <c r="E83" s="45">
        <v>2972333</v>
      </c>
      <c r="F83" s="45"/>
      <c r="G83" s="45">
        <v>4519726</v>
      </c>
      <c r="H83" s="45"/>
      <c r="I83" s="45">
        <v>0</v>
      </c>
      <c r="J83" s="45"/>
      <c r="K83" s="45">
        <v>16412</v>
      </c>
      <c r="L83" s="45"/>
      <c r="M83" s="45">
        <v>2173459</v>
      </c>
      <c r="N83" s="45"/>
      <c r="O83" s="45">
        <v>0</v>
      </c>
      <c r="P83" s="45"/>
      <c r="Q83" s="45">
        <v>298464</v>
      </c>
      <c r="R83" s="45"/>
      <c r="S83" s="44">
        <f t="shared" si="2"/>
        <v>225781</v>
      </c>
      <c r="T83" s="45"/>
      <c r="U83" s="45">
        <v>10206175</v>
      </c>
      <c r="V83" s="35"/>
      <c r="W83" s="45">
        <v>0</v>
      </c>
    </row>
    <row r="84" spans="1:23" s="49" customFormat="1" ht="12.75" customHeight="1">
      <c r="A84" s="44" t="s">
        <v>106</v>
      </c>
      <c r="C84" s="44" t="s">
        <v>107</v>
      </c>
      <c r="D84" s="35"/>
      <c r="E84" s="45">
        <v>2621017</v>
      </c>
      <c r="F84" s="45"/>
      <c r="G84" s="45">
        <v>0</v>
      </c>
      <c r="H84" s="45"/>
      <c r="I84" s="45">
        <v>0</v>
      </c>
      <c r="J84" s="45"/>
      <c r="K84" s="45">
        <v>394060</v>
      </c>
      <c r="L84" s="45"/>
      <c r="M84" s="45">
        <v>5516999</v>
      </c>
      <c r="N84" s="45"/>
      <c r="O84" s="45">
        <v>0</v>
      </c>
      <c r="P84" s="45"/>
      <c r="Q84" s="45">
        <f>394060+1050050</f>
        <v>1444110</v>
      </c>
      <c r="R84" s="45"/>
      <c r="S84" s="44">
        <f t="shared" si="2"/>
        <v>2576910</v>
      </c>
      <c r="T84" s="45"/>
      <c r="U84" s="45">
        <v>12553096</v>
      </c>
      <c r="V84" s="35"/>
      <c r="W84" s="45">
        <f>11394+13321869</f>
        <v>13333263</v>
      </c>
    </row>
    <row r="85" spans="1:23" s="49" customFormat="1" ht="12.75" customHeight="1">
      <c r="A85" s="44" t="s">
        <v>108</v>
      </c>
      <c r="C85" s="44" t="s">
        <v>45</v>
      </c>
      <c r="D85" s="35"/>
      <c r="E85" s="45">
        <v>8722339</v>
      </c>
      <c r="F85" s="45"/>
      <c r="G85" s="45">
        <v>0</v>
      </c>
      <c r="H85" s="45"/>
      <c r="I85" s="45">
        <v>0</v>
      </c>
      <c r="J85" s="45"/>
      <c r="K85" s="45">
        <v>83249</v>
      </c>
      <c r="L85" s="45"/>
      <c r="M85" s="45">
        <v>652483</v>
      </c>
      <c r="N85" s="45"/>
      <c r="O85" s="45">
        <v>20470</v>
      </c>
      <c r="P85" s="45"/>
      <c r="Q85" s="45">
        <v>303444</v>
      </c>
      <c r="R85" s="45"/>
      <c r="S85" s="44">
        <f t="shared" si="2"/>
        <v>82588</v>
      </c>
      <c r="T85" s="45"/>
      <c r="U85" s="45">
        <v>9864573</v>
      </c>
      <c r="V85" s="35"/>
      <c r="W85" s="45">
        <v>5467</v>
      </c>
    </row>
    <row r="86" spans="1:23" s="44" customFormat="1" ht="12.75" customHeight="1">
      <c r="A86" s="44" t="s">
        <v>109</v>
      </c>
      <c r="C86" s="44" t="s">
        <v>110</v>
      </c>
      <c r="D86" s="35"/>
      <c r="E86" s="45">
        <v>732274</v>
      </c>
      <c r="F86" s="45"/>
      <c r="G86" s="45">
        <v>5252176</v>
      </c>
      <c r="H86" s="45"/>
      <c r="I86" s="45">
        <v>0</v>
      </c>
      <c r="J86" s="45"/>
      <c r="K86" s="45">
        <v>616178</v>
      </c>
      <c r="L86" s="45"/>
      <c r="M86" s="45">
        <v>633474</v>
      </c>
      <c r="N86" s="45"/>
      <c r="O86" s="45">
        <v>0</v>
      </c>
      <c r="P86" s="45"/>
      <c r="Q86" s="45">
        <f>29314+5914</f>
        <v>35228</v>
      </c>
      <c r="R86" s="45"/>
      <c r="S86" s="44">
        <f t="shared" si="2"/>
        <v>175087</v>
      </c>
      <c r="T86" s="45"/>
      <c r="U86" s="45">
        <v>7444417</v>
      </c>
      <c r="V86" s="35"/>
      <c r="W86" s="45">
        <v>51716</v>
      </c>
    </row>
    <row r="87" spans="1:23" s="49" customFormat="1" ht="12.75" customHeight="1">
      <c r="A87" s="44" t="s">
        <v>43</v>
      </c>
      <c r="C87" s="44" t="s">
        <v>111</v>
      </c>
      <c r="D87" s="35"/>
      <c r="E87" s="45">
        <v>419205</v>
      </c>
      <c r="F87" s="45"/>
      <c r="G87" s="45">
        <v>4937793</v>
      </c>
      <c r="H87" s="45"/>
      <c r="I87" s="45">
        <v>153622</v>
      </c>
      <c r="J87" s="45"/>
      <c r="K87" s="45">
        <v>106301</v>
      </c>
      <c r="L87" s="45"/>
      <c r="M87" s="45">
        <v>656967</v>
      </c>
      <c r="N87" s="45"/>
      <c r="O87" s="45">
        <v>0</v>
      </c>
      <c r="P87" s="45"/>
      <c r="Q87" s="45">
        <v>405361</v>
      </c>
      <c r="R87" s="45"/>
      <c r="S87" s="44">
        <f t="shared" si="2"/>
        <v>257161</v>
      </c>
      <c r="T87" s="45"/>
      <c r="U87" s="45">
        <v>6936410</v>
      </c>
      <c r="V87" s="35"/>
      <c r="W87" s="45">
        <v>16970</v>
      </c>
    </row>
    <row r="88" spans="1:23" s="49" customFormat="1" ht="12.75" customHeight="1">
      <c r="A88" s="44" t="s">
        <v>112</v>
      </c>
      <c r="C88" s="44" t="s">
        <v>76</v>
      </c>
      <c r="D88" s="35"/>
      <c r="E88" s="45">
        <v>978988</v>
      </c>
      <c r="F88" s="45"/>
      <c r="G88" s="45">
        <v>0</v>
      </c>
      <c r="H88" s="45"/>
      <c r="I88" s="45">
        <v>0</v>
      </c>
      <c r="J88" s="45"/>
      <c r="K88" s="45">
        <v>25531</v>
      </c>
      <c r="L88" s="45"/>
      <c r="M88" s="45">
        <v>1289243</v>
      </c>
      <c r="N88" s="45"/>
      <c r="O88" s="45">
        <v>0</v>
      </c>
      <c r="P88" s="45"/>
      <c r="Q88" s="45">
        <f>7283+263518</f>
        <v>270801</v>
      </c>
      <c r="R88" s="45"/>
      <c r="S88" s="44">
        <f t="shared" si="2"/>
        <v>300974</v>
      </c>
      <c r="T88" s="45"/>
      <c r="U88" s="45">
        <v>2865537</v>
      </c>
      <c r="V88" s="35"/>
      <c r="W88" s="45">
        <v>5510000</v>
      </c>
    </row>
    <row r="89" spans="1:23" s="49" customFormat="1" ht="12.75" customHeight="1">
      <c r="A89" s="44" t="s">
        <v>113</v>
      </c>
      <c r="C89" s="44" t="s">
        <v>43</v>
      </c>
      <c r="D89" s="35"/>
      <c r="E89" s="45">
        <v>1606045</v>
      </c>
      <c r="F89" s="45"/>
      <c r="G89" s="45">
        <v>12973103</v>
      </c>
      <c r="H89" s="45"/>
      <c r="I89" s="45">
        <v>841659</v>
      </c>
      <c r="J89" s="45"/>
      <c r="K89" s="45">
        <v>3288629</v>
      </c>
      <c r="L89" s="45"/>
      <c r="M89" s="45">
        <v>3361024</v>
      </c>
      <c r="N89" s="45"/>
      <c r="O89" s="45">
        <v>0</v>
      </c>
      <c r="P89" s="45"/>
      <c r="Q89" s="45">
        <f>285831+408090</f>
        <v>693921</v>
      </c>
      <c r="R89" s="45"/>
      <c r="S89" s="44">
        <f t="shared" si="2"/>
        <v>1971922</v>
      </c>
      <c r="T89" s="45"/>
      <c r="U89" s="45">
        <v>24736303</v>
      </c>
      <c r="V89" s="35"/>
      <c r="W89" s="45">
        <f>25000+119265</f>
        <v>144265</v>
      </c>
    </row>
    <row r="90" spans="1:23" s="49" customFormat="1" ht="12.75" customHeight="1">
      <c r="A90" s="44" t="s">
        <v>489</v>
      </c>
      <c r="C90" s="44" t="s">
        <v>57</v>
      </c>
      <c r="D90" s="35"/>
      <c r="E90" s="45">
        <v>383585</v>
      </c>
      <c r="F90" s="45"/>
      <c r="G90" s="45">
        <v>1997345</v>
      </c>
      <c r="H90" s="45"/>
      <c r="I90" s="45">
        <v>435658</v>
      </c>
      <c r="J90" s="45"/>
      <c r="K90" s="45">
        <v>1086606</v>
      </c>
      <c r="L90" s="45"/>
      <c r="M90" s="45">
        <v>555839</v>
      </c>
      <c r="N90" s="45"/>
      <c r="O90" s="45">
        <v>0</v>
      </c>
      <c r="P90" s="45"/>
      <c r="Q90" s="45">
        <f>151846+27768</f>
        <v>179614</v>
      </c>
      <c r="R90" s="45"/>
      <c r="S90" s="44">
        <f t="shared" si="2"/>
        <v>44196</v>
      </c>
      <c r="T90" s="45"/>
      <c r="U90" s="45">
        <v>4682843</v>
      </c>
      <c r="V90" s="35"/>
      <c r="W90" s="45">
        <v>49300</v>
      </c>
    </row>
    <row r="91" spans="1:23" s="49" customFormat="1" ht="12.75" customHeight="1">
      <c r="A91" s="44" t="s">
        <v>114</v>
      </c>
      <c r="C91" s="44" t="s">
        <v>27</v>
      </c>
      <c r="D91" s="35"/>
      <c r="E91" s="45">
        <v>7065929</v>
      </c>
      <c r="F91" s="45"/>
      <c r="G91" s="45">
        <v>6972302</v>
      </c>
      <c r="H91" s="45"/>
      <c r="I91" s="45">
        <v>0</v>
      </c>
      <c r="J91" s="45"/>
      <c r="K91" s="45">
        <v>2441207</v>
      </c>
      <c r="L91" s="45"/>
      <c r="M91" s="45">
        <v>4287155</v>
      </c>
      <c r="N91" s="45"/>
      <c r="O91" s="45">
        <v>0</v>
      </c>
      <c r="P91" s="45"/>
      <c r="Q91" s="45">
        <f>273672+432036</f>
        <v>705708</v>
      </c>
      <c r="R91" s="45"/>
      <c r="S91" s="44">
        <f t="shared" si="2"/>
        <v>698358</v>
      </c>
      <c r="T91" s="45"/>
      <c r="U91" s="45">
        <v>22170659</v>
      </c>
      <c r="V91" s="35"/>
      <c r="W91" s="45">
        <v>0</v>
      </c>
    </row>
    <row r="92" spans="1:23" s="49" customFormat="1" ht="12.75" customHeight="1">
      <c r="A92" s="44" t="s">
        <v>115</v>
      </c>
      <c r="C92" s="44" t="s">
        <v>19</v>
      </c>
      <c r="D92" s="35"/>
      <c r="E92" s="45">
        <v>523762</v>
      </c>
      <c r="F92" s="45"/>
      <c r="G92" s="45">
        <v>2624626</v>
      </c>
      <c r="H92" s="45"/>
      <c r="I92" s="45">
        <v>0</v>
      </c>
      <c r="J92" s="45"/>
      <c r="K92" s="45">
        <v>274371</v>
      </c>
      <c r="L92" s="45"/>
      <c r="M92" s="45">
        <v>466402</v>
      </c>
      <c r="N92" s="45"/>
      <c r="O92" s="45">
        <v>0</v>
      </c>
      <c r="P92" s="45"/>
      <c r="Q92" s="45">
        <v>0</v>
      </c>
      <c r="R92" s="45"/>
      <c r="S92" s="44">
        <f t="shared" si="2"/>
        <v>258752</v>
      </c>
      <c r="T92" s="45"/>
      <c r="U92" s="45">
        <v>4147913</v>
      </c>
      <c r="V92" s="35"/>
      <c r="W92" s="45">
        <v>6308</v>
      </c>
    </row>
    <row r="93" spans="1:23" s="49" customFormat="1" ht="12.75" customHeight="1">
      <c r="A93" s="44" t="s">
        <v>116</v>
      </c>
      <c r="C93" s="44" t="s">
        <v>80</v>
      </c>
      <c r="D93" s="35"/>
      <c r="E93" s="45">
        <v>285788</v>
      </c>
      <c r="F93" s="45"/>
      <c r="G93" s="45">
        <v>2464198</v>
      </c>
      <c r="H93" s="45"/>
      <c r="I93" s="45">
        <v>0</v>
      </c>
      <c r="J93" s="45"/>
      <c r="K93" s="45">
        <v>0</v>
      </c>
      <c r="L93" s="45"/>
      <c r="M93" s="45">
        <v>413923</v>
      </c>
      <c r="N93" s="45"/>
      <c r="O93" s="45">
        <v>2017</v>
      </c>
      <c r="P93" s="45"/>
      <c r="Q93" s="45">
        <f>291248+518370</f>
        <v>809618</v>
      </c>
      <c r="R93" s="45"/>
      <c r="S93" s="44">
        <f t="shared" si="2"/>
        <v>479660</v>
      </c>
      <c r="T93" s="45"/>
      <c r="U93" s="45">
        <v>4455204</v>
      </c>
      <c r="V93" s="35"/>
      <c r="W93" s="45">
        <v>0</v>
      </c>
    </row>
    <row r="94" spans="1:23" s="49" customFormat="1" ht="12.75" customHeight="1">
      <c r="A94" s="44" t="s">
        <v>117</v>
      </c>
      <c r="C94" s="44" t="s">
        <v>43</v>
      </c>
      <c r="D94" s="35"/>
      <c r="E94" s="45">
        <v>1382229</v>
      </c>
      <c r="F94" s="45"/>
      <c r="G94" s="45">
        <v>4738418</v>
      </c>
      <c r="H94" s="45"/>
      <c r="I94" s="45">
        <v>0</v>
      </c>
      <c r="J94" s="45"/>
      <c r="K94" s="45">
        <v>841650</v>
      </c>
      <c r="L94" s="45"/>
      <c r="M94" s="45">
        <v>907429</v>
      </c>
      <c r="N94" s="45"/>
      <c r="O94" s="45">
        <v>0</v>
      </c>
      <c r="P94" s="45"/>
      <c r="Q94" s="45">
        <f>182004+171132</f>
        <v>353136</v>
      </c>
      <c r="R94" s="45"/>
      <c r="S94" s="44">
        <f t="shared" si="2"/>
        <v>211799</v>
      </c>
      <c r="T94" s="45"/>
      <c r="U94" s="45">
        <v>8434661</v>
      </c>
      <c r="V94" s="35"/>
      <c r="W94" s="45">
        <v>11710</v>
      </c>
    </row>
    <row r="95" spans="1:23" s="49" customFormat="1" ht="12.75" customHeight="1">
      <c r="A95" s="44" t="s">
        <v>118</v>
      </c>
      <c r="C95" s="44" t="s">
        <v>13</v>
      </c>
      <c r="D95" s="35"/>
      <c r="E95" s="45">
        <v>1393294</v>
      </c>
      <c r="F95" s="45"/>
      <c r="G95" s="45">
        <v>15356669</v>
      </c>
      <c r="H95" s="45"/>
      <c r="I95" s="45">
        <v>302110</v>
      </c>
      <c r="J95" s="45"/>
      <c r="K95" s="45">
        <v>0</v>
      </c>
      <c r="L95" s="45"/>
      <c r="M95" s="45">
        <v>2143355</v>
      </c>
      <c r="N95" s="45"/>
      <c r="O95" s="45">
        <v>0</v>
      </c>
      <c r="P95" s="45"/>
      <c r="Q95" s="45">
        <f>258107+42519</f>
        <v>300626</v>
      </c>
      <c r="R95" s="45"/>
      <c r="S95" s="44">
        <f t="shared" si="2"/>
        <v>1944001</v>
      </c>
      <c r="T95" s="45"/>
      <c r="U95" s="45">
        <v>21440055</v>
      </c>
      <c r="V95" s="35"/>
      <c r="W95" s="45">
        <f>5384+4000000</f>
        <v>4005384</v>
      </c>
    </row>
    <row r="96" spans="1:23" s="49" customFormat="1" ht="12.75" customHeight="1">
      <c r="A96" s="44" t="s">
        <v>120</v>
      </c>
      <c r="C96" s="44" t="s">
        <v>121</v>
      </c>
      <c r="D96" s="35"/>
      <c r="E96" s="45">
        <v>1279710</v>
      </c>
      <c r="F96" s="45"/>
      <c r="G96" s="45">
        <v>5662364</v>
      </c>
      <c r="H96" s="45"/>
      <c r="I96" s="45">
        <v>0</v>
      </c>
      <c r="J96" s="45"/>
      <c r="K96" s="45">
        <v>35302</v>
      </c>
      <c r="L96" s="45"/>
      <c r="M96" s="45">
        <v>978383</v>
      </c>
      <c r="N96" s="45"/>
      <c r="O96" s="45">
        <v>9182</v>
      </c>
      <c r="P96" s="45"/>
      <c r="Q96" s="45">
        <f>90094+126246</f>
        <v>216340</v>
      </c>
      <c r="R96" s="45"/>
      <c r="S96" s="44">
        <f t="shared" si="2"/>
        <v>145019</v>
      </c>
      <c r="T96" s="45"/>
      <c r="U96" s="45">
        <v>8326300</v>
      </c>
      <c r="V96" s="35"/>
      <c r="W96" s="45">
        <v>0</v>
      </c>
    </row>
    <row r="97" spans="1:23" s="49" customFormat="1" ht="12.75" customHeight="1">
      <c r="A97" s="44" t="s">
        <v>122</v>
      </c>
      <c r="C97" s="44" t="s">
        <v>43</v>
      </c>
      <c r="D97" s="35"/>
      <c r="E97" s="45">
        <v>888050</v>
      </c>
      <c r="F97" s="45"/>
      <c r="G97" s="45">
        <v>15849098</v>
      </c>
      <c r="H97" s="45"/>
      <c r="I97" s="45">
        <v>886280</v>
      </c>
      <c r="J97" s="45"/>
      <c r="K97" s="45">
        <v>192634</v>
      </c>
      <c r="L97" s="45"/>
      <c r="M97" s="45">
        <v>1913686</v>
      </c>
      <c r="N97" s="45"/>
      <c r="O97" s="45">
        <v>14833</v>
      </c>
      <c r="P97" s="45"/>
      <c r="Q97" s="45">
        <f>318150+480410</f>
        <v>798560</v>
      </c>
      <c r="R97" s="45"/>
      <c r="S97" s="44">
        <f t="shared" si="2"/>
        <v>1008407</v>
      </c>
      <c r="T97" s="45"/>
      <c r="U97" s="45">
        <v>21551548</v>
      </c>
      <c r="V97" s="35"/>
      <c r="W97" s="45">
        <f>13660+53786</f>
        <v>67446</v>
      </c>
    </row>
    <row r="98" spans="1:23" s="49" customFormat="1" ht="12.75" customHeight="1">
      <c r="A98" s="44" t="s">
        <v>45</v>
      </c>
      <c r="C98" s="44" t="s">
        <v>103</v>
      </c>
      <c r="D98" s="35"/>
      <c r="E98" s="45">
        <v>5993170</v>
      </c>
      <c r="F98" s="45"/>
      <c r="G98" s="45">
        <v>17149193</v>
      </c>
      <c r="H98" s="45"/>
      <c r="I98" s="45">
        <v>0</v>
      </c>
      <c r="J98" s="45"/>
      <c r="K98" s="45">
        <v>2723837</v>
      </c>
      <c r="L98" s="45"/>
      <c r="M98" s="45">
        <v>4583087</v>
      </c>
      <c r="N98" s="45"/>
      <c r="O98" s="45">
        <v>0</v>
      </c>
      <c r="P98" s="45"/>
      <c r="Q98" s="45">
        <f>538306+802282</f>
        <v>1340588</v>
      </c>
      <c r="R98" s="45"/>
      <c r="S98" s="44">
        <f t="shared" si="2"/>
        <v>956266</v>
      </c>
      <c r="T98" s="45"/>
      <c r="U98" s="45">
        <v>32746141</v>
      </c>
      <c r="V98" s="35"/>
      <c r="W98" s="45">
        <f>3740+87624</f>
        <v>91364</v>
      </c>
    </row>
    <row r="99" spans="1:23" s="49" customFormat="1" ht="12.75" customHeight="1">
      <c r="A99" s="44" t="s">
        <v>123</v>
      </c>
      <c r="C99" s="44" t="s">
        <v>45</v>
      </c>
      <c r="D99" s="35"/>
      <c r="E99" s="45">
        <v>1265088</v>
      </c>
      <c r="F99" s="45"/>
      <c r="G99" s="45">
        <v>2845469</v>
      </c>
      <c r="H99" s="45"/>
      <c r="I99" s="45">
        <v>0</v>
      </c>
      <c r="J99" s="45"/>
      <c r="K99" s="45">
        <v>0</v>
      </c>
      <c r="L99" s="45"/>
      <c r="M99" s="45">
        <v>788027</v>
      </c>
      <c r="N99" s="45"/>
      <c r="O99" s="45">
        <v>0</v>
      </c>
      <c r="P99" s="45"/>
      <c r="Q99" s="45">
        <f>244656+117904</f>
        <v>362560</v>
      </c>
      <c r="R99" s="45"/>
      <c r="S99" s="44">
        <f t="shared" si="2"/>
        <v>218682</v>
      </c>
      <c r="T99" s="45"/>
      <c r="U99" s="45">
        <v>5479826</v>
      </c>
      <c r="V99" s="35"/>
      <c r="W99" s="45">
        <v>91940</v>
      </c>
    </row>
    <row r="100" spans="1:23" s="49" customFormat="1" ht="12.75" customHeight="1">
      <c r="A100" s="44" t="s">
        <v>124</v>
      </c>
      <c r="C100" s="44" t="s">
        <v>125</v>
      </c>
      <c r="D100" s="35"/>
      <c r="E100" s="45">
        <v>4725356</v>
      </c>
      <c r="F100" s="45"/>
      <c r="G100" s="45">
        <v>0</v>
      </c>
      <c r="H100" s="45"/>
      <c r="I100" s="45">
        <v>0</v>
      </c>
      <c r="J100" s="45"/>
      <c r="K100" s="45">
        <v>419835</v>
      </c>
      <c r="L100" s="45"/>
      <c r="M100" s="45">
        <v>632350</v>
      </c>
      <c r="N100" s="45"/>
      <c r="O100" s="45">
        <v>0</v>
      </c>
      <c r="P100" s="45"/>
      <c r="Q100" s="45">
        <f>28382+1631106</f>
        <v>1659488</v>
      </c>
      <c r="R100" s="45"/>
      <c r="S100" s="44">
        <f t="shared" si="2"/>
        <v>259679</v>
      </c>
      <c r="T100" s="45"/>
      <c r="U100" s="45">
        <v>7696708</v>
      </c>
      <c r="V100" s="35"/>
      <c r="W100" s="45">
        <v>9095</v>
      </c>
    </row>
    <row r="101" spans="1:23" s="49" customFormat="1" ht="12.75" customHeight="1">
      <c r="A101" s="44" t="s">
        <v>126</v>
      </c>
      <c r="C101" s="44" t="s">
        <v>27</v>
      </c>
      <c r="D101" s="35"/>
      <c r="E101" s="45">
        <v>794000</v>
      </c>
      <c r="F101" s="45"/>
      <c r="G101" s="45">
        <v>8411482</v>
      </c>
      <c r="H101" s="45"/>
      <c r="I101" s="45">
        <v>21660</v>
      </c>
      <c r="J101" s="45"/>
      <c r="K101" s="45">
        <v>394261</v>
      </c>
      <c r="L101" s="45"/>
      <c r="M101" s="45">
        <v>639801</v>
      </c>
      <c r="N101" s="45"/>
      <c r="O101" s="45">
        <v>4115</v>
      </c>
      <c r="P101" s="45"/>
      <c r="Q101" s="45">
        <v>358180</v>
      </c>
      <c r="R101" s="45"/>
      <c r="S101" s="44">
        <f t="shared" si="2"/>
        <v>190402</v>
      </c>
      <c r="T101" s="45"/>
      <c r="U101" s="45">
        <v>10813901</v>
      </c>
      <c r="V101" s="35"/>
      <c r="W101" s="45">
        <v>88</v>
      </c>
    </row>
    <row r="102" spans="1:23" s="49" customFormat="1" ht="12.75" customHeight="1">
      <c r="A102" s="44" t="s">
        <v>127</v>
      </c>
      <c r="C102" s="44" t="s">
        <v>43</v>
      </c>
      <c r="D102" s="35"/>
      <c r="E102" s="45">
        <v>1719684</v>
      </c>
      <c r="F102" s="45"/>
      <c r="G102" s="45">
        <v>11423417</v>
      </c>
      <c r="H102" s="45"/>
      <c r="I102" s="45">
        <v>0</v>
      </c>
      <c r="J102" s="45"/>
      <c r="K102" s="45">
        <v>2104497</v>
      </c>
      <c r="L102" s="45"/>
      <c r="M102" s="45">
        <v>972379</v>
      </c>
      <c r="N102" s="45"/>
      <c r="O102" s="45">
        <v>0</v>
      </c>
      <c r="P102" s="45"/>
      <c r="Q102" s="45">
        <f>798759+282013</f>
        <v>1080772</v>
      </c>
      <c r="R102" s="45"/>
      <c r="S102" s="44">
        <f t="shared" si="2"/>
        <v>221490</v>
      </c>
      <c r="T102" s="45"/>
      <c r="U102" s="45">
        <v>17522239</v>
      </c>
      <c r="V102" s="35"/>
      <c r="W102" s="45">
        <v>0</v>
      </c>
    </row>
    <row r="103" spans="1:23" s="49" customFormat="1" ht="12.75" customHeight="1">
      <c r="A103" s="44" t="s">
        <v>128</v>
      </c>
      <c r="C103" s="44" t="s">
        <v>119</v>
      </c>
      <c r="D103" s="35"/>
      <c r="E103" s="45">
        <v>3564820</v>
      </c>
      <c r="F103" s="45"/>
      <c r="G103" s="45">
        <v>0</v>
      </c>
      <c r="H103" s="45"/>
      <c r="I103" s="45">
        <v>0</v>
      </c>
      <c r="J103" s="45"/>
      <c r="K103" s="45">
        <v>655487</v>
      </c>
      <c r="L103" s="45"/>
      <c r="M103" s="45">
        <v>307594</v>
      </c>
      <c r="N103" s="45"/>
      <c r="O103" s="45">
        <v>0</v>
      </c>
      <c r="P103" s="45"/>
      <c r="Q103" s="45">
        <f>10810+250741</f>
        <v>261551</v>
      </c>
      <c r="R103" s="45"/>
      <c r="S103" s="44">
        <f t="shared" si="2"/>
        <v>84062</v>
      </c>
      <c r="T103" s="45"/>
      <c r="U103" s="45">
        <v>4873514</v>
      </c>
      <c r="V103" s="35"/>
      <c r="W103" s="45">
        <f>8807+2730000+15500+79216</f>
        <v>2833523</v>
      </c>
    </row>
    <row r="104" spans="1:23" s="49" customFormat="1" ht="12.75" customHeight="1">
      <c r="A104" s="44" t="s">
        <v>129</v>
      </c>
      <c r="C104" s="44" t="s">
        <v>80</v>
      </c>
      <c r="D104" s="35"/>
      <c r="E104" s="45">
        <v>260967</v>
      </c>
      <c r="F104" s="45"/>
      <c r="G104" s="45">
        <v>1881642</v>
      </c>
      <c r="H104" s="45"/>
      <c r="I104" s="45">
        <v>0</v>
      </c>
      <c r="J104" s="45"/>
      <c r="K104" s="45">
        <v>1139</v>
      </c>
      <c r="L104" s="45"/>
      <c r="M104" s="45">
        <v>263757</v>
      </c>
      <c r="N104" s="45"/>
      <c r="O104" s="45">
        <v>0</v>
      </c>
      <c r="P104" s="45"/>
      <c r="Q104" s="45">
        <f>129145+34995</f>
        <v>164140</v>
      </c>
      <c r="R104" s="45"/>
      <c r="S104" s="44">
        <f t="shared" si="2"/>
        <v>289966</v>
      </c>
      <c r="T104" s="45"/>
      <c r="U104" s="45">
        <v>2861611</v>
      </c>
      <c r="V104" s="35"/>
      <c r="W104" s="45">
        <v>0</v>
      </c>
    </row>
    <row r="105" spans="1:23" s="49" customFormat="1" ht="12.75" customHeight="1">
      <c r="A105" s="44" t="s">
        <v>130</v>
      </c>
      <c r="C105" s="44" t="s">
        <v>66</v>
      </c>
      <c r="D105" s="35"/>
      <c r="E105" s="45">
        <v>1381670</v>
      </c>
      <c r="F105" s="45"/>
      <c r="G105" s="45">
        <v>4987900</v>
      </c>
      <c r="H105" s="45"/>
      <c r="I105" s="45">
        <v>0</v>
      </c>
      <c r="J105" s="45"/>
      <c r="K105" s="45">
        <v>1285766</v>
      </c>
      <c r="L105" s="45"/>
      <c r="M105" s="45">
        <v>1124232</v>
      </c>
      <c r="N105" s="45"/>
      <c r="O105" s="45">
        <v>0</v>
      </c>
      <c r="P105" s="45"/>
      <c r="Q105" s="45">
        <v>143934</v>
      </c>
      <c r="R105" s="45"/>
      <c r="S105" s="44">
        <f t="shared" si="2"/>
        <v>387756</v>
      </c>
      <c r="T105" s="45"/>
      <c r="U105" s="45">
        <v>9311258</v>
      </c>
      <c r="V105" s="35"/>
      <c r="W105" s="45">
        <v>40905</v>
      </c>
    </row>
    <row r="106" spans="1:23" s="46" customFormat="1" ht="12.75" customHeight="1">
      <c r="A106" s="44" t="s">
        <v>131</v>
      </c>
      <c r="B106" s="49"/>
      <c r="C106" s="44" t="s">
        <v>13</v>
      </c>
      <c r="D106" s="35"/>
      <c r="E106" s="45">
        <v>2413418</v>
      </c>
      <c r="F106" s="45"/>
      <c r="G106" s="45">
        <v>11941781</v>
      </c>
      <c r="H106" s="45"/>
      <c r="I106" s="45">
        <v>0</v>
      </c>
      <c r="J106" s="45"/>
      <c r="K106" s="45">
        <v>399911</v>
      </c>
      <c r="L106" s="45"/>
      <c r="M106" s="45">
        <v>2954109</v>
      </c>
      <c r="N106" s="45"/>
      <c r="O106" s="45">
        <v>49684</v>
      </c>
      <c r="P106" s="45"/>
      <c r="Q106" s="45">
        <v>63281</v>
      </c>
      <c r="R106" s="45"/>
      <c r="S106" s="44">
        <f t="shared" si="2"/>
        <v>1157277</v>
      </c>
      <c r="T106" s="45"/>
      <c r="U106" s="45">
        <v>18979461</v>
      </c>
      <c r="V106" s="35"/>
      <c r="W106" s="45">
        <v>883</v>
      </c>
    </row>
    <row r="107" spans="1:23" s="46" customFormat="1" ht="12.75" customHeight="1">
      <c r="A107" s="44" t="s">
        <v>38</v>
      </c>
      <c r="B107" s="49"/>
      <c r="C107" s="44" t="s">
        <v>132</v>
      </c>
      <c r="D107" s="35"/>
      <c r="E107" s="45">
        <v>308896</v>
      </c>
      <c r="F107" s="45"/>
      <c r="G107" s="45">
        <v>2143428</v>
      </c>
      <c r="H107" s="45"/>
      <c r="I107" s="45">
        <v>0</v>
      </c>
      <c r="J107" s="45"/>
      <c r="K107" s="45">
        <v>65640</v>
      </c>
      <c r="L107" s="45"/>
      <c r="M107" s="45">
        <v>647342</v>
      </c>
      <c r="N107" s="45"/>
      <c r="O107" s="45">
        <v>0</v>
      </c>
      <c r="P107" s="45"/>
      <c r="Q107" s="45">
        <f>94765+333266</f>
        <v>428031</v>
      </c>
      <c r="R107" s="45"/>
      <c r="S107" s="44">
        <f t="shared" si="2"/>
        <v>767856</v>
      </c>
      <c r="T107" s="45"/>
      <c r="U107" s="45">
        <v>4361193</v>
      </c>
      <c r="V107" s="35"/>
      <c r="W107" s="45">
        <v>0</v>
      </c>
    </row>
    <row r="108" spans="1:23" s="49" customFormat="1" ht="12.75" customHeight="1">
      <c r="A108" s="44" t="s">
        <v>133</v>
      </c>
      <c r="C108" s="44" t="s">
        <v>27</v>
      </c>
      <c r="D108" s="35"/>
      <c r="E108" s="45">
        <v>843892</v>
      </c>
      <c r="F108" s="45"/>
      <c r="G108" s="45">
        <v>22559069</v>
      </c>
      <c r="H108" s="45"/>
      <c r="I108" s="45">
        <f>939861+18078</f>
        <v>957939</v>
      </c>
      <c r="J108" s="45"/>
      <c r="K108" s="45">
        <v>15150</v>
      </c>
      <c r="L108" s="45"/>
      <c r="M108" s="45">
        <v>790746</v>
      </c>
      <c r="N108" s="45"/>
      <c r="O108" s="45">
        <v>0</v>
      </c>
      <c r="P108" s="45"/>
      <c r="Q108" s="45">
        <f>297943+361624</f>
        <v>659567</v>
      </c>
      <c r="R108" s="45"/>
      <c r="S108" s="44">
        <f t="shared" si="2"/>
        <v>674220</v>
      </c>
      <c r="T108" s="45"/>
      <c r="U108" s="45">
        <v>26500583</v>
      </c>
      <c r="V108" s="35"/>
      <c r="W108" s="45">
        <v>0</v>
      </c>
    </row>
    <row r="109" spans="1:23" s="49" customFormat="1" ht="12.75" hidden="1" customHeight="1">
      <c r="A109" s="44" t="s">
        <v>482</v>
      </c>
      <c r="C109" s="44" t="s">
        <v>45</v>
      </c>
      <c r="D109" s="35"/>
      <c r="E109" s="45">
        <v>0</v>
      </c>
      <c r="F109" s="45"/>
      <c r="G109" s="45">
        <v>0</v>
      </c>
      <c r="H109" s="45"/>
      <c r="I109" s="45">
        <v>0</v>
      </c>
      <c r="J109" s="45"/>
      <c r="K109" s="45">
        <v>0</v>
      </c>
      <c r="L109" s="45"/>
      <c r="M109" s="45">
        <v>0</v>
      </c>
      <c r="N109" s="45"/>
      <c r="O109" s="45">
        <v>0</v>
      </c>
      <c r="P109" s="45"/>
      <c r="Q109" s="45">
        <v>0</v>
      </c>
      <c r="R109" s="45"/>
      <c r="S109" s="44">
        <f t="shared" si="2"/>
        <v>0</v>
      </c>
      <c r="T109" s="45"/>
      <c r="U109" s="45">
        <v>0</v>
      </c>
      <c r="V109" s="35"/>
      <c r="W109" s="45">
        <v>0</v>
      </c>
    </row>
    <row r="110" spans="1:23" s="49" customFormat="1" ht="12.75" customHeight="1">
      <c r="A110" s="44" t="s">
        <v>136</v>
      </c>
      <c r="C110" s="44" t="s">
        <v>136</v>
      </c>
      <c r="D110" s="35"/>
      <c r="E110" s="45">
        <v>337391</v>
      </c>
      <c r="F110" s="45"/>
      <c r="G110" s="45">
        <v>0</v>
      </c>
      <c r="H110" s="45"/>
      <c r="I110" s="45">
        <v>680247</v>
      </c>
      <c r="J110" s="45"/>
      <c r="K110" s="45">
        <v>883034</v>
      </c>
      <c r="L110" s="45"/>
      <c r="M110" s="45">
        <v>491667</v>
      </c>
      <c r="N110" s="45"/>
      <c r="O110" s="45">
        <v>0</v>
      </c>
      <c r="P110" s="45"/>
      <c r="Q110" s="45">
        <f>60165+86335</f>
        <v>146500</v>
      </c>
      <c r="R110" s="45"/>
      <c r="S110" s="44">
        <f t="shared" si="2"/>
        <v>448041</v>
      </c>
      <c r="T110" s="45"/>
      <c r="U110" s="45">
        <v>2986880</v>
      </c>
      <c r="V110" s="35"/>
      <c r="W110" s="45">
        <v>312848</v>
      </c>
    </row>
    <row r="111" spans="1:23" s="49" customFormat="1" ht="12.75" customHeight="1">
      <c r="A111" s="44" t="s">
        <v>137</v>
      </c>
      <c r="C111" s="44" t="s">
        <v>22</v>
      </c>
      <c r="D111" s="35"/>
      <c r="E111" s="45">
        <v>1631130</v>
      </c>
      <c r="F111" s="45"/>
      <c r="G111" s="45">
        <v>0</v>
      </c>
      <c r="H111" s="45"/>
      <c r="I111" s="45">
        <v>0</v>
      </c>
      <c r="J111" s="45"/>
      <c r="K111" s="45">
        <v>1223267</v>
      </c>
      <c r="L111" s="45"/>
      <c r="M111" s="45">
        <v>2189213</v>
      </c>
      <c r="N111" s="45"/>
      <c r="O111" s="45">
        <v>0</v>
      </c>
      <c r="P111" s="45"/>
      <c r="Q111" s="45">
        <f>64053+223352</f>
        <v>287405</v>
      </c>
      <c r="R111" s="45"/>
      <c r="S111" s="44">
        <f t="shared" si="2"/>
        <v>432656</v>
      </c>
      <c r="T111" s="45"/>
      <c r="U111" s="45">
        <v>5763671</v>
      </c>
      <c r="V111" s="35"/>
      <c r="W111" s="45">
        <v>2000000</v>
      </c>
    </row>
    <row r="112" spans="1:23" s="49" customFormat="1" ht="12.75" hidden="1" customHeight="1">
      <c r="A112" s="44" t="s">
        <v>138</v>
      </c>
      <c r="C112" s="44" t="s">
        <v>139</v>
      </c>
      <c r="D112" s="35"/>
      <c r="E112" s="45">
        <v>0</v>
      </c>
      <c r="F112" s="45"/>
      <c r="G112" s="45">
        <v>0</v>
      </c>
      <c r="H112" s="45"/>
      <c r="I112" s="45">
        <v>0</v>
      </c>
      <c r="J112" s="45"/>
      <c r="K112" s="45">
        <v>0</v>
      </c>
      <c r="L112" s="45"/>
      <c r="M112" s="45">
        <v>0</v>
      </c>
      <c r="N112" s="45"/>
      <c r="O112" s="45">
        <v>0</v>
      </c>
      <c r="P112" s="45"/>
      <c r="Q112" s="45">
        <v>0</v>
      </c>
      <c r="R112" s="45"/>
      <c r="S112" s="44">
        <f t="shared" si="2"/>
        <v>0</v>
      </c>
      <c r="T112" s="45"/>
      <c r="U112" s="45">
        <v>0</v>
      </c>
      <c r="V112" s="35"/>
      <c r="W112" s="45">
        <v>0</v>
      </c>
    </row>
    <row r="113" spans="1:23" s="49" customFormat="1" ht="12.75" customHeight="1">
      <c r="A113" s="44" t="s">
        <v>140</v>
      </c>
      <c r="C113" s="44" t="s">
        <v>66</v>
      </c>
      <c r="D113" s="35"/>
      <c r="E113" s="45">
        <v>7566187</v>
      </c>
      <c r="F113" s="45"/>
      <c r="G113" s="45">
        <v>35321466</v>
      </c>
      <c r="H113" s="45"/>
      <c r="I113" s="45">
        <v>0</v>
      </c>
      <c r="J113" s="45"/>
      <c r="K113" s="45">
        <v>158201</v>
      </c>
      <c r="L113" s="45"/>
      <c r="M113" s="45">
        <v>1596036</v>
      </c>
      <c r="N113" s="45"/>
      <c r="O113" s="45">
        <v>399664</v>
      </c>
      <c r="P113" s="45"/>
      <c r="Q113" s="45">
        <f>521039+1327184</f>
        <v>1848223</v>
      </c>
      <c r="R113" s="45"/>
      <c r="S113" s="44">
        <f t="shared" si="2"/>
        <v>3896321</v>
      </c>
      <c r="T113" s="45"/>
      <c r="U113" s="45">
        <v>50786098</v>
      </c>
      <c r="V113" s="35"/>
      <c r="W113" s="45">
        <v>21016</v>
      </c>
    </row>
    <row r="114" spans="1:23" s="49" customFormat="1" ht="12.75" customHeight="1">
      <c r="A114" s="44" t="s">
        <v>478</v>
      </c>
      <c r="C114" s="44" t="s">
        <v>92</v>
      </c>
      <c r="D114" s="35"/>
      <c r="E114" s="45">
        <v>650619</v>
      </c>
      <c r="F114" s="45"/>
      <c r="G114" s="45">
        <v>2923619</v>
      </c>
      <c r="H114" s="45"/>
      <c r="I114" s="45">
        <v>0</v>
      </c>
      <c r="J114" s="45"/>
      <c r="K114" s="45">
        <v>113753</v>
      </c>
      <c r="L114" s="45"/>
      <c r="M114" s="45">
        <v>676231</v>
      </c>
      <c r="N114" s="45"/>
      <c r="O114" s="45">
        <v>0</v>
      </c>
      <c r="P114" s="45"/>
      <c r="Q114" s="45">
        <f>36118+23653</f>
        <v>59771</v>
      </c>
      <c r="R114" s="45"/>
      <c r="S114" s="44">
        <f t="shared" si="2"/>
        <v>293638</v>
      </c>
      <c r="T114" s="45"/>
      <c r="U114" s="45">
        <v>4717631</v>
      </c>
      <c r="V114" s="35"/>
      <c r="W114" s="45">
        <f>11635+50000</f>
        <v>61635</v>
      </c>
    </row>
    <row r="115" spans="1:23" s="46" customFormat="1" ht="12.75" customHeight="1">
      <c r="A115" s="44" t="s">
        <v>141</v>
      </c>
      <c r="B115" s="49"/>
      <c r="C115" s="44" t="s">
        <v>27</v>
      </c>
      <c r="D115" s="35"/>
      <c r="E115" s="45">
        <v>7411316</v>
      </c>
      <c r="F115" s="45"/>
      <c r="G115" s="45">
        <v>18355581</v>
      </c>
      <c r="H115" s="45"/>
      <c r="I115" s="45">
        <v>0</v>
      </c>
      <c r="J115" s="45"/>
      <c r="K115" s="45">
        <v>1044730</v>
      </c>
      <c r="L115" s="45"/>
      <c r="M115" s="45">
        <v>5659440</v>
      </c>
      <c r="N115" s="45"/>
      <c r="O115" s="45">
        <v>0</v>
      </c>
      <c r="P115" s="45"/>
      <c r="Q115" s="45">
        <f>1771241+1347212</f>
        <v>3118453</v>
      </c>
      <c r="R115" s="45"/>
      <c r="S115" s="44">
        <f t="shared" si="2"/>
        <v>339681</v>
      </c>
      <c r="T115" s="45"/>
      <c r="U115" s="45">
        <v>35929201</v>
      </c>
      <c r="V115" s="35"/>
      <c r="W115" s="45">
        <f>2175159+1079300</f>
        <v>3254459</v>
      </c>
    </row>
    <row r="116" spans="1:23" s="49" customFormat="1" ht="12.75" customHeight="1">
      <c r="A116" s="44" t="s">
        <v>142</v>
      </c>
      <c r="C116" s="44" t="s">
        <v>102</v>
      </c>
      <c r="D116" s="35"/>
      <c r="E116" s="45">
        <v>17365774</v>
      </c>
      <c r="F116" s="45"/>
      <c r="G116" s="45">
        <v>0</v>
      </c>
      <c r="H116" s="45"/>
      <c r="I116" s="45">
        <v>0</v>
      </c>
      <c r="J116" s="45"/>
      <c r="K116" s="45">
        <v>2660690</v>
      </c>
      <c r="L116" s="45"/>
      <c r="M116" s="45">
        <v>2797071</v>
      </c>
      <c r="N116" s="45"/>
      <c r="O116" s="45">
        <v>0</v>
      </c>
      <c r="P116" s="45"/>
      <c r="Q116" s="45">
        <f>27710+828263</f>
        <v>855973</v>
      </c>
      <c r="R116" s="45"/>
      <c r="S116" s="44">
        <f t="shared" si="2"/>
        <v>789365</v>
      </c>
      <c r="T116" s="45"/>
      <c r="U116" s="45">
        <v>24468873</v>
      </c>
      <c r="V116" s="35"/>
      <c r="W116" s="45">
        <f>19016+118545</f>
        <v>137561</v>
      </c>
    </row>
    <row r="117" spans="1:23" s="49" customFormat="1" ht="12.75" customHeight="1">
      <c r="A117" s="44" t="s">
        <v>143</v>
      </c>
      <c r="C117" s="44" t="s">
        <v>111</v>
      </c>
      <c r="D117" s="35"/>
      <c r="E117" s="45">
        <v>1363104</v>
      </c>
      <c r="F117" s="45"/>
      <c r="G117" s="45">
        <v>2650985</v>
      </c>
      <c r="H117" s="45"/>
      <c r="I117" s="45">
        <v>1258925</v>
      </c>
      <c r="J117" s="45"/>
      <c r="K117" s="45">
        <v>1759274</v>
      </c>
      <c r="L117" s="45"/>
      <c r="M117" s="45">
        <v>774962</v>
      </c>
      <c r="N117" s="45"/>
      <c r="O117" s="45">
        <v>0</v>
      </c>
      <c r="P117" s="45"/>
      <c r="Q117" s="45">
        <v>676777</v>
      </c>
      <c r="R117" s="45"/>
      <c r="S117" s="44">
        <f t="shared" si="2"/>
        <v>692883</v>
      </c>
      <c r="T117" s="45"/>
      <c r="U117" s="45">
        <v>9176910</v>
      </c>
      <c r="V117" s="35"/>
      <c r="W117" s="45">
        <f>6251+106927</f>
        <v>113178</v>
      </c>
    </row>
    <row r="118" spans="1:23" s="49" customFormat="1" ht="12.75" customHeight="1">
      <c r="A118" s="44" t="s">
        <v>144</v>
      </c>
      <c r="C118" s="44" t="s">
        <v>88</v>
      </c>
      <c r="D118" s="35"/>
      <c r="E118" s="45">
        <v>1378850</v>
      </c>
      <c r="F118" s="45"/>
      <c r="G118" s="45">
        <v>14903189</v>
      </c>
      <c r="H118" s="45"/>
      <c r="I118" s="45">
        <v>0</v>
      </c>
      <c r="J118" s="45"/>
      <c r="K118" s="45">
        <v>4881800</v>
      </c>
      <c r="L118" s="45"/>
      <c r="M118" s="45">
        <v>2616133</v>
      </c>
      <c r="N118" s="45"/>
      <c r="O118" s="45">
        <v>0</v>
      </c>
      <c r="P118" s="45"/>
      <c r="Q118" s="45">
        <f>637793+903974</f>
        <v>1541767</v>
      </c>
      <c r="R118" s="45"/>
      <c r="S118" s="44">
        <f t="shared" si="2"/>
        <v>1031774</v>
      </c>
      <c r="T118" s="45"/>
      <c r="U118" s="45">
        <v>26353513</v>
      </c>
      <c r="V118" s="35"/>
      <c r="W118" s="45">
        <f>5587+655000+1904+245508</f>
        <v>907999</v>
      </c>
    </row>
    <row r="119" spans="1:23" s="49" customFormat="1" ht="12.75" customHeight="1">
      <c r="A119" s="44" t="s">
        <v>36</v>
      </c>
      <c r="C119" s="44" t="s">
        <v>145</v>
      </c>
      <c r="D119" s="35"/>
      <c r="E119" s="45">
        <v>191527</v>
      </c>
      <c r="F119" s="45"/>
      <c r="G119" s="45">
        <v>2428333</v>
      </c>
      <c r="H119" s="45"/>
      <c r="I119" s="45">
        <v>0</v>
      </c>
      <c r="J119" s="45"/>
      <c r="K119" s="45">
        <v>154763</v>
      </c>
      <c r="L119" s="45"/>
      <c r="M119" s="45">
        <v>481092</v>
      </c>
      <c r="N119" s="45"/>
      <c r="O119" s="45">
        <v>0</v>
      </c>
      <c r="P119" s="45"/>
      <c r="Q119" s="45">
        <v>67837</v>
      </c>
      <c r="R119" s="45"/>
      <c r="S119" s="44">
        <f t="shared" si="2"/>
        <v>41040</v>
      </c>
      <c r="T119" s="45"/>
      <c r="U119" s="45">
        <v>3364592</v>
      </c>
      <c r="V119" s="35"/>
      <c r="W119" s="45">
        <v>0</v>
      </c>
    </row>
    <row r="120" spans="1:23" s="46" customFormat="1" ht="12.75" customHeight="1">
      <c r="A120" s="44" t="s">
        <v>146</v>
      </c>
      <c r="B120" s="49"/>
      <c r="C120" s="44" t="s">
        <v>147</v>
      </c>
      <c r="D120" s="35"/>
      <c r="E120" s="45">
        <v>3223419</v>
      </c>
      <c r="F120" s="45"/>
      <c r="G120" s="45">
        <v>0</v>
      </c>
      <c r="H120" s="45"/>
      <c r="I120" s="45">
        <v>0</v>
      </c>
      <c r="J120" s="45"/>
      <c r="K120" s="45">
        <v>311717</v>
      </c>
      <c r="L120" s="45"/>
      <c r="M120" s="45">
        <v>406618</v>
      </c>
      <c r="N120" s="45"/>
      <c r="O120" s="45">
        <v>0</v>
      </c>
      <c r="P120" s="45"/>
      <c r="Q120" s="45">
        <v>22932</v>
      </c>
      <c r="R120" s="45"/>
      <c r="S120" s="44">
        <f t="shared" si="2"/>
        <v>65981</v>
      </c>
      <c r="T120" s="45"/>
      <c r="U120" s="45">
        <v>4030667</v>
      </c>
      <c r="V120" s="35"/>
      <c r="W120" s="45">
        <v>9990</v>
      </c>
    </row>
    <row r="121" spans="1:23" s="49" customFormat="1" ht="12.75" customHeight="1">
      <c r="A121" s="44" t="s">
        <v>17</v>
      </c>
      <c r="C121" s="44" t="s">
        <v>17</v>
      </c>
      <c r="D121" s="35"/>
      <c r="E121" s="45">
        <v>2640989</v>
      </c>
      <c r="F121" s="45"/>
      <c r="G121" s="45">
        <v>13743799</v>
      </c>
      <c r="H121" s="45"/>
      <c r="I121" s="45">
        <v>602430</v>
      </c>
      <c r="J121" s="45"/>
      <c r="K121" s="45">
        <v>832792</v>
      </c>
      <c r="L121" s="45"/>
      <c r="M121" s="45">
        <v>6058796</v>
      </c>
      <c r="N121" s="45"/>
      <c r="O121" s="45">
        <v>0</v>
      </c>
      <c r="P121" s="45"/>
      <c r="Q121" s="45">
        <f>730023+1338259</f>
        <v>2068282</v>
      </c>
      <c r="R121" s="45"/>
      <c r="S121" s="44">
        <f t="shared" si="2"/>
        <v>333148</v>
      </c>
      <c r="T121" s="45"/>
      <c r="U121" s="45">
        <v>26280236</v>
      </c>
      <c r="V121" s="35"/>
      <c r="W121" s="45">
        <f>250320+128813</f>
        <v>379133</v>
      </c>
    </row>
    <row r="122" spans="1:23" s="49" customFormat="1" ht="12.75" customHeight="1">
      <c r="A122" s="44" t="s">
        <v>148</v>
      </c>
      <c r="C122" s="44" t="s">
        <v>15</v>
      </c>
      <c r="D122" s="35"/>
      <c r="E122" s="45">
        <v>405380</v>
      </c>
      <c r="F122" s="45"/>
      <c r="G122" s="45">
        <v>2411065</v>
      </c>
      <c r="H122" s="45"/>
      <c r="I122" s="45">
        <v>0</v>
      </c>
      <c r="J122" s="45"/>
      <c r="K122" s="45">
        <v>252025</v>
      </c>
      <c r="L122" s="45"/>
      <c r="M122" s="45">
        <v>568642</v>
      </c>
      <c r="N122" s="45"/>
      <c r="O122" s="45">
        <v>0</v>
      </c>
      <c r="P122" s="45"/>
      <c r="Q122" s="45">
        <f>114544+2710</f>
        <v>117254</v>
      </c>
      <c r="R122" s="45"/>
      <c r="S122" s="44">
        <f t="shared" si="2"/>
        <v>96982</v>
      </c>
      <c r="T122" s="45"/>
      <c r="U122" s="45">
        <v>3851348</v>
      </c>
      <c r="V122" s="35"/>
      <c r="W122" s="45">
        <v>0</v>
      </c>
    </row>
    <row r="123" spans="1:23" s="49" customFormat="1" ht="12.75" customHeight="1">
      <c r="A123" s="44" t="s">
        <v>149</v>
      </c>
      <c r="C123" s="44" t="s">
        <v>45</v>
      </c>
      <c r="D123" s="35"/>
      <c r="E123" s="45">
        <v>951761</v>
      </c>
      <c r="F123" s="45"/>
      <c r="G123" s="45">
        <v>3104703</v>
      </c>
      <c r="H123" s="45"/>
      <c r="I123" s="45">
        <v>0</v>
      </c>
      <c r="J123" s="45"/>
      <c r="K123" s="45">
        <v>619337</v>
      </c>
      <c r="L123" s="45"/>
      <c r="M123" s="45">
        <v>1372701</v>
      </c>
      <c r="N123" s="45"/>
      <c r="O123" s="45">
        <v>0</v>
      </c>
      <c r="P123" s="45"/>
      <c r="Q123" s="45">
        <f>57371+117867</f>
        <v>175238</v>
      </c>
      <c r="R123" s="45"/>
      <c r="S123" s="44">
        <f t="shared" si="2"/>
        <v>89950</v>
      </c>
      <c r="T123" s="45"/>
      <c r="U123" s="45">
        <v>6313690</v>
      </c>
      <c r="V123" s="35"/>
      <c r="W123" s="45">
        <f>101135+1575180</f>
        <v>1676315</v>
      </c>
    </row>
    <row r="124" spans="1:23" s="49" customFormat="1" ht="12.75" customHeight="1">
      <c r="A124" s="44" t="s">
        <v>150</v>
      </c>
      <c r="C124" s="44" t="s">
        <v>27</v>
      </c>
      <c r="D124" s="35"/>
      <c r="E124" s="45">
        <v>3032166</v>
      </c>
      <c r="F124" s="45"/>
      <c r="G124" s="45">
        <v>5983062</v>
      </c>
      <c r="H124" s="45"/>
      <c r="I124" s="45">
        <v>0</v>
      </c>
      <c r="J124" s="45"/>
      <c r="K124" s="45">
        <v>538434</v>
      </c>
      <c r="L124" s="45"/>
      <c r="M124" s="45">
        <v>2565135</v>
      </c>
      <c r="N124" s="45"/>
      <c r="O124" s="45">
        <v>0</v>
      </c>
      <c r="P124" s="45"/>
      <c r="Q124" s="45">
        <f>28102+1456384</f>
        <v>1484486</v>
      </c>
      <c r="R124" s="45"/>
      <c r="S124" s="44">
        <f t="shared" si="2"/>
        <v>196081</v>
      </c>
      <c r="T124" s="45"/>
      <c r="U124" s="45">
        <v>13799364</v>
      </c>
      <c r="V124" s="35"/>
      <c r="W124" s="45">
        <v>163209</v>
      </c>
    </row>
    <row r="125" spans="1:23" s="49" customFormat="1" ht="12.75" customHeight="1">
      <c r="A125" s="44" t="s">
        <v>471</v>
      </c>
      <c r="C125" s="44"/>
      <c r="D125" s="3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4"/>
      <c r="T125" s="45"/>
      <c r="U125" s="45"/>
      <c r="V125" s="35"/>
      <c r="W125" s="48" t="s">
        <v>484</v>
      </c>
    </row>
    <row r="126" spans="1:23" s="49" customFormat="1" ht="12.75" customHeight="1">
      <c r="A126" s="44" t="s">
        <v>151</v>
      </c>
      <c r="C126" s="44" t="s">
        <v>13</v>
      </c>
      <c r="D126" s="35"/>
      <c r="E126" s="94">
        <v>1755645</v>
      </c>
      <c r="F126" s="94"/>
      <c r="G126" s="94">
        <v>5523645</v>
      </c>
      <c r="H126" s="94"/>
      <c r="I126" s="94">
        <v>0</v>
      </c>
      <c r="J126" s="94"/>
      <c r="K126" s="94">
        <v>436903</v>
      </c>
      <c r="L126" s="94"/>
      <c r="M126" s="94">
        <v>1117888</v>
      </c>
      <c r="N126" s="94"/>
      <c r="O126" s="94">
        <v>39107</v>
      </c>
      <c r="P126" s="94"/>
      <c r="Q126" s="94">
        <v>765140</v>
      </c>
      <c r="R126" s="94"/>
      <c r="S126" s="46">
        <f t="shared" si="2"/>
        <v>157192</v>
      </c>
      <c r="T126" s="94"/>
      <c r="U126" s="94">
        <v>9795520</v>
      </c>
      <c r="V126" s="64"/>
      <c r="W126" s="94">
        <f>6475+3510</f>
        <v>9985</v>
      </c>
    </row>
    <row r="127" spans="1:23" s="49" customFormat="1" ht="12.75" customHeight="1">
      <c r="A127" s="44" t="s">
        <v>481</v>
      </c>
      <c r="C127" s="44" t="s">
        <v>45</v>
      </c>
      <c r="D127" s="35"/>
      <c r="E127" s="45">
        <v>4290378</v>
      </c>
      <c r="F127" s="45"/>
      <c r="G127" s="45">
        <v>0</v>
      </c>
      <c r="H127" s="45"/>
      <c r="I127" s="45">
        <v>0</v>
      </c>
      <c r="J127" s="45"/>
      <c r="K127" s="45">
        <v>67551</v>
      </c>
      <c r="L127" s="45"/>
      <c r="M127" s="45">
        <v>837575</v>
      </c>
      <c r="N127" s="45"/>
      <c r="O127" s="45">
        <v>0</v>
      </c>
      <c r="P127" s="45"/>
      <c r="Q127" s="45">
        <f>75030+117953</f>
        <v>192983</v>
      </c>
      <c r="R127" s="45"/>
      <c r="S127" s="44">
        <f t="shared" si="2"/>
        <v>256919</v>
      </c>
      <c r="T127" s="45"/>
      <c r="U127" s="45">
        <v>5645406</v>
      </c>
      <c r="V127" s="35"/>
      <c r="W127" s="45">
        <v>0</v>
      </c>
    </row>
    <row r="128" spans="1:23" s="49" customFormat="1" ht="12.75" customHeight="1">
      <c r="A128" s="44" t="s">
        <v>152</v>
      </c>
      <c r="C128" s="44" t="s">
        <v>153</v>
      </c>
      <c r="D128" s="35"/>
      <c r="E128" s="45">
        <v>1990074</v>
      </c>
      <c r="F128" s="45"/>
      <c r="G128" s="45">
        <v>345944</v>
      </c>
      <c r="H128" s="45"/>
      <c r="I128" s="45">
        <v>0</v>
      </c>
      <c r="J128" s="45"/>
      <c r="K128" s="45">
        <v>31637</v>
      </c>
      <c r="L128" s="45"/>
      <c r="M128" s="45">
        <v>3862875</v>
      </c>
      <c r="N128" s="45"/>
      <c r="O128" s="45">
        <v>56273</v>
      </c>
      <c r="P128" s="45"/>
      <c r="Q128" s="45">
        <f>624126+1317272</f>
        <v>1941398</v>
      </c>
      <c r="R128" s="45"/>
      <c r="S128" s="44">
        <f t="shared" si="2"/>
        <v>410755</v>
      </c>
      <c r="T128" s="45"/>
      <c r="U128" s="45">
        <v>8638956</v>
      </c>
      <c r="V128" s="35"/>
      <c r="W128" s="45">
        <v>79530</v>
      </c>
    </row>
    <row r="129" spans="1:26" s="49" customFormat="1" ht="12" customHeight="1">
      <c r="A129" s="46" t="s">
        <v>154</v>
      </c>
      <c r="B129" s="46"/>
      <c r="C129" s="46" t="s">
        <v>27</v>
      </c>
      <c r="D129" s="64"/>
      <c r="E129" s="45">
        <v>3028030</v>
      </c>
      <c r="F129" s="45"/>
      <c r="G129" s="45">
        <v>0</v>
      </c>
      <c r="H129" s="45"/>
      <c r="I129" s="45">
        <v>0</v>
      </c>
      <c r="J129" s="45"/>
      <c r="K129" s="45">
        <v>774828</v>
      </c>
      <c r="L129" s="45"/>
      <c r="M129" s="45">
        <v>2524000</v>
      </c>
      <c r="N129" s="45"/>
      <c r="O129" s="45">
        <v>131155</v>
      </c>
      <c r="P129" s="45"/>
      <c r="Q129" s="45">
        <v>1203025</v>
      </c>
      <c r="R129" s="45"/>
      <c r="S129" s="44">
        <f t="shared" si="2"/>
        <v>120507</v>
      </c>
      <c r="T129" s="45"/>
      <c r="U129" s="45">
        <v>7781545</v>
      </c>
      <c r="V129" s="35"/>
      <c r="W129" s="45">
        <v>7175500</v>
      </c>
    </row>
    <row r="130" spans="1:26" s="49" customFormat="1" ht="12.75" customHeight="1">
      <c r="A130" s="44" t="s">
        <v>155</v>
      </c>
      <c r="C130" s="44" t="s">
        <v>40</v>
      </c>
      <c r="D130" s="35"/>
      <c r="E130" s="45">
        <v>487772</v>
      </c>
      <c r="F130" s="45"/>
      <c r="G130" s="45">
        <v>5597840</v>
      </c>
      <c r="H130" s="45"/>
      <c r="I130" s="45">
        <f>252321+73775+201107</f>
        <v>527203</v>
      </c>
      <c r="J130" s="45"/>
      <c r="K130" s="45">
        <v>833700</v>
      </c>
      <c r="L130" s="45"/>
      <c r="M130" s="45">
        <v>1151858</v>
      </c>
      <c r="N130" s="45"/>
      <c r="O130" s="45">
        <v>0</v>
      </c>
      <c r="P130" s="45"/>
      <c r="Q130" s="45">
        <v>504279</v>
      </c>
      <c r="R130" s="45"/>
      <c r="S130" s="44">
        <f t="shared" si="2"/>
        <v>208143</v>
      </c>
      <c r="T130" s="45"/>
      <c r="U130" s="45">
        <v>9310795</v>
      </c>
      <c r="V130" s="35"/>
      <c r="W130" s="45">
        <v>50655</v>
      </c>
    </row>
    <row r="131" spans="1:26" s="49" customFormat="1" ht="12.75" customHeight="1">
      <c r="A131" s="44" t="s">
        <v>156</v>
      </c>
      <c r="C131" s="44" t="s">
        <v>156</v>
      </c>
      <c r="D131" s="35"/>
      <c r="E131" s="45">
        <v>1114270</v>
      </c>
      <c r="F131" s="45"/>
      <c r="G131" s="45">
        <v>12247588</v>
      </c>
      <c r="H131" s="45"/>
      <c r="I131" s="45">
        <v>0</v>
      </c>
      <c r="J131" s="45"/>
      <c r="K131" s="45">
        <v>1654468</v>
      </c>
      <c r="L131" s="45"/>
      <c r="M131" s="45">
        <v>2684308</v>
      </c>
      <c r="N131" s="45"/>
      <c r="O131" s="45">
        <v>0</v>
      </c>
      <c r="P131" s="45"/>
      <c r="Q131" s="45">
        <f>344140+964903</f>
        <v>1309043</v>
      </c>
      <c r="R131" s="45"/>
      <c r="S131" s="44">
        <f t="shared" ref="S131:S132" si="3">U131-E131-G131-K131-M131-O131-Q131-I131</f>
        <v>476779</v>
      </c>
      <c r="T131" s="45"/>
      <c r="U131" s="45">
        <v>19486456</v>
      </c>
      <c r="V131" s="35"/>
      <c r="W131" s="45">
        <v>0</v>
      </c>
      <c r="X131" s="46"/>
      <c r="Y131" s="46"/>
      <c r="Z131" s="46"/>
    </row>
    <row r="132" spans="1:26" s="49" customFormat="1" ht="12.75" customHeight="1">
      <c r="A132" s="44" t="s">
        <v>157</v>
      </c>
      <c r="C132" s="44" t="s">
        <v>33</v>
      </c>
      <c r="D132" s="35"/>
      <c r="E132" s="45">
        <v>150548</v>
      </c>
      <c r="F132" s="45"/>
      <c r="G132" s="45">
        <v>1133295</v>
      </c>
      <c r="H132" s="45"/>
      <c r="I132" s="45">
        <v>0</v>
      </c>
      <c r="J132" s="45"/>
      <c r="K132" s="45">
        <v>14000</v>
      </c>
      <c r="L132" s="45"/>
      <c r="M132" s="45">
        <v>430460</v>
      </c>
      <c r="N132" s="45"/>
      <c r="O132" s="45">
        <v>0</v>
      </c>
      <c r="P132" s="45"/>
      <c r="Q132" s="45">
        <f>67845+24290</f>
        <v>92135</v>
      </c>
      <c r="R132" s="45"/>
      <c r="S132" s="44">
        <f t="shared" si="3"/>
        <v>64826</v>
      </c>
      <c r="T132" s="45"/>
      <c r="U132" s="45">
        <v>1885264</v>
      </c>
      <c r="V132" s="35"/>
      <c r="W132" s="45">
        <v>0</v>
      </c>
    </row>
    <row r="133" spans="1:26" s="49" customFormat="1" ht="12.75" customHeight="1">
      <c r="A133" s="44" t="s">
        <v>158</v>
      </c>
      <c r="C133" s="44" t="s">
        <v>159</v>
      </c>
      <c r="D133" s="35"/>
      <c r="E133" s="45">
        <v>1621210</v>
      </c>
      <c r="F133" s="45"/>
      <c r="G133" s="45">
        <v>8435459</v>
      </c>
      <c r="H133" s="45"/>
      <c r="I133" s="45">
        <v>120864</v>
      </c>
      <c r="J133" s="45"/>
      <c r="K133" s="45">
        <v>523435</v>
      </c>
      <c r="L133" s="45"/>
      <c r="M133" s="45">
        <v>851862</v>
      </c>
      <c r="N133" s="45"/>
      <c r="O133" s="45">
        <v>0</v>
      </c>
      <c r="P133" s="45"/>
      <c r="Q133" s="45">
        <f>352397+408485</f>
        <v>760882</v>
      </c>
      <c r="R133" s="45"/>
      <c r="S133" s="44">
        <f t="shared" ref="S133:S195" si="4">U133-E133-G133-K133-M133-O133-Q133-I133</f>
        <v>220343</v>
      </c>
      <c r="T133" s="45"/>
      <c r="U133" s="45">
        <v>12534055</v>
      </c>
      <c r="V133" s="35"/>
      <c r="W133" s="45">
        <v>33249</v>
      </c>
    </row>
    <row r="134" spans="1:26" s="46" customFormat="1" ht="12.75" customHeight="1">
      <c r="A134" s="46" t="s">
        <v>160</v>
      </c>
      <c r="C134" s="46" t="s">
        <v>111</v>
      </c>
      <c r="D134" s="64"/>
      <c r="E134" s="45">
        <v>22277154</v>
      </c>
      <c r="F134" s="45"/>
      <c r="G134" s="45">
        <v>0</v>
      </c>
      <c r="H134" s="45"/>
      <c r="I134" s="45">
        <v>0</v>
      </c>
      <c r="J134" s="45"/>
      <c r="K134" s="45">
        <v>1410691</v>
      </c>
      <c r="L134" s="45"/>
      <c r="M134" s="45">
        <v>1995880</v>
      </c>
      <c r="N134" s="45"/>
      <c r="O134" s="45">
        <v>0</v>
      </c>
      <c r="P134" s="45"/>
      <c r="Q134" s="45">
        <v>1348438</v>
      </c>
      <c r="R134" s="45"/>
      <c r="S134" s="44">
        <f t="shared" si="4"/>
        <v>1273374</v>
      </c>
      <c r="T134" s="45"/>
      <c r="U134" s="45">
        <v>28305537</v>
      </c>
      <c r="V134" s="35"/>
      <c r="W134" s="45">
        <v>1737811</v>
      </c>
    </row>
    <row r="135" spans="1:26" s="49" customFormat="1" ht="12.75" customHeight="1">
      <c r="A135" s="44" t="s">
        <v>161</v>
      </c>
      <c r="C135" s="44" t="s">
        <v>15</v>
      </c>
      <c r="D135" s="35"/>
      <c r="E135" s="45">
        <v>1402917</v>
      </c>
      <c r="F135" s="45"/>
      <c r="G135" s="45">
        <v>10748576</v>
      </c>
      <c r="H135" s="45"/>
      <c r="I135" s="45">
        <v>0</v>
      </c>
      <c r="J135" s="45"/>
      <c r="K135" s="45">
        <v>371612</v>
      </c>
      <c r="L135" s="45"/>
      <c r="M135" s="45">
        <v>2003468</v>
      </c>
      <c r="N135" s="45"/>
      <c r="O135" s="45">
        <v>0</v>
      </c>
      <c r="P135" s="45"/>
      <c r="Q135" s="45">
        <f>162273+1146347</f>
        <v>1308620</v>
      </c>
      <c r="R135" s="45"/>
      <c r="S135" s="44">
        <f t="shared" si="4"/>
        <v>285401</v>
      </c>
      <c r="T135" s="45"/>
      <c r="U135" s="45">
        <v>16120594</v>
      </c>
      <c r="V135" s="35"/>
      <c r="W135" s="45">
        <v>0</v>
      </c>
    </row>
    <row r="136" spans="1:26" s="49" customFormat="1" ht="12.75" customHeight="1">
      <c r="A136" s="44" t="s">
        <v>162</v>
      </c>
      <c r="C136" s="44" t="s">
        <v>163</v>
      </c>
      <c r="D136" s="35"/>
      <c r="E136" s="45">
        <v>1458681</v>
      </c>
      <c r="F136" s="45"/>
      <c r="G136" s="45">
        <v>0</v>
      </c>
      <c r="H136" s="45"/>
      <c r="I136" s="45">
        <v>0</v>
      </c>
      <c r="J136" s="45"/>
      <c r="K136" s="45">
        <v>960340</v>
      </c>
      <c r="L136" s="45"/>
      <c r="M136" s="45">
        <v>2753627</v>
      </c>
      <c r="N136" s="45"/>
      <c r="O136" s="45">
        <v>5396</v>
      </c>
      <c r="P136" s="45"/>
      <c r="Q136" s="45">
        <f>167796+678387</f>
        <v>846183</v>
      </c>
      <c r="R136" s="45"/>
      <c r="S136" s="44">
        <f t="shared" si="4"/>
        <v>744368</v>
      </c>
      <c r="T136" s="45"/>
      <c r="U136" s="45">
        <v>6768595</v>
      </c>
      <c r="V136" s="35"/>
      <c r="W136" s="45">
        <f>138211+12467919</f>
        <v>12606130</v>
      </c>
    </row>
    <row r="137" spans="1:26" s="49" customFormat="1" ht="12.75" customHeight="1">
      <c r="A137" s="44" t="s">
        <v>164</v>
      </c>
      <c r="C137" s="44" t="s">
        <v>27</v>
      </c>
      <c r="D137" s="35"/>
      <c r="E137" s="45">
        <v>3330927</v>
      </c>
      <c r="F137" s="45"/>
      <c r="G137" s="45">
        <v>9560642</v>
      </c>
      <c r="H137" s="45"/>
      <c r="I137" s="45">
        <v>104302</v>
      </c>
      <c r="J137" s="45"/>
      <c r="K137" s="45">
        <v>328126</v>
      </c>
      <c r="L137" s="45"/>
      <c r="M137" s="45">
        <v>1984898</v>
      </c>
      <c r="N137" s="45"/>
      <c r="O137" s="45">
        <v>0</v>
      </c>
      <c r="P137" s="45"/>
      <c r="Q137" s="45">
        <v>777246</v>
      </c>
      <c r="R137" s="45"/>
      <c r="S137" s="44">
        <f t="shared" si="4"/>
        <v>460610</v>
      </c>
      <c r="T137" s="45"/>
      <c r="U137" s="45">
        <v>16546751</v>
      </c>
      <c r="V137" s="35"/>
      <c r="W137" s="45">
        <v>5817</v>
      </c>
    </row>
    <row r="138" spans="1:26" s="49" customFormat="1" ht="12.75" customHeight="1">
      <c r="A138" s="46" t="s">
        <v>53</v>
      </c>
      <c r="B138" s="46"/>
      <c r="C138" s="46" t="s">
        <v>53</v>
      </c>
      <c r="D138" s="64"/>
      <c r="E138" s="45">
        <v>1309369</v>
      </c>
      <c r="F138" s="45"/>
      <c r="G138" s="45">
        <v>2299800</v>
      </c>
      <c r="H138" s="45"/>
      <c r="I138" s="45">
        <v>1020</v>
      </c>
      <c r="J138" s="45"/>
      <c r="K138" s="45">
        <v>459675</v>
      </c>
      <c r="L138" s="45"/>
      <c r="M138" s="45">
        <v>1353376</v>
      </c>
      <c r="N138" s="45"/>
      <c r="O138" s="45">
        <v>0</v>
      </c>
      <c r="P138" s="45"/>
      <c r="Q138" s="45">
        <f>148479+1169225</f>
        <v>1317704</v>
      </c>
      <c r="R138" s="45"/>
      <c r="S138" s="44">
        <f t="shared" si="4"/>
        <v>450406</v>
      </c>
      <c r="T138" s="45"/>
      <c r="U138" s="45">
        <v>7191350</v>
      </c>
      <c r="V138" s="35"/>
      <c r="W138" s="45">
        <v>34374</v>
      </c>
    </row>
    <row r="139" spans="1:26" s="49" customFormat="1" ht="12.75" customHeight="1">
      <c r="A139" s="44" t="s">
        <v>165</v>
      </c>
      <c r="C139" s="44" t="s">
        <v>92</v>
      </c>
      <c r="D139" s="35"/>
      <c r="E139" s="45">
        <v>1784878</v>
      </c>
      <c r="F139" s="45"/>
      <c r="G139" s="45">
        <v>29691413</v>
      </c>
      <c r="H139" s="45"/>
      <c r="I139" s="45">
        <v>0</v>
      </c>
      <c r="J139" s="45"/>
      <c r="K139" s="45">
        <v>5242236</v>
      </c>
      <c r="L139" s="45"/>
      <c r="M139" s="45">
        <v>4755627</v>
      </c>
      <c r="N139" s="45"/>
      <c r="O139" s="45">
        <v>0</v>
      </c>
      <c r="P139" s="45"/>
      <c r="Q139" s="45">
        <f>1121239+1377095</f>
        <v>2498334</v>
      </c>
      <c r="R139" s="45"/>
      <c r="S139" s="44">
        <f t="shared" si="4"/>
        <v>1091211</v>
      </c>
      <c r="T139" s="45"/>
      <c r="U139" s="45">
        <v>45063699</v>
      </c>
      <c r="V139" s="35"/>
      <c r="W139" s="45">
        <v>0</v>
      </c>
    </row>
    <row r="140" spans="1:26" s="49" customFormat="1" ht="12.75" customHeight="1">
      <c r="A140" s="44" t="s">
        <v>166</v>
      </c>
      <c r="C140" s="44" t="s">
        <v>92</v>
      </c>
      <c r="D140" s="35"/>
      <c r="E140" s="45">
        <v>367341</v>
      </c>
      <c r="F140" s="45"/>
      <c r="G140" s="45">
        <v>820768</v>
      </c>
      <c r="H140" s="45"/>
      <c r="I140" s="45">
        <v>0</v>
      </c>
      <c r="J140" s="45"/>
      <c r="K140" s="45">
        <v>544216</v>
      </c>
      <c r="L140" s="45"/>
      <c r="M140" s="45">
        <v>587251</v>
      </c>
      <c r="N140" s="45"/>
      <c r="O140" s="45">
        <v>0</v>
      </c>
      <c r="P140" s="45"/>
      <c r="Q140" s="45">
        <f>7012+27925</f>
        <v>34937</v>
      </c>
      <c r="R140" s="45"/>
      <c r="S140" s="44">
        <f t="shared" si="4"/>
        <v>11081</v>
      </c>
      <c r="T140" s="45"/>
      <c r="U140" s="45">
        <v>2365594</v>
      </c>
      <c r="V140" s="35"/>
      <c r="W140" s="45">
        <v>5106</v>
      </c>
    </row>
    <row r="141" spans="1:26" s="49" customFormat="1" ht="12.75" customHeight="1">
      <c r="A141" s="44" t="s">
        <v>167</v>
      </c>
      <c r="C141" s="44" t="s">
        <v>66</v>
      </c>
      <c r="D141" s="35"/>
      <c r="E141" s="45">
        <v>1488455</v>
      </c>
      <c r="F141" s="45"/>
      <c r="G141" s="45">
        <v>7321061</v>
      </c>
      <c r="H141" s="45"/>
      <c r="I141" s="45">
        <v>0</v>
      </c>
      <c r="J141" s="45"/>
      <c r="K141" s="45">
        <v>2614559</v>
      </c>
      <c r="L141" s="45"/>
      <c r="M141" s="45">
        <v>1575379</v>
      </c>
      <c r="N141" s="45"/>
      <c r="O141" s="45">
        <v>0</v>
      </c>
      <c r="P141" s="45"/>
      <c r="Q141" s="45">
        <v>945372</v>
      </c>
      <c r="R141" s="45"/>
      <c r="S141" s="44">
        <f t="shared" si="4"/>
        <v>805342</v>
      </c>
      <c r="T141" s="45"/>
      <c r="U141" s="45">
        <v>14750168</v>
      </c>
      <c r="V141" s="35"/>
      <c r="W141" s="45">
        <v>0</v>
      </c>
    </row>
    <row r="142" spans="1:26" s="49" customFormat="1" ht="12.75" customHeight="1">
      <c r="A142" s="44" t="s">
        <v>168</v>
      </c>
      <c r="C142" s="44" t="s">
        <v>27</v>
      </c>
      <c r="D142" s="35"/>
      <c r="E142" s="45">
        <v>1493914</v>
      </c>
      <c r="F142" s="45"/>
      <c r="G142" s="45">
        <v>11138155</v>
      </c>
      <c r="H142" s="45"/>
      <c r="I142" s="45">
        <v>494692</v>
      </c>
      <c r="J142" s="45"/>
      <c r="K142" s="45">
        <v>207867</v>
      </c>
      <c r="L142" s="45"/>
      <c r="M142" s="45">
        <v>3394444</v>
      </c>
      <c r="N142" s="45"/>
      <c r="O142" s="45">
        <v>0</v>
      </c>
      <c r="P142" s="45"/>
      <c r="Q142" s="45">
        <v>956127</v>
      </c>
      <c r="R142" s="45"/>
      <c r="S142" s="44">
        <f t="shared" si="4"/>
        <v>354474</v>
      </c>
      <c r="T142" s="45"/>
      <c r="U142" s="45">
        <v>18039673</v>
      </c>
      <c r="V142" s="35"/>
      <c r="W142" s="45">
        <v>0</v>
      </c>
    </row>
    <row r="143" spans="1:26" s="49" customFormat="1" ht="12.75" customHeight="1">
      <c r="A143" s="44" t="s">
        <v>169</v>
      </c>
      <c r="C143" s="44" t="s">
        <v>103</v>
      </c>
      <c r="D143" s="35"/>
      <c r="E143" s="45">
        <v>3370033</v>
      </c>
      <c r="F143" s="45"/>
      <c r="G143" s="45">
        <v>13788147</v>
      </c>
      <c r="H143" s="45"/>
      <c r="I143" s="45">
        <v>0</v>
      </c>
      <c r="J143" s="45"/>
      <c r="K143" s="45">
        <v>4283194</v>
      </c>
      <c r="L143" s="45"/>
      <c r="M143" s="45">
        <v>4131767</v>
      </c>
      <c r="N143" s="45"/>
      <c r="O143" s="45">
        <v>0</v>
      </c>
      <c r="P143" s="45"/>
      <c r="Q143" s="45">
        <f>186910+86068</f>
        <v>272978</v>
      </c>
      <c r="R143" s="45"/>
      <c r="S143" s="44">
        <f t="shared" si="4"/>
        <v>405308</v>
      </c>
      <c r="T143" s="45"/>
      <c r="U143" s="45">
        <v>26251427</v>
      </c>
      <c r="V143" s="35"/>
      <c r="W143" s="45">
        <v>0</v>
      </c>
    </row>
    <row r="144" spans="1:26" s="49" customFormat="1" ht="12.75" customHeight="1">
      <c r="A144" s="44" t="s">
        <v>170</v>
      </c>
      <c r="C144" s="44" t="s">
        <v>171</v>
      </c>
      <c r="D144" s="35"/>
      <c r="E144" s="45">
        <v>660630</v>
      </c>
      <c r="F144" s="45"/>
      <c r="G144" s="45">
        <v>2157579</v>
      </c>
      <c r="H144" s="45"/>
      <c r="I144" s="45">
        <v>0</v>
      </c>
      <c r="J144" s="45"/>
      <c r="K144" s="45">
        <v>130102</v>
      </c>
      <c r="L144" s="45"/>
      <c r="M144" s="45">
        <v>750125</v>
      </c>
      <c r="N144" s="45"/>
      <c r="O144" s="45">
        <v>0</v>
      </c>
      <c r="P144" s="45"/>
      <c r="Q144" s="45">
        <f>28865+148985</f>
        <v>177850</v>
      </c>
      <c r="R144" s="45"/>
      <c r="S144" s="44">
        <f t="shared" si="4"/>
        <v>112107</v>
      </c>
      <c r="T144" s="45"/>
      <c r="U144" s="45">
        <v>3988393</v>
      </c>
      <c r="V144" s="35"/>
      <c r="W144" s="45">
        <v>0</v>
      </c>
    </row>
    <row r="145" spans="1:23" s="49" customFormat="1" ht="12.75" customHeight="1">
      <c r="A145" s="44" t="s">
        <v>172</v>
      </c>
      <c r="C145" s="44" t="s">
        <v>103</v>
      </c>
      <c r="D145" s="35"/>
      <c r="E145" s="45">
        <v>710995</v>
      </c>
      <c r="F145" s="45"/>
      <c r="G145" s="45">
        <v>5784713</v>
      </c>
      <c r="H145" s="45"/>
      <c r="I145" s="45">
        <v>0</v>
      </c>
      <c r="J145" s="45"/>
      <c r="K145" s="45">
        <v>218924</v>
      </c>
      <c r="L145" s="45"/>
      <c r="M145" s="45">
        <v>552243</v>
      </c>
      <c r="N145" s="45"/>
      <c r="O145" s="45">
        <v>0</v>
      </c>
      <c r="P145" s="45"/>
      <c r="Q145" s="45">
        <v>182545</v>
      </c>
      <c r="R145" s="45"/>
      <c r="S145" s="44">
        <f t="shared" si="4"/>
        <v>823224</v>
      </c>
      <c r="T145" s="45"/>
      <c r="U145" s="45">
        <v>8272644</v>
      </c>
      <c r="V145" s="35"/>
      <c r="W145" s="45">
        <v>0</v>
      </c>
    </row>
    <row r="146" spans="1:23" s="49" customFormat="1" ht="12.75" customHeight="1">
      <c r="A146" s="46" t="s">
        <v>66</v>
      </c>
      <c r="B146" s="46"/>
      <c r="C146" s="46" t="s">
        <v>45</v>
      </c>
      <c r="D146" s="64"/>
      <c r="E146" s="45">
        <v>8896706</v>
      </c>
      <c r="F146" s="45"/>
      <c r="G146" s="45">
        <v>0</v>
      </c>
      <c r="H146" s="45"/>
      <c r="I146" s="45">
        <v>0</v>
      </c>
      <c r="J146" s="45"/>
      <c r="K146" s="45">
        <v>190262</v>
      </c>
      <c r="L146" s="45"/>
      <c r="M146" s="45">
        <v>339275</v>
      </c>
      <c r="N146" s="45"/>
      <c r="O146" s="45">
        <v>0</v>
      </c>
      <c r="P146" s="45"/>
      <c r="Q146" s="45">
        <f>255443+154790</f>
        <v>410233</v>
      </c>
      <c r="R146" s="45"/>
      <c r="S146" s="44">
        <f t="shared" si="4"/>
        <v>247714</v>
      </c>
      <c r="T146" s="45"/>
      <c r="U146" s="45">
        <v>10084190</v>
      </c>
      <c r="V146" s="35"/>
      <c r="W146" s="45">
        <f>4712+149286</f>
        <v>153998</v>
      </c>
    </row>
    <row r="147" spans="1:23" s="49" customFormat="1" ht="12.75" customHeight="1">
      <c r="A147" s="44" t="s">
        <v>173</v>
      </c>
      <c r="C147" s="44" t="s">
        <v>66</v>
      </c>
      <c r="D147" s="35"/>
      <c r="E147" s="45">
        <v>358931</v>
      </c>
      <c r="F147" s="45"/>
      <c r="G147" s="45">
        <v>10430048</v>
      </c>
      <c r="H147" s="45"/>
      <c r="I147" s="45">
        <v>10876</v>
      </c>
      <c r="J147" s="45"/>
      <c r="K147" s="45">
        <v>219362</v>
      </c>
      <c r="L147" s="45"/>
      <c r="M147" s="45">
        <v>235406</v>
      </c>
      <c r="N147" s="45"/>
      <c r="O147" s="45">
        <v>0</v>
      </c>
      <c r="P147" s="45"/>
      <c r="Q147" s="45">
        <f>231181+244691</f>
        <v>475872</v>
      </c>
      <c r="R147" s="45"/>
      <c r="S147" s="44">
        <f t="shared" si="4"/>
        <v>3071604</v>
      </c>
      <c r="T147" s="45"/>
      <c r="U147" s="45">
        <v>14802099</v>
      </c>
      <c r="V147" s="35"/>
      <c r="W147" s="45">
        <f>62987+16103</f>
        <v>79090</v>
      </c>
    </row>
    <row r="148" spans="1:23" s="49" customFormat="1" ht="12.75" customHeight="1">
      <c r="A148" s="44" t="s">
        <v>174</v>
      </c>
      <c r="C148" s="44" t="s">
        <v>45</v>
      </c>
      <c r="D148" s="35"/>
      <c r="E148" s="45">
        <v>370939</v>
      </c>
      <c r="F148" s="45"/>
      <c r="G148" s="45">
        <v>1385972</v>
      </c>
      <c r="H148" s="45"/>
      <c r="I148" s="45">
        <v>61621</v>
      </c>
      <c r="J148" s="45"/>
      <c r="K148" s="45">
        <v>551007</v>
      </c>
      <c r="L148" s="45"/>
      <c r="M148" s="45">
        <v>203706</v>
      </c>
      <c r="N148" s="45"/>
      <c r="O148" s="45">
        <v>0</v>
      </c>
      <c r="P148" s="45"/>
      <c r="Q148" s="45">
        <v>372558</v>
      </c>
      <c r="R148" s="45"/>
      <c r="S148" s="44">
        <f t="shared" si="4"/>
        <v>142916</v>
      </c>
      <c r="T148" s="45"/>
      <c r="U148" s="45">
        <v>3088719</v>
      </c>
      <c r="V148" s="35"/>
      <c r="W148" s="45">
        <v>7502</v>
      </c>
    </row>
    <row r="149" spans="1:23" s="49" customFormat="1" ht="12.75" customHeight="1">
      <c r="A149" s="44" t="s">
        <v>175</v>
      </c>
      <c r="C149" s="44" t="s">
        <v>176</v>
      </c>
      <c r="D149" s="35"/>
      <c r="E149" s="45">
        <v>8872511</v>
      </c>
      <c r="F149" s="45"/>
      <c r="G149" s="45">
        <v>0</v>
      </c>
      <c r="H149" s="45"/>
      <c r="I149" s="45">
        <v>0</v>
      </c>
      <c r="J149" s="45"/>
      <c r="K149" s="45">
        <v>1447325</v>
      </c>
      <c r="L149" s="45"/>
      <c r="M149" s="45">
        <v>1163307</v>
      </c>
      <c r="N149" s="45"/>
      <c r="O149" s="45">
        <v>0</v>
      </c>
      <c r="P149" s="45"/>
      <c r="Q149" s="45">
        <f>11671+630213</f>
        <v>641884</v>
      </c>
      <c r="R149" s="45"/>
      <c r="S149" s="44">
        <f t="shared" si="4"/>
        <v>277993</v>
      </c>
      <c r="T149" s="45"/>
      <c r="U149" s="45">
        <v>12403020</v>
      </c>
      <c r="V149" s="35"/>
      <c r="W149" s="45">
        <v>13475</v>
      </c>
    </row>
    <row r="150" spans="1:23" s="49" customFormat="1" ht="12.75" customHeight="1">
      <c r="A150" s="46" t="s">
        <v>177</v>
      </c>
      <c r="B150" s="46"/>
      <c r="C150" s="46" t="s">
        <v>13</v>
      </c>
      <c r="D150" s="64"/>
      <c r="E150" s="45">
        <v>256130</v>
      </c>
      <c r="F150" s="45"/>
      <c r="G150" s="45">
        <v>919356</v>
      </c>
      <c r="H150" s="45"/>
      <c r="I150" s="45">
        <v>0</v>
      </c>
      <c r="J150" s="45"/>
      <c r="K150" s="45">
        <v>14654</v>
      </c>
      <c r="L150" s="45"/>
      <c r="M150" s="45">
        <v>353822</v>
      </c>
      <c r="N150" s="45"/>
      <c r="O150" s="45">
        <v>0</v>
      </c>
      <c r="P150" s="45"/>
      <c r="Q150" s="45">
        <v>125805</v>
      </c>
      <c r="R150" s="45"/>
      <c r="S150" s="44">
        <f t="shared" si="4"/>
        <v>199004</v>
      </c>
      <c r="T150" s="45"/>
      <c r="U150" s="45">
        <v>1868771</v>
      </c>
      <c r="V150" s="35"/>
      <c r="W150" s="45">
        <v>0</v>
      </c>
    </row>
    <row r="151" spans="1:23" s="49" customFormat="1" ht="12.75" customHeight="1">
      <c r="A151" s="44" t="s">
        <v>178</v>
      </c>
      <c r="C151" s="44" t="s">
        <v>179</v>
      </c>
      <c r="D151" s="35"/>
      <c r="E151" s="45">
        <v>263815</v>
      </c>
      <c r="F151" s="45"/>
      <c r="G151" s="45">
        <v>2345100</v>
      </c>
      <c r="H151" s="45"/>
      <c r="I151" s="45">
        <v>493053</v>
      </c>
      <c r="J151" s="45"/>
      <c r="K151" s="45">
        <v>279876</v>
      </c>
      <c r="L151" s="45"/>
      <c r="M151" s="45">
        <v>674966</v>
      </c>
      <c r="N151" s="45"/>
      <c r="O151" s="45">
        <v>0</v>
      </c>
      <c r="P151" s="45"/>
      <c r="Q151" s="45">
        <f>63825+300372</f>
        <v>364197</v>
      </c>
      <c r="R151" s="45"/>
      <c r="S151" s="44">
        <f t="shared" si="4"/>
        <v>448958</v>
      </c>
      <c r="T151" s="45"/>
      <c r="U151" s="45">
        <v>4869965</v>
      </c>
      <c r="V151" s="35"/>
      <c r="W151" s="45">
        <f>10941+38432</f>
        <v>49373</v>
      </c>
    </row>
    <row r="152" spans="1:23" s="46" customFormat="1" ht="12.75" customHeight="1">
      <c r="A152" s="44" t="s">
        <v>180</v>
      </c>
      <c r="B152" s="49"/>
      <c r="C152" s="44" t="s">
        <v>20</v>
      </c>
      <c r="D152" s="35"/>
      <c r="E152" s="45">
        <v>174267</v>
      </c>
      <c r="F152" s="45"/>
      <c r="G152" s="45">
        <v>1128570</v>
      </c>
      <c r="H152" s="45"/>
      <c r="I152" s="45">
        <v>0</v>
      </c>
      <c r="J152" s="45"/>
      <c r="K152" s="45">
        <v>3863</v>
      </c>
      <c r="L152" s="45"/>
      <c r="M152" s="45">
        <v>258858</v>
      </c>
      <c r="N152" s="45"/>
      <c r="O152" s="45">
        <v>0</v>
      </c>
      <c r="P152" s="45"/>
      <c r="Q152" s="45">
        <v>69425</v>
      </c>
      <c r="R152" s="45"/>
      <c r="S152" s="44">
        <f t="shared" si="4"/>
        <v>230400</v>
      </c>
      <c r="T152" s="45"/>
      <c r="U152" s="45">
        <v>1865383</v>
      </c>
      <c r="V152" s="35"/>
      <c r="W152" s="45">
        <v>0</v>
      </c>
    </row>
    <row r="153" spans="1:23" s="49" customFormat="1" ht="12.75" customHeight="1">
      <c r="A153" s="44" t="s">
        <v>182</v>
      </c>
      <c r="C153" s="44" t="s">
        <v>183</v>
      </c>
      <c r="D153" s="35"/>
      <c r="E153" s="45">
        <v>224561</v>
      </c>
      <c r="F153" s="45"/>
      <c r="G153" s="45">
        <v>847473</v>
      </c>
      <c r="H153" s="45"/>
      <c r="I153" s="45">
        <v>96843</v>
      </c>
      <c r="J153" s="45"/>
      <c r="K153" s="45">
        <v>15433</v>
      </c>
      <c r="L153" s="45"/>
      <c r="M153" s="45">
        <v>106599</v>
      </c>
      <c r="N153" s="45"/>
      <c r="O153" s="45">
        <v>0</v>
      </c>
      <c r="P153" s="45"/>
      <c r="Q153" s="45">
        <f>4290+11935</f>
        <v>16225</v>
      </c>
      <c r="R153" s="45"/>
      <c r="S153" s="44">
        <f t="shared" si="4"/>
        <v>26912</v>
      </c>
      <c r="T153" s="45"/>
      <c r="U153" s="45">
        <v>1334046</v>
      </c>
      <c r="V153" s="35"/>
      <c r="W153" s="45">
        <f>120000+525000</f>
        <v>645000</v>
      </c>
    </row>
    <row r="154" spans="1:23" s="49" customFormat="1" ht="12.75" customHeight="1">
      <c r="A154" s="44" t="s">
        <v>487</v>
      </c>
      <c r="C154" s="44" t="s">
        <v>13</v>
      </c>
      <c r="D154" s="35"/>
      <c r="E154" s="45">
        <v>928179</v>
      </c>
      <c r="F154" s="45"/>
      <c r="G154" s="45">
        <v>0</v>
      </c>
      <c r="H154" s="45"/>
      <c r="I154" s="45">
        <v>0</v>
      </c>
      <c r="J154" s="45"/>
      <c r="K154" s="45">
        <v>285253</v>
      </c>
      <c r="L154" s="45"/>
      <c r="M154" s="45">
        <v>1142586</v>
      </c>
      <c r="N154" s="45"/>
      <c r="O154" s="45">
        <v>5482</v>
      </c>
      <c r="P154" s="45"/>
      <c r="Q154" s="45">
        <f>131375+1094</f>
        <v>132469</v>
      </c>
      <c r="R154" s="45"/>
      <c r="S154" s="44">
        <f t="shared" si="4"/>
        <v>5283</v>
      </c>
      <c r="T154" s="45"/>
      <c r="U154" s="45">
        <v>2499252</v>
      </c>
      <c r="V154" s="35"/>
      <c r="W154" s="45">
        <v>0</v>
      </c>
    </row>
    <row r="155" spans="1:23" s="49" customFormat="1" ht="12.75" customHeight="1">
      <c r="A155" s="44" t="s">
        <v>184</v>
      </c>
      <c r="C155" s="44" t="s">
        <v>89</v>
      </c>
      <c r="D155" s="35"/>
      <c r="E155" s="45">
        <v>960122</v>
      </c>
      <c r="F155" s="45"/>
      <c r="G155" s="45">
        <v>2118454</v>
      </c>
      <c r="H155" s="45"/>
      <c r="I155" s="45">
        <v>0</v>
      </c>
      <c r="J155" s="45"/>
      <c r="K155" s="45">
        <v>36790</v>
      </c>
      <c r="L155" s="45"/>
      <c r="M155" s="45">
        <v>1710810</v>
      </c>
      <c r="N155" s="45"/>
      <c r="O155" s="45">
        <v>4187</v>
      </c>
      <c r="P155" s="45"/>
      <c r="Q155" s="45">
        <f>6473+328123</f>
        <v>334596</v>
      </c>
      <c r="R155" s="45"/>
      <c r="S155" s="44">
        <f t="shared" si="4"/>
        <v>176249</v>
      </c>
      <c r="T155" s="45"/>
      <c r="U155" s="45">
        <v>5341208</v>
      </c>
      <c r="V155" s="35"/>
      <c r="W155" s="45">
        <v>10300</v>
      </c>
    </row>
    <row r="156" spans="1:23" s="49" customFormat="1" ht="12.75" customHeight="1">
      <c r="A156" s="46" t="s">
        <v>181</v>
      </c>
      <c r="B156" s="46"/>
      <c r="C156" s="46" t="s">
        <v>125</v>
      </c>
      <c r="D156" s="64"/>
      <c r="E156" s="45">
        <v>2445743</v>
      </c>
      <c r="F156" s="45"/>
      <c r="G156" s="45">
        <v>0</v>
      </c>
      <c r="H156" s="45"/>
      <c r="I156" s="45">
        <v>0</v>
      </c>
      <c r="J156" s="45"/>
      <c r="K156" s="45">
        <v>2255311</v>
      </c>
      <c r="L156" s="45"/>
      <c r="M156" s="45">
        <v>4080746</v>
      </c>
      <c r="N156" s="45"/>
      <c r="O156" s="45">
        <v>27533</v>
      </c>
      <c r="P156" s="45"/>
      <c r="Q156" s="45">
        <f>739218+1709811</f>
        <v>2449029</v>
      </c>
      <c r="R156" s="45"/>
      <c r="S156" s="44">
        <f t="shared" si="4"/>
        <v>572579</v>
      </c>
      <c r="T156" s="45"/>
      <c r="U156" s="45">
        <v>11830941</v>
      </c>
      <c r="V156" s="35"/>
      <c r="W156" s="45">
        <v>17278424</v>
      </c>
    </row>
    <row r="157" spans="1:23" s="49" customFormat="1" ht="12.75" customHeight="1">
      <c r="A157" s="44" t="s">
        <v>185</v>
      </c>
      <c r="C157" s="44" t="s">
        <v>80</v>
      </c>
      <c r="D157" s="35"/>
      <c r="E157" s="45">
        <v>1561916</v>
      </c>
      <c r="F157" s="45"/>
      <c r="G157" s="45">
        <v>3752754</v>
      </c>
      <c r="H157" s="45"/>
      <c r="I157" s="45">
        <v>0</v>
      </c>
      <c r="J157" s="45"/>
      <c r="K157" s="45">
        <v>1179018</v>
      </c>
      <c r="L157" s="45"/>
      <c r="M157" s="45">
        <v>658671</v>
      </c>
      <c r="N157" s="45"/>
      <c r="O157" s="45">
        <v>28740</v>
      </c>
      <c r="P157" s="45"/>
      <c r="Q157" s="45">
        <f>406995+316282</f>
        <v>723277</v>
      </c>
      <c r="R157" s="45"/>
      <c r="S157" s="44">
        <f t="shared" si="4"/>
        <v>260283</v>
      </c>
      <c r="T157" s="45"/>
      <c r="U157" s="45">
        <v>8164659</v>
      </c>
      <c r="V157" s="35"/>
      <c r="W157" s="45">
        <v>0</v>
      </c>
    </row>
    <row r="158" spans="1:23" s="49" customFormat="1" ht="12.75" customHeight="1">
      <c r="A158" s="44" t="s">
        <v>186</v>
      </c>
      <c r="C158" s="44" t="s">
        <v>15</v>
      </c>
      <c r="D158" s="35"/>
      <c r="E158" s="45">
        <v>799425</v>
      </c>
      <c r="F158" s="45"/>
      <c r="G158" s="45">
        <v>4344835</v>
      </c>
      <c r="H158" s="45"/>
      <c r="I158" s="45">
        <v>0</v>
      </c>
      <c r="J158" s="45"/>
      <c r="K158" s="45">
        <v>237330</v>
      </c>
      <c r="L158" s="45"/>
      <c r="M158" s="45">
        <v>1599277</v>
      </c>
      <c r="N158" s="45"/>
      <c r="O158" s="45">
        <v>0</v>
      </c>
      <c r="P158" s="45"/>
      <c r="Q158" s="45">
        <f>193024+82079</f>
        <v>275103</v>
      </c>
      <c r="R158" s="45"/>
      <c r="S158" s="44">
        <f t="shared" si="4"/>
        <v>331243</v>
      </c>
      <c r="T158" s="45"/>
      <c r="U158" s="45">
        <v>7587213</v>
      </c>
      <c r="V158" s="35"/>
      <c r="W158" s="45">
        <v>0</v>
      </c>
    </row>
    <row r="159" spans="1:23" s="44" customFormat="1" ht="12.75" customHeight="1">
      <c r="A159" s="44" t="s">
        <v>187</v>
      </c>
      <c r="C159" s="44" t="s">
        <v>27</v>
      </c>
      <c r="D159" s="35"/>
      <c r="E159" s="45">
        <v>5068053</v>
      </c>
      <c r="F159" s="45"/>
      <c r="G159" s="45">
        <v>8570167</v>
      </c>
      <c r="H159" s="45"/>
      <c r="I159" s="45">
        <v>0</v>
      </c>
      <c r="J159" s="45"/>
      <c r="K159" s="45">
        <v>1141130</v>
      </c>
      <c r="L159" s="45"/>
      <c r="M159" s="45">
        <v>2692663</v>
      </c>
      <c r="N159" s="45"/>
      <c r="O159" s="45">
        <v>0</v>
      </c>
      <c r="P159" s="45"/>
      <c r="Q159" s="45">
        <v>1008746</v>
      </c>
      <c r="R159" s="45"/>
      <c r="S159" s="44">
        <f t="shared" si="4"/>
        <v>64531</v>
      </c>
      <c r="T159" s="45"/>
      <c r="U159" s="45">
        <v>18545290</v>
      </c>
      <c r="V159" s="35"/>
      <c r="W159" s="45">
        <v>9450</v>
      </c>
    </row>
    <row r="160" spans="1:23" s="49" customFormat="1" ht="12.75" customHeight="1">
      <c r="A160" s="44" t="s">
        <v>189</v>
      </c>
      <c r="C160" s="44" t="s">
        <v>17</v>
      </c>
      <c r="D160" s="35"/>
      <c r="E160" s="45">
        <v>1073950</v>
      </c>
      <c r="F160" s="45"/>
      <c r="G160" s="45">
        <v>0</v>
      </c>
      <c r="H160" s="45"/>
      <c r="I160" s="45">
        <v>0</v>
      </c>
      <c r="J160" s="45"/>
      <c r="K160" s="45">
        <v>0</v>
      </c>
      <c r="L160" s="45"/>
      <c r="M160" s="45">
        <v>1287098</v>
      </c>
      <c r="N160" s="45"/>
      <c r="O160" s="45">
        <v>0</v>
      </c>
      <c r="P160" s="45"/>
      <c r="Q160" s="45">
        <v>1010797</v>
      </c>
      <c r="R160" s="45"/>
      <c r="S160" s="44">
        <f t="shared" si="4"/>
        <v>580427</v>
      </c>
      <c r="T160" s="45"/>
      <c r="U160" s="45">
        <v>3952272</v>
      </c>
      <c r="V160" s="35"/>
      <c r="W160" s="45">
        <v>7480000</v>
      </c>
    </row>
    <row r="161" spans="1:24" s="49" customFormat="1" ht="12.75" customHeight="1">
      <c r="A161" s="44" t="s">
        <v>188</v>
      </c>
      <c r="C161" s="44" t="s">
        <v>27</v>
      </c>
      <c r="D161" s="35"/>
      <c r="E161" s="45">
        <v>905502</v>
      </c>
      <c r="F161" s="45"/>
      <c r="G161" s="45">
        <v>8742758</v>
      </c>
      <c r="H161" s="45"/>
      <c r="I161" s="45">
        <v>3180</v>
      </c>
      <c r="J161" s="45"/>
      <c r="K161" s="45">
        <v>153859</v>
      </c>
      <c r="L161" s="45"/>
      <c r="M161" s="45">
        <v>1357817</v>
      </c>
      <c r="N161" s="45"/>
      <c r="O161" s="45">
        <v>0</v>
      </c>
      <c r="P161" s="45"/>
      <c r="Q161" s="45">
        <f>210383+327309</f>
        <v>537692</v>
      </c>
      <c r="R161" s="45"/>
      <c r="S161" s="44">
        <f t="shared" si="4"/>
        <v>157785</v>
      </c>
      <c r="T161" s="45"/>
      <c r="U161" s="45">
        <v>11858593</v>
      </c>
      <c r="V161" s="35"/>
      <c r="W161" s="45">
        <v>6781</v>
      </c>
    </row>
    <row r="162" spans="1:24" s="49" customFormat="1" ht="12.75" customHeight="1">
      <c r="A162" s="44" t="s">
        <v>190</v>
      </c>
      <c r="C162" s="44" t="s">
        <v>47</v>
      </c>
      <c r="D162" s="35"/>
      <c r="E162" s="45">
        <v>275638</v>
      </c>
      <c r="F162" s="45"/>
      <c r="G162" s="45">
        <v>2583305</v>
      </c>
      <c r="H162" s="45"/>
      <c r="I162" s="45">
        <v>29592</v>
      </c>
      <c r="J162" s="45"/>
      <c r="K162" s="45">
        <v>103540</v>
      </c>
      <c r="L162" s="45"/>
      <c r="M162" s="45">
        <v>722620</v>
      </c>
      <c r="N162" s="45"/>
      <c r="O162" s="45">
        <v>54442</v>
      </c>
      <c r="P162" s="45"/>
      <c r="Q162" s="45">
        <f>125290+172299</f>
        <v>297589</v>
      </c>
      <c r="R162" s="45"/>
      <c r="S162" s="44">
        <f t="shared" si="4"/>
        <v>98625</v>
      </c>
      <c r="T162" s="45"/>
      <c r="U162" s="45">
        <v>4165351</v>
      </c>
      <c r="V162" s="35"/>
      <c r="W162" s="45">
        <v>0</v>
      </c>
    </row>
    <row r="163" spans="1:24" s="49" customFormat="1" ht="12.75" customHeight="1">
      <c r="A163" s="44" t="s">
        <v>191</v>
      </c>
      <c r="C163" s="44" t="s">
        <v>13</v>
      </c>
      <c r="D163" s="35"/>
      <c r="E163" s="45">
        <v>368879</v>
      </c>
      <c r="F163" s="45"/>
      <c r="G163" s="45">
        <v>3686334</v>
      </c>
      <c r="H163" s="45"/>
      <c r="I163" s="45">
        <v>0</v>
      </c>
      <c r="J163" s="45"/>
      <c r="K163" s="45">
        <v>38535</v>
      </c>
      <c r="L163" s="45"/>
      <c r="M163" s="45">
        <v>773493</v>
      </c>
      <c r="N163" s="45"/>
      <c r="O163" s="45">
        <v>0</v>
      </c>
      <c r="P163" s="45"/>
      <c r="Q163" s="45">
        <f>74823+96702</f>
        <v>171525</v>
      </c>
      <c r="R163" s="45"/>
      <c r="S163" s="44">
        <f t="shared" si="4"/>
        <v>197593</v>
      </c>
      <c r="T163" s="45"/>
      <c r="U163" s="45">
        <v>5236359</v>
      </c>
      <c r="V163" s="35"/>
      <c r="W163" s="45">
        <v>0</v>
      </c>
    </row>
    <row r="164" spans="1:24" s="49" customFormat="1" ht="12.75" customHeight="1">
      <c r="A164" s="44" t="s">
        <v>192</v>
      </c>
      <c r="C164" s="44" t="s">
        <v>38</v>
      </c>
      <c r="D164" s="35"/>
      <c r="E164" s="45">
        <v>950123</v>
      </c>
      <c r="F164" s="45"/>
      <c r="G164" s="45">
        <v>3873181</v>
      </c>
      <c r="H164" s="45"/>
      <c r="I164" s="45">
        <v>0</v>
      </c>
      <c r="J164" s="45"/>
      <c r="K164" s="45">
        <v>90483</v>
      </c>
      <c r="L164" s="45"/>
      <c r="M164" s="45">
        <v>913271</v>
      </c>
      <c r="N164" s="45"/>
      <c r="O164" s="45">
        <v>5150</v>
      </c>
      <c r="P164" s="45"/>
      <c r="Q164" s="45">
        <f>12790+806087</f>
        <v>818877</v>
      </c>
      <c r="R164" s="45"/>
      <c r="S164" s="44">
        <f t="shared" si="4"/>
        <v>280182</v>
      </c>
      <c r="T164" s="45"/>
      <c r="U164" s="45">
        <v>6931267</v>
      </c>
      <c r="V164" s="35"/>
      <c r="W164" s="45">
        <v>0</v>
      </c>
    </row>
    <row r="165" spans="1:24" s="46" customFormat="1" ht="12.75" customHeight="1">
      <c r="A165" s="44" t="s">
        <v>193</v>
      </c>
      <c r="B165" s="49"/>
      <c r="C165" s="44" t="s">
        <v>45</v>
      </c>
      <c r="D165" s="35"/>
      <c r="E165" s="45">
        <v>2711543</v>
      </c>
      <c r="F165" s="45"/>
      <c r="G165" s="45">
        <v>16754724</v>
      </c>
      <c r="H165" s="45"/>
      <c r="I165" s="45">
        <v>9522</v>
      </c>
      <c r="J165" s="45"/>
      <c r="K165" s="45">
        <v>561396</v>
      </c>
      <c r="L165" s="45"/>
      <c r="M165" s="45">
        <v>1426215</v>
      </c>
      <c r="N165" s="45"/>
      <c r="O165" s="45">
        <v>0</v>
      </c>
      <c r="P165" s="45"/>
      <c r="Q165" s="45">
        <f>269859+280102</f>
        <v>549961</v>
      </c>
      <c r="R165" s="45"/>
      <c r="S165" s="44">
        <f t="shared" si="4"/>
        <v>74648</v>
      </c>
      <c r="T165" s="45"/>
      <c r="U165" s="45">
        <v>22088009</v>
      </c>
      <c r="V165" s="35"/>
      <c r="W165" s="45">
        <v>62971</v>
      </c>
      <c r="X165" s="65"/>
    </row>
    <row r="166" spans="1:24" s="49" customFormat="1" ht="12.75" customHeight="1">
      <c r="A166" s="44" t="s">
        <v>194</v>
      </c>
      <c r="C166" s="44" t="s">
        <v>66</v>
      </c>
      <c r="D166" s="35"/>
      <c r="E166" s="45">
        <v>1334441</v>
      </c>
      <c r="F166" s="45"/>
      <c r="G166" s="45">
        <v>5674213</v>
      </c>
      <c r="H166" s="45"/>
      <c r="I166" s="45">
        <v>0</v>
      </c>
      <c r="J166" s="45"/>
      <c r="K166" s="45">
        <v>272087</v>
      </c>
      <c r="L166" s="45"/>
      <c r="M166" s="45">
        <v>3887420</v>
      </c>
      <c r="N166" s="45"/>
      <c r="O166" s="45">
        <v>0</v>
      </c>
      <c r="P166" s="45"/>
      <c r="Q166" s="45">
        <v>135002</v>
      </c>
      <c r="R166" s="45"/>
      <c r="S166" s="44">
        <f t="shared" si="4"/>
        <v>556764</v>
      </c>
      <c r="T166" s="45"/>
      <c r="U166" s="45">
        <v>11859927</v>
      </c>
      <c r="V166" s="35"/>
      <c r="W166" s="45">
        <v>0</v>
      </c>
    </row>
    <row r="167" spans="1:24" s="49" customFormat="1" ht="12.75" customHeight="1">
      <c r="A167" s="44" t="s">
        <v>195</v>
      </c>
      <c r="C167" s="44" t="s">
        <v>17</v>
      </c>
      <c r="D167" s="35"/>
      <c r="E167" s="45">
        <v>513659</v>
      </c>
      <c r="F167" s="45"/>
      <c r="G167" s="45">
        <v>3268350</v>
      </c>
      <c r="H167" s="45"/>
      <c r="I167" s="45">
        <v>0</v>
      </c>
      <c r="J167" s="45"/>
      <c r="K167" s="45">
        <v>96674</v>
      </c>
      <c r="L167" s="45"/>
      <c r="M167" s="45">
        <v>1689228</v>
      </c>
      <c r="N167" s="45"/>
      <c r="O167" s="45">
        <v>1539</v>
      </c>
      <c r="P167" s="45"/>
      <c r="Q167" s="45">
        <f>333040+773916</f>
        <v>1106956</v>
      </c>
      <c r="R167" s="45"/>
      <c r="S167" s="44">
        <f t="shared" si="4"/>
        <v>1524238</v>
      </c>
      <c r="T167" s="45"/>
      <c r="U167" s="45">
        <v>8200644</v>
      </c>
      <c r="V167" s="35"/>
      <c r="W167" s="45">
        <v>500</v>
      </c>
    </row>
    <row r="168" spans="1:24" s="49" customFormat="1" ht="12.75" hidden="1" customHeight="1">
      <c r="A168" s="44" t="s">
        <v>196</v>
      </c>
      <c r="C168" s="44" t="s">
        <v>27</v>
      </c>
      <c r="D168" s="35"/>
      <c r="E168" s="45">
        <v>0</v>
      </c>
      <c r="F168" s="45"/>
      <c r="G168" s="45">
        <v>0</v>
      </c>
      <c r="H168" s="45"/>
      <c r="I168" s="45">
        <v>0</v>
      </c>
      <c r="J168" s="45"/>
      <c r="K168" s="45">
        <v>0</v>
      </c>
      <c r="L168" s="45"/>
      <c r="M168" s="45">
        <v>0</v>
      </c>
      <c r="N168" s="45"/>
      <c r="O168" s="45">
        <v>0</v>
      </c>
      <c r="P168" s="45"/>
      <c r="Q168" s="45">
        <v>0</v>
      </c>
      <c r="R168" s="45"/>
      <c r="S168" s="44">
        <f t="shared" si="4"/>
        <v>0</v>
      </c>
      <c r="T168" s="45"/>
      <c r="U168" s="45">
        <v>0</v>
      </c>
      <c r="V168" s="35"/>
      <c r="W168" s="45">
        <v>0</v>
      </c>
    </row>
    <row r="169" spans="1:24" s="49" customFormat="1" ht="12.75" customHeight="1">
      <c r="A169" s="44" t="s">
        <v>402</v>
      </c>
      <c r="C169" s="44" t="s">
        <v>153</v>
      </c>
      <c r="D169" s="35"/>
      <c r="E169" s="45">
        <v>422047</v>
      </c>
      <c r="F169" s="45"/>
      <c r="G169" s="45">
        <v>3097080</v>
      </c>
      <c r="H169" s="45"/>
      <c r="I169" s="45">
        <v>0</v>
      </c>
      <c r="J169" s="45"/>
      <c r="K169" s="45">
        <v>51050</v>
      </c>
      <c r="L169" s="45"/>
      <c r="M169" s="45">
        <v>266732</v>
      </c>
      <c r="N169" s="45"/>
      <c r="O169" s="45">
        <v>0</v>
      </c>
      <c r="P169" s="45"/>
      <c r="Q169" s="45">
        <v>213427</v>
      </c>
      <c r="R169" s="45"/>
      <c r="S169" s="44">
        <f t="shared" si="4"/>
        <v>147156</v>
      </c>
      <c r="T169" s="45"/>
      <c r="U169" s="45">
        <v>4197492</v>
      </c>
      <c r="V169" s="35"/>
      <c r="W169" s="45">
        <v>1511</v>
      </c>
    </row>
    <row r="170" spans="1:24" s="49" customFormat="1" ht="12.75" customHeight="1">
      <c r="A170" s="46" t="s">
        <v>197</v>
      </c>
      <c r="B170" s="46"/>
      <c r="C170" s="46" t="s">
        <v>163</v>
      </c>
      <c r="D170" s="64"/>
      <c r="E170" s="45">
        <v>1080706</v>
      </c>
      <c r="F170" s="45"/>
      <c r="G170" s="45">
        <v>12195416</v>
      </c>
      <c r="H170" s="45"/>
      <c r="I170" s="45">
        <v>0</v>
      </c>
      <c r="J170" s="45"/>
      <c r="K170" s="45">
        <v>1972158</v>
      </c>
      <c r="L170" s="45"/>
      <c r="M170" s="45">
        <v>1356550</v>
      </c>
      <c r="N170" s="45"/>
      <c r="O170" s="45">
        <v>11877</v>
      </c>
      <c r="P170" s="45"/>
      <c r="Q170" s="45">
        <f>203805+340010</f>
        <v>543815</v>
      </c>
      <c r="R170" s="45"/>
      <c r="S170" s="44">
        <f t="shared" si="4"/>
        <v>1003759</v>
      </c>
      <c r="T170" s="45"/>
      <c r="U170" s="45">
        <v>18164281</v>
      </c>
      <c r="V170" s="35"/>
      <c r="W170" s="45">
        <v>11636</v>
      </c>
    </row>
    <row r="171" spans="1:24" s="49" customFormat="1" ht="12.75" customHeight="1">
      <c r="A171" s="44" t="s">
        <v>198</v>
      </c>
      <c r="C171" s="44" t="s">
        <v>199</v>
      </c>
      <c r="D171" s="35"/>
      <c r="E171" s="45">
        <v>491616</v>
      </c>
      <c r="F171" s="45"/>
      <c r="G171" s="45">
        <v>3185914</v>
      </c>
      <c r="H171" s="45"/>
      <c r="I171" s="45">
        <v>847907</v>
      </c>
      <c r="J171" s="45"/>
      <c r="K171" s="45">
        <v>309705</v>
      </c>
      <c r="L171" s="45"/>
      <c r="M171" s="45">
        <v>975089</v>
      </c>
      <c r="N171" s="45"/>
      <c r="O171" s="45">
        <v>0</v>
      </c>
      <c r="P171" s="45"/>
      <c r="Q171" s="45">
        <v>36866</v>
      </c>
      <c r="R171" s="45"/>
      <c r="S171" s="44">
        <f t="shared" si="4"/>
        <v>154392</v>
      </c>
      <c r="T171" s="45"/>
      <c r="U171" s="45">
        <v>6001489</v>
      </c>
      <c r="V171" s="35"/>
      <c r="W171" s="45">
        <v>0</v>
      </c>
    </row>
    <row r="172" spans="1:24" s="49" customFormat="1" ht="12.75" customHeight="1">
      <c r="A172" s="44" t="s">
        <v>200</v>
      </c>
      <c r="C172" s="44" t="s">
        <v>103</v>
      </c>
      <c r="D172" s="35"/>
      <c r="E172" s="45">
        <v>1317292</v>
      </c>
      <c r="F172" s="45"/>
      <c r="G172" s="45">
        <v>7068135</v>
      </c>
      <c r="H172" s="45"/>
      <c r="I172" s="45">
        <v>0</v>
      </c>
      <c r="J172" s="45"/>
      <c r="K172" s="45">
        <v>858571</v>
      </c>
      <c r="L172" s="45"/>
      <c r="M172" s="45">
        <v>1033151</v>
      </c>
      <c r="N172" s="45"/>
      <c r="O172" s="45">
        <v>0</v>
      </c>
      <c r="P172" s="45"/>
      <c r="Q172" s="45">
        <f>236428+387828</f>
        <v>624256</v>
      </c>
      <c r="R172" s="45"/>
      <c r="S172" s="44">
        <f t="shared" si="4"/>
        <v>393082</v>
      </c>
      <c r="T172" s="45"/>
      <c r="U172" s="45">
        <v>11294487</v>
      </c>
      <c r="V172" s="35"/>
      <c r="W172" s="45">
        <v>0</v>
      </c>
    </row>
    <row r="173" spans="1:24" s="46" customFormat="1" ht="12.75" customHeight="1">
      <c r="A173" s="44" t="s">
        <v>201</v>
      </c>
      <c r="B173" s="49"/>
      <c r="C173" s="44" t="s">
        <v>92</v>
      </c>
      <c r="D173" s="35"/>
      <c r="E173" s="45">
        <v>524379</v>
      </c>
      <c r="F173" s="45"/>
      <c r="G173" s="45">
        <v>7748215</v>
      </c>
      <c r="H173" s="45"/>
      <c r="I173" s="45">
        <v>11164</v>
      </c>
      <c r="J173" s="45"/>
      <c r="K173" s="45">
        <v>62786</v>
      </c>
      <c r="L173" s="45"/>
      <c r="M173" s="45">
        <v>1399369</v>
      </c>
      <c r="N173" s="45"/>
      <c r="O173" s="45">
        <v>0</v>
      </c>
      <c r="P173" s="45"/>
      <c r="Q173" s="45">
        <f>308161+960770</f>
        <v>1268931</v>
      </c>
      <c r="R173" s="45"/>
      <c r="S173" s="44">
        <f t="shared" si="4"/>
        <v>1008320</v>
      </c>
      <c r="T173" s="45"/>
      <c r="U173" s="45">
        <v>12023164</v>
      </c>
      <c r="V173" s="35"/>
      <c r="W173" s="45">
        <f>7965+852749</f>
        <v>860714</v>
      </c>
    </row>
    <row r="174" spans="1:24" s="49" customFormat="1" ht="12.75" customHeight="1">
      <c r="A174" s="46" t="s">
        <v>202</v>
      </c>
      <c r="B174" s="46"/>
      <c r="C174" s="46" t="s">
        <v>27</v>
      </c>
      <c r="D174" s="64"/>
      <c r="E174" s="45">
        <v>4505123</v>
      </c>
      <c r="F174" s="45"/>
      <c r="G174" s="45">
        <v>26354644</v>
      </c>
      <c r="H174" s="45"/>
      <c r="I174" s="45">
        <v>0</v>
      </c>
      <c r="J174" s="45"/>
      <c r="K174" s="45">
        <v>563425</v>
      </c>
      <c r="L174" s="45"/>
      <c r="M174" s="45">
        <v>6344768</v>
      </c>
      <c r="N174" s="45"/>
      <c r="O174" s="45">
        <v>0</v>
      </c>
      <c r="P174" s="45"/>
      <c r="Q174" s="45">
        <f>1831969+2383106</f>
        <v>4215075</v>
      </c>
      <c r="R174" s="45"/>
      <c r="S174" s="44">
        <f t="shared" si="4"/>
        <v>350898</v>
      </c>
      <c r="T174" s="45"/>
      <c r="U174" s="45">
        <v>42333933</v>
      </c>
      <c r="V174" s="35"/>
      <c r="W174" s="45">
        <v>2000</v>
      </c>
    </row>
    <row r="175" spans="1:24" s="49" customFormat="1" ht="12.75" customHeight="1">
      <c r="A175" s="44" t="s">
        <v>203</v>
      </c>
      <c r="C175" s="44" t="s">
        <v>27</v>
      </c>
      <c r="E175" s="45">
        <v>2546818</v>
      </c>
      <c r="F175" s="45"/>
      <c r="G175" s="45">
        <v>7791879</v>
      </c>
      <c r="H175" s="45"/>
      <c r="I175" s="45">
        <v>0</v>
      </c>
      <c r="J175" s="45"/>
      <c r="K175" s="45">
        <v>1228359</v>
      </c>
      <c r="L175" s="45"/>
      <c r="M175" s="45">
        <v>1708693</v>
      </c>
      <c r="N175" s="45"/>
      <c r="O175" s="45">
        <v>0</v>
      </c>
      <c r="P175" s="45"/>
      <c r="Q175" s="45">
        <v>657757</v>
      </c>
      <c r="R175" s="45"/>
      <c r="S175" s="44">
        <f t="shared" si="4"/>
        <v>250957</v>
      </c>
      <c r="T175" s="45"/>
      <c r="U175" s="45">
        <v>14184463</v>
      </c>
      <c r="V175" s="35"/>
      <c r="W175" s="45">
        <v>367347</v>
      </c>
    </row>
    <row r="176" spans="1:24" s="49" customFormat="1" ht="12.75" customHeight="1">
      <c r="A176" s="44" t="s">
        <v>204</v>
      </c>
      <c r="C176" s="44" t="s">
        <v>125</v>
      </c>
      <c r="D176" s="35"/>
      <c r="E176" s="45">
        <v>847697</v>
      </c>
      <c r="F176" s="45"/>
      <c r="G176" s="45">
        <v>0</v>
      </c>
      <c r="H176" s="45"/>
      <c r="I176" s="45">
        <v>0</v>
      </c>
      <c r="J176" s="45"/>
      <c r="K176" s="45">
        <v>4622</v>
      </c>
      <c r="L176" s="45"/>
      <c r="M176" s="45">
        <v>349993</v>
      </c>
      <c r="N176" s="45"/>
      <c r="O176" s="45">
        <v>0</v>
      </c>
      <c r="P176" s="45"/>
      <c r="Q176" s="45">
        <f>257348+133241</f>
        <v>390589</v>
      </c>
      <c r="R176" s="45"/>
      <c r="S176" s="44">
        <f t="shared" si="4"/>
        <v>157144</v>
      </c>
      <c r="T176" s="45"/>
      <c r="U176" s="45">
        <v>1750045</v>
      </c>
      <c r="V176" s="35"/>
      <c r="W176" s="45">
        <v>0</v>
      </c>
    </row>
    <row r="177" spans="1:23" s="49" customFormat="1" ht="12.75" customHeight="1">
      <c r="A177" s="44" t="s">
        <v>205</v>
      </c>
      <c r="C177" s="44" t="s">
        <v>27</v>
      </c>
      <c r="D177" s="35"/>
      <c r="E177" s="45">
        <v>1297130</v>
      </c>
      <c r="F177" s="45"/>
      <c r="G177" s="45">
        <v>3994028</v>
      </c>
      <c r="H177" s="45"/>
      <c r="I177" s="45">
        <f>615662+279130</f>
        <v>894792</v>
      </c>
      <c r="J177" s="45"/>
      <c r="K177" s="45">
        <v>50443</v>
      </c>
      <c r="L177" s="45"/>
      <c r="M177" s="45">
        <v>367681</v>
      </c>
      <c r="N177" s="45"/>
      <c r="O177" s="45">
        <v>0</v>
      </c>
      <c r="P177" s="45"/>
      <c r="Q177" s="45">
        <f>204750+49279</f>
        <v>254029</v>
      </c>
      <c r="R177" s="45"/>
      <c r="S177" s="44">
        <f t="shared" si="4"/>
        <v>170190</v>
      </c>
      <c r="T177" s="45"/>
      <c r="U177" s="45">
        <v>7028293</v>
      </c>
      <c r="V177" s="35"/>
      <c r="W177" s="45">
        <v>7000</v>
      </c>
    </row>
    <row r="178" spans="1:23" s="49" customFormat="1" ht="12.75" customHeight="1">
      <c r="A178" s="44" t="s">
        <v>206</v>
      </c>
      <c r="C178" s="44" t="s">
        <v>47</v>
      </c>
      <c r="D178" s="35"/>
      <c r="E178" s="45">
        <v>1177613</v>
      </c>
      <c r="F178" s="45"/>
      <c r="G178" s="45">
        <v>12136108</v>
      </c>
      <c r="H178" s="45"/>
      <c r="I178" s="45">
        <v>0</v>
      </c>
      <c r="J178" s="45"/>
      <c r="K178" s="45">
        <v>673788</v>
      </c>
      <c r="L178" s="45"/>
      <c r="M178" s="45">
        <v>1387009</v>
      </c>
      <c r="N178" s="45"/>
      <c r="O178" s="45">
        <v>173998</v>
      </c>
      <c r="P178" s="45"/>
      <c r="Q178" s="45">
        <f>136411+685198</f>
        <v>821609</v>
      </c>
      <c r="R178" s="45"/>
      <c r="S178" s="44">
        <f t="shared" si="4"/>
        <v>470596</v>
      </c>
      <c r="T178" s="45"/>
      <c r="U178" s="45">
        <v>16840721</v>
      </c>
      <c r="V178" s="35"/>
      <c r="W178" s="45">
        <v>70527</v>
      </c>
    </row>
    <row r="179" spans="1:23" s="49" customFormat="1" ht="12.75" customHeight="1">
      <c r="A179" s="44" t="s">
        <v>207</v>
      </c>
      <c r="C179" s="44" t="s">
        <v>102</v>
      </c>
      <c r="D179" s="35"/>
      <c r="E179" s="45">
        <v>860900</v>
      </c>
      <c r="F179" s="45"/>
      <c r="G179" s="45">
        <v>4545475</v>
      </c>
      <c r="H179" s="45"/>
      <c r="I179" s="45">
        <v>99378</v>
      </c>
      <c r="J179" s="45"/>
      <c r="K179" s="45">
        <v>167048</v>
      </c>
      <c r="L179" s="45"/>
      <c r="M179" s="45">
        <v>538905</v>
      </c>
      <c r="N179" s="45"/>
      <c r="O179" s="45">
        <v>0</v>
      </c>
      <c r="P179" s="45"/>
      <c r="Q179" s="45">
        <f>308011+143652</f>
        <v>451663</v>
      </c>
      <c r="R179" s="45"/>
      <c r="S179" s="44">
        <f t="shared" si="4"/>
        <v>498332</v>
      </c>
      <c r="T179" s="45"/>
      <c r="U179" s="45">
        <v>7161701</v>
      </c>
      <c r="V179" s="35"/>
      <c r="W179" s="45">
        <v>0</v>
      </c>
    </row>
    <row r="180" spans="1:23" s="49" customFormat="1" ht="12.75" customHeight="1">
      <c r="A180" s="44" t="s">
        <v>208</v>
      </c>
      <c r="C180" s="44" t="s">
        <v>209</v>
      </c>
      <c r="D180" s="35"/>
      <c r="E180" s="45">
        <v>1256328</v>
      </c>
      <c r="F180" s="45"/>
      <c r="G180" s="45">
        <v>4881343</v>
      </c>
      <c r="H180" s="45"/>
      <c r="I180" s="45">
        <f>2801112+1123045</f>
        <v>3924157</v>
      </c>
      <c r="J180" s="45"/>
      <c r="K180" s="45">
        <v>0</v>
      </c>
      <c r="L180" s="45"/>
      <c r="M180" s="45">
        <f>29758+17538</f>
        <v>47296</v>
      </c>
      <c r="N180" s="45"/>
      <c r="O180" s="45">
        <v>0</v>
      </c>
      <c r="P180" s="45"/>
      <c r="Q180" s="45">
        <v>1015677</v>
      </c>
      <c r="R180" s="45"/>
      <c r="S180" s="44">
        <f t="shared" si="4"/>
        <v>843807</v>
      </c>
      <c r="T180" s="45"/>
      <c r="U180" s="45">
        <v>11968608</v>
      </c>
      <c r="V180" s="35"/>
      <c r="W180" s="45">
        <v>409515</v>
      </c>
    </row>
    <row r="181" spans="1:23" s="49" customFormat="1" ht="12.75" customHeight="1">
      <c r="A181" s="44" t="s">
        <v>210</v>
      </c>
      <c r="C181" s="44" t="s">
        <v>211</v>
      </c>
      <c r="D181" s="35"/>
      <c r="E181" s="45">
        <v>554600</v>
      </c>
      <c r="F181" s="45"/>
      <c r="G181" s="45">
        <v>2157779</v>
      </c>
      <c r="H181" s="45"/>
      <c r="I181" s="45">
        <v>141102</v>
      </c>
      <c r="J181" s="45"/>
      <c r="K181" s="45">
        <v>150599</v>
      </c>
      <c r="L181" s="45"/>
      <c r="M181" s="45">
        <v>705977</v>
      </c>
      <c r="N181" s="45"/>
      <c r="O181" s="45">
        <v>0</v>
      </c>
      <c r="P181" s="45"/>
      <c r="Q181" s="45">
        <f>50779+13795</f>
        <v>64574</v>
      </c>
      <c r="R181" s="45"/>
      <c r="S181" s="44">
        <f t="shared" si="4"/>
        <v>67873</v>
      </c>
      <c r="T181" s="45"/>
      <c r="U181" s="45">
        <v>3842504</v>
      </c>
      <c r="V181" s="35"/>
      <c r="W181" s="45">
        <v>0</v>
      </c>
    </row>
    <row r="182" spans="1:23" s="49" customFormat="1" ht="12.75" customHeight="1">
      <c r="A182" s="44" t="s">
        <v>212</v>
      </c>
      <c r="C182" s="44" t="s">
        <v>213</v>
      </c>
      <c r="D182" s="35"/>
      <c r="E182" s="45">
        <v>7189959</v>
      </c>
      <c r="F182" s="45"/>
      <c r="G182" s="45">
        <v>0</v>
      </c>
      <c r="H182" s="45"/>
      <c r="I182" s="45">
        <v>0</v>
      </c>
      <c r="J182" s="45"/>
      <c r="K182" s="45">
        <v>365745</v>
      </c>
      <c r="L182" s="45"/>
      <c r="M182" s="45">
        <v>1780521</v>
      </c>
      <c r="N182" s="45"/>
      <c r="O182" s="45">
        <v>0</v>
      </c>
      <c r="P182" s="45"/>
      <c r="Q182" s="45">
        <f>199095+646006</f>
        <v>845101</v>
      </c>
      <c r="R182" s="45"/>
      <c r="S182" s="44">
        <f t="shared" si="4"/>
        <v>130501</v>
      </c>
      <c r="T182" s="45"/>
      <c r="U182" s="45">
        <v>10311827</v>
      </c>
      <c r="V182" s="35"/>
      <c r="W182" s="45">
        <v>474793</v>
      </c>
    </row>
    <row r="183" spans="1:23" s="49" customFormat="1" ht="12.75" customHeight="1">
      <c r="A183" s="44" t="s">
        <v>471</v>
      </c>
      <c r="C183" s="44"/>
      <c r="D183" s="3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4"/>
      <c r="T183" s="45"/>
      <c r="U183" s="45"/>
      <c r="V183" s="35"/>
      <c r="W183" s="48" t="s">
        <v>484</v>
      </c>
    </row>
    <row r="184" spans="1:23" s="49" customFormat="1" ht="12.75" customHeight="1">
      <c r="A184" s="44" t="s">
        <v>214</v>
      </c>
      <c r="C184" s="44" t="s">
        <v>86</v>
      </c>
      <c r="D184" s="35"/>
      <c r="E184" s="94">
        <v>501105</v>
      </c>
      <c r="F184" s="94"/>
      <c r="G184" s="94">
        <v>4015942</v>
      </c>
      <c r="H184" s="94"/>
      <c r="I184" s="94">
        <v>0</v>
      </c>
      <c r="J184" s="94"/>
      <c r="K184" s="94">
        <v>16643</v>
      </c>
      <c r="L184" s="94"/>
      <c r="M184" s="94">
        <f>168072+381796</f>
        <v>549868</v>
      </c>
      <c r="N184" s="94"/>
      <c r="O184" s="94">
        <v>0</v>
      </c>
      <c r="P184" s="94"/>
      <c r="Q184" s="94">
        <f>497951+8014</f>
        <v>505965</v>
      </c>
      <c r="R184" s="94"/>
      <c r="S184" s="46">
        <f t="shared" si="4"/>
        <v>156238</v>
      </c>
      <c r="T184" s="94"/>
      <c r="U184" s="94">
        <v>5745761</v>
      </c>
      <c r="V184" s="64"/>
      <c r="W184" s="94">
        <v>0</v>
      </c>
    </row>
    <row r="185" spans="1:23" s="49" customFormat="1" ht="12.75" customHeight="1">
      <c r="A185" s="46" t="s">
        <v>215</v>
      </c>
      <c r="B185" s="46"/>
      <c r="C185" s="46" t="s">
        <v>22</v>
      </c>
      <c r="D185" s="64"/>
      <c r="E185" s="45">
        <v>609352</v>
      </c>
      <c r="F185" s="45"/>
      <c r="G185" s="45">
        <v>4811567</v>
      </c>
      <c r="H185" s="45"/>
      <c r="I185" s="45">
        <v>0</v>
      </c>
      <c r="J185" s="45"/>
      <c r="K185" s="45">
        <v>876</v>
      </c>
      <c r="L185" s="45"/>
      <c r="M185" s="45">
        <v>957082</v>
      </c>
      <c r="N185" s="45"/>
      <c r="O185" s="45">
        <v>0</v>
      </c>
      <c r="P185" s="45"/>
      <c r="Q185" s="45">
        <f>555805+48940</f>
        <v>604745</v>
      </c>
      <c r="R185" s="45"/>
      <c r="S185" s="44">
        <f t="shared" si="4"/>
        <v>101792</v>
      </c>
      <c r="T185" s="45"/>
      <c r="U185" s="45">
        <v>7085414</v>
      </c>
      <c r="V185" s="35"/>
      <c r="W185" s="45">
        <v>1240</v>
      </c>
    </row>
    <row r="186" spans="1:23" s="49" customFormat="1" ht="12.75" customHeight="1">
      <c r="A186" s="44" t="s">
        <v>216</v>
      </c>
      <c r="C186" s="44" t="s">
        <v>45</v>
      </c>
      <c r="D186" s="35"/>
      <c r="E186" s="45">
        <v>6314133</v>
      </c>
      <c r="F186" s="45"/>
      <c r="G186" s="45">
        <v>0</v>
      </c>
      <c r="H186" s="45"/>
      <c r="I186" s="45">
        <v>0</v>
      </c>
      <c r="J186" s="45"/>
      <c r="K186" s="45">
        <v>827905</v>
      </c>
      <c r="L186" s="45"/>
      <c r="M186" s="45">
        <v>626041</v>
      </c>
      <c r="N186" s="45"/>
      <c r="O186" s="45">
        <v>0</v>
      </c>
      <c r="P186" s="45"/>
      <c r="Q186" s="45">
        <v>281927</v>
      </c>
      <c r="R186" s="45"/>
      <c r="S186" s="44">
        <f t="shared" si="4"/>
        <v>53176</v>
      </c>
      <c r="T186" s="45"/>
      <c r="U186" s="45">
        <v>8103182</v>
      </c>
      <c r="V186" s="35"/>
      <c r="W186" s="45">
        <f>216666+113226</f>
        <v>329892</v>
      </c>
    </row>
    <row r="187" spans="1:23" s="49" customFormat="1" ht="12.75" customHeight="1">
      <c r="A187" s="44" t="s">
        <v>217</v>
      </c>
      <c r="C187" s="44" t="s">
        <v>43</v>
      </c>
      <c r="D187" s="35"/>
      <c r="E187" s="45">
        <v>8695715</v>
      </c>
      <c r="F187" s="45"/>
      <c r="G187" s="45">
        <v>0</v>
      </c>
      <c r="H187" s="45"/>
      <c r="I187" s="45">
        <v>0</v>
      </c>
      <c r="J187" s="45"/>
      <c r="K187" s="45">
        <v>150908</v>
      </c>
      <c r="L187" s="45"/>
      <c r="M187" s="45">
        <v>1691910</v>
      </c>
      <c r="N187" s="45"/>
      <c r="O187" s="45">
        <v>0</v>
      </c>
      <c r="P187" s="45"/>
      <c r="Q187" s="45">
        <f>207844+536554</f>
        <v>744398</v>
      </c>
      <c r="R187" s="45"/>
      <c r="S187" s="44">
        <f t="shared" si="4"/>
        <v>705821</v>
      </c>
      <c r="T187" s="45"/>
      <c r="U187" s="45">
        <v>11988752</v>
      </c>
      <c r="V187" s="35"/>
      <c r="W187" s="45">
        <v>9896</v>
      </c>
    </row>
    <row r="188" spans="1:23" s="49" customFormat="1" ht="12.75" hidden="1" customHeight="1">
      <c r="A188" s="44" t="s">
        <v>218</v>
      </c>
      <c r="C188" s="44" t="s">
        <v>27</v>
      </c>
      <c r="D188" s="35"/>
      <c r="E188" s="45">
        <v>0</v>
      </c>
      <c r="F188" s="45"/>
      <c r="G188" s="45">
        <v>0</v>
      </c>
      <c r="H188" s="45"/>
      <c r="I188" s="45">
        <v>0</v>
      </c>
      <c r="J188" s="45"/>
      <c r="K188" s="45">
        <v>0</v>
      </c>
      <c r="L188" s="45"/>
      <c r="M188" s="45">
        <v>0</v>
      </c>
      <c r="N188" s="45"/>
      <c r="O188" s="45">
        <v>0</v>
      </c>
      <c r="P188" s="45"/>
      <c r="Q188" s="45">
        <v>0</v>
      </c>
      <c r="R188" s="45"/>
      <c r="S188" s="44">
        <f t="shared" si="4"/>
        <v>0</v>
      </c>
      <c r="T188" s="45"/>
      <c r="U188" s="45">
        <v>0</v>
      </c>
      <c r="V188" s="35"/>
      <c r="W188" s="45">
        <v>0</v>
      </c>
    </row>
    <row r="189" spans="1:23" s="49" customFormat="1" ht="12.75" customHeight="1">
      <c r="A189" s="44" t="s">
        <v>219</v>
      </c>
      <c r="C189" s="44" t="s">
        <v>199</v>
      </c>
      <c r="D189" s="35"/>
      <c r="E189" s="45">
        <v>372878</v>
      </c>
      <c r="F189" s="45"/>
      <c r="G189" s="45">
        <v>693599</v>
      </c>
      <c r="H189" s="45"/>
      <c r="I189" s="45">
        <v>0</v>
      </c>
      <c r="J189" s="45"/>
      <c r="K189" s="45">
        <v>990536</v>
      </c>
      <c r="L189" s="45"/>
      <c r="M189" s="45">
        <v>511596</v>
      </c>
      <c r="N189" s="45"/>
      <c r="O189" s="45">
        <v>0</v>
      </c>
      <c r="P189" s="45"/>
      <c r="Q189" s="45">
        <v>107497</v>
      </c>
      <c r="R189" s="45"/>
      <c r="S189" s="44">
        <f t="shared" si="4"/>
        <v>204815</v>
      </c>
      <c r="T189" s="45"/>
      <c r="U189" s="45">
        <v>2880921</v>
      </c>
      <c r="V189" s="35"/>
      <c r="W189" s="45">
        <v>70000</v>
      </c>
    </row>
    <row r="190" spans="1:23" s="49" customFormat="1" ht="12.75" customHeight="1">
      <c r="A190" s="44" t="s">
        <v>220</v>
      </c>
      <c r="C190" s="44" t="s">
        <v>66</v>
      </c>
      <c r="D190" s="35"/>
      <c r="E190" s="45">
        <v>387786</v>
      </c>
      <c r="F190" s="45"/>
      <c r="G190" s="45">
        <v>4229056</v>
      </c>
      <c r="H190" s="45"/>
      <c r="I190" s="45">
        <v>232739</v>
      </c>
      <c r="J190" s="45"/>
      <c r="K190" s="45">
        <v>0</v>
      </c>
      <c r="L190" s="45"/>
      <c r="M190" s="45">
        <v>877312</v>
      </c>
      <c r="N190" s="45"/>
      <c r="O190" s="45">
        <v>0</v>
      </c>
      <c r="P190" s="45"/>
      <c r="Q190" s="45">
        <v>53592</v>
      </c>
      <c r="R190" s="45"/>
      <c r="S190" s="44">
        <f t="shared" si="4"/>
        <v>44737</v>
      </c>
      <c r="T190" s="45"/>
      <c r="U190" s="45">
        <v>5825222</v>
      </c>
      <c r="V190" s="35"/>
      <c r="W190" s="45">
        <v>0</v>
      </c>
    </row>
    <row r="191" spans="1:23" s="49" customFormat="1" ht="12.75" customHeight="1">
      <c r="A191" s="44" t="s">
        <v>221</v>
      </c>
      <c r="C191" s="44" t="s">
        <v>27</v>
      </c>
      <c r="D191" s="35"/>
      <c r="E191" s="45">
        <v>4100752</v>
      </c>
      <c r="F191" s="45"/>
      <c r="G191" s="45">
        <v>7748760</v>
      </c>
      <c r="H191" s="45"/>
      <c r="I191" s="45">
        <v>31524</v>
      </c>
      <c r="J191" s="45"/>
      <c r="K191" s="45">
        <v>21571</v>
      </c>
      <c r="L191" s="45"/>
      <c r="M191" s="45">
        <v>3090473</v>
      </c>
      <c r="N191" s="45"/>
      <c r="O191" s="45">
        <v>0</v>
      </c>
      <c r="P191" s="45"/>
      <c r="Q191" s="45">
        <v>2990866</v>
      </c>
      <c r="R191" s="45"/>
      <c r="S191" s="44">
        <f t="shared" si="4"/>
        <v>305145</v>
      </c>
      <c r="T191" s="45"/>
      <c r="U191" s="45">
        <v>18289091</v>
      </c>
      <c r="V191" s="35"/>
      <c r="W191" s="45">
        <v>16127</v>
      </c>
    </row>
    <row r="192" spans="1:23" s="49" customFormat="1" ht="12.75" customHeight="1">
      <c r="A192" s="44" t="s">
        <v>222</v>
      </c>
      <c r="C192" s="44" t="s">
        <v>47</v>
      </c>
      <c r="D192" s="35"/>
      <c r="E192" s="45">
        <v>975179</v>
      </c>
      <c r="F192" s="45"/>
      <c r="G192" s="45">
        <v>2451868</v>
      </c>
      <c r="H192" s="45"/>
      <c r="I192" s="45">
        <v>0</v>
      </c>
      <c r="J192" s="45"/>
      <c r="K192" s="45">
        <v>160055</v>
      </c>
      <c r="L192" s="45"/>
      <c r="M192" s="45">
        <v>954851</v>
      </c>
      <c r="N192" s="45"/>
      <c r="O192" s="45">
        <v>0</v>
      </c>
      <c r="P192" s="45"/>
      <c r="Q192" s="45">
        <v>38592</v>
      </c>
      <c r="R192" s="45"/>
      <c r="S192" s="44">
        <f t="shared" si="4"/>
        <v>167647</v>
      </c>
      <c r="T192" s="45"/>
      <c r="U192" s="45">
        <v>4748192</v>
      </c>
      <c r="V192" s="35"/>
      <c r="W192" s="45">
        <v>120</v>
      </c>
    </row>
    <row r="193" spans="1:24" s="49" customFormat="1" ht="12.75" customHeight="1">
      <c r="A193" s="44" t="s">
        <v>223</v>
      </c>
      <c r="C193" s="44" t="s">
        <v>94</v>
      </c>
      <c r="D193" s="35"/>
      <c r="E193" s="45">
        <v>11174327</v>
      </c>
      <c r="F193" s="45"/>
      <c r="G193" s="45">
        <v>0</v>
      </c>
      <c r="H193" s="45"/>
      <c r="I193" s="45">
        <v>0</v>
      </c>
      <c r="J193" s="45"/>
      <c r="K193" s="45">
        <v>179429</v>
      </c>
      <c r="L193" s="45"/>
      <c r="M193" s="45">
        <v>621812</v>
      </c>
      <c r="N193" s="45"/>
      <c r="O193" s="45">
        <v>0</v>
      </c>
      <c r="P193" s="45"/>
      <c r="Q193" s="45">
        <f>56190+69358</f>
        <v>125548</v>
      </c>
      <c r="R193" s="45"/>
      <c r="S193" s="44">
        <f t="shared" si="4"/>
        <v>287348</v>
      </c>
      <c r="T193" s="45"/>
      <c r="U193" s="45">
        <v>12388464</v>
      </c>
      <c r="V193" s="35"/>
      <c r="W193" s="45">
        <v>16078</v>
      </c>
    </row>
    <row r="194" spans="1:24" s="49" customFormat="1" ht="12.75" customHeight="1">
      <c r="A194" s="44" t="s">
        <v>76</v>
      </c>
      <c r="C194" s="44" t="s">
        <v>132</v>
      </c>
      <c r="D194" s="35"/>
      <c r="E194" s="45">
        <v>1600739</v>
      </c>
      <c r="F194" s="45"/>
      <c r="G194" s="45">
        <v>6307121</v>
      </c>
      <c r="H194" s="45"/>
      <c r="I194" s="45">
        <f>2164+3535100</f>
        <v>3537264</v>
      </c>
      <c r="J194" s="45"/>
      <c r="K194" s="45">
        <v>452428</v>
      </c>
      <c r="L194" s="45"/>
      <c r="M194" s="45">
        <v>1811158</v>
      </c>
      <c r="N194" s="45"/>
      <c r="O194" s="45">
        <v>0</v>
      </c>
      <c r="P194" s="45"/>
      <c r="Q194" s="45">
        <f>490961+1094941</f>
        <v>1585902</v>
      </c>
      <c r="R194" s="45"/>
      <c r="S194" s="44">
        <f t="shared" si="4"/>
        <v>1107606</v>
      </c>
      <c r="T194" s="45"/>
      <c r="U194" s="45">
        <v>16402218</v>
      </c>
      <c r="V194" s="35"/>
      <c r="W194" s="45">
        <v>3100</v>
      </c>
    </row>
    <row r="195" spans="1:24" s="49" customFormat="1" ht="12.75" customHeight="1">
      <c r="A195" s="44" t="s">
        <v>224</v>
      </c>
      <c r="C195" s="44" t="s">
        <v>27</v>
      </c>
      <c r="D195" s="35"/>
      <c r="E195" s="45">
        <v>5741038</v>
      </c>
      <c r="F195" s="45"/>
      <c r="G195" s="45">
        <v>0</v>
      </c>
      <c r="H195" s="45"/>
      <c r="I195" s="45">
        <v>0</v>
      </c>
      <c r="J195" s="45"/>
      <c r="K195" s="45">
        <v>825566</v>
      </c>
      <c r="L195" s="45"/>
      <c r="M195" s="45">
        <v>969170</v>
      </c>
      <c r="N195" s="45"/>
      <c r="O195" s="45">
        <v>0</v>
      </c>
      <c r="P195" s="45"/>
      <c r="Q195" s="45">
        <v>476274</v>
      </c>
      <c r="R195" s="45"/>
      <c r="S195" s="44">
        <f t="shared" si="4"/>
        <v>89281</v>
      </c>
      <c r="T195" s="45"/>
      <c r="U195" s="45">
        <v>8101329</v>
      </c>
      <c r="V195" s="35"/>
      <c r="W195" s="45">
        <f>10470+14637</f>
        <v>25107</v>
      </c>
    </row>
    <row r="196" spans="1:24" s="49" customFormat="1" ht="12.75" customHeight="1">
      <c r="A196" s="44" t="s">
        <v>225</v>
      </c>
      <c r="C196" s="44" t="s">
        <v>27</v>
      </c>
      <c r="D196" s="35"/>
      <c r="E196" s="45">
        <v>7275326</v>
      </c>
      <c r="F196" s="45"/>
      <c r="G196" s="45">
        <v>20144932</v>
      </c>
      <c r="H196" s="45"/>
      <c r="I196" s="45">
        <v>53478</v>
      </c>
      <c r="J196" s="45"/>
      <c r="K196" s="45">
        <v>4732688</v>
      </c>
      <c r="L196" s="45"/>
      <c r="M196" s="45">
        <v>6549955</v>
      </c>
      <c r="N196" s="45"/>
      <c r="O196" s="45">
        <v>6800</v>
      </c>
      <c r="P196" s="45"/>
      <c r="Q196" s="45">
        <f>577437+795412</f>
        <v>1372849</v>
      </c>
      <c r="R196" s="45"/>
      <c r="S196" s="44">
        <f t="shared" ref="S196:S249" si="5">U196-E196-G196-K196-M196-O196-Q196-I196</f>
        <v>348506</v>
      </c>
      <c r="T196" s="45"/>
      <c r="U196" s="45">
        <v>40484534</v>
      </c>
      <c r="V196" s="35"/>
      <c r="W196" s="45">
        <v>34911</v>
      </c>
      <c r="X196" s="46"/>
    </row>
    <row r="197" spans="1:24" s="49" customFormat="1" ht="12.75" customHeight="1">
      <c r="A197" s="44" t="s">
        <v>226</v>
      </c>
      <c r="C197" s="44" t="s">
        <v>45</v>
      </c>
      <c r="D197" s="35"/>
      <c r="E197" s="45">
        <v>11789151</v>
      </c>
      <c r="F197" s="45"/>
      <c r="G197" s="45">
        <v>0</v>
      </c>
      <c r="H197" s="45"/>
      <c r="I197" s="45">
        <v>0</v>
      </c>
      <c r="J197" s="45"/>
      <c r="K197" s="45">
        <v>325141</v>
      </c>
      <c r="L197" s="45"/>
      <c r="M197" s="45">
        <v>966258</v>
      </c>
      <c r="N197" s="45"/>
      <c r="O197" s="45">
        <v>0</v>
      </c>
      <c r="P197" s="45"/>
      <c r="Q197" s="45">
        <f>467005+300539</f>
        <v>767544</v>
      </c>
      <c r="R197" s="45"/>
      <c r="S197" s="44">
        <f t="shared" si="5"/>
        <v>254168</v>
      </c>
      <c r="T197" s="45"/>
      <c r="U197" s="45">
        <v>14102262</v>
      </c>
      <c r="V197" s="35"/>
      <c r="W197" s="45">
        <v>14590</v>
      </c>
    </row>
    <row r="198" spans="1:24" s="46" customFormat="1" ht="12.75" customHeight="1">
      <c r="A198" s="46" t="s">
        <v>227</v>
      </c>
      <c r="C198" s="46" t="s">
        <v>17</v>
      </c>
      <c r="D198" s="64"/>
      <c r="E198" s="45">
        <v>371853</v>
      </c>
      <c r="F198" s="45"/>
      <c r="G198" s="45">
        <v>1531786</v>
      </c>
      <c r="H198" s="45"/>
      <c r="I198" s="45">
        <v>0</v>
      </c>
      <c r="J198" s="45"/>
      <c r="K198" s="45">
        <v>259359</v>
      </c>
      <c r="L198" s="45"/>
      <c r="M198" s="45">
        <v>460832</v>
      </c>
      <c r="N198" s="45"/>
      <c r="O198" s="45">
        <v>0</v>
      </c>
      <c r="P198" s="45"/>
      <c r="Q198" s="45">
        <v>200333</v>
      </c>
      <c r="R198" s="45"/>
      <c r="S198" s="44">
        <f t="shared" si="5"/>
        <v>512128</v>
      </c>
      <c r="T198" s="45"/>
      <c r="U198" s="45">
        <v>3336291</v>
      </c>
      <c r="V198" s="35"/>
      <c r="W198" s="45">
        <v>39026</v>
      </c>
    </row>
    <row r="199" spans="1:24" s="49" customFormat="1" ht="12.75" customHeight="1">
      <c r="A199" s="44" t="s">
        <v>228</v>
      </c>
      <c r="C199" s="44" t="s">
        <v>153</v>
      </c>
      <c r="D199" s="35"/>
      <c r="E199" s="45">
        <v>613693</v>
      </c>
      <c r="F199" s="45"/>
      <c r="G199" s="45">
        <v>1750362</v>
      </c>
      <c r="H199" s="45"/>
      <c r="I199" s="45">
        <v>0</v>
      </c>
      <c r="J199" s="45"/>
      <c r="K199" s="45">
        <v>346001</v>
      </c>
      <c r="L199" s="45"/>
      <c r="M199" s="45">
        <v>636251</v>
      </c>
      <c r="N199" s="45"/>
      <c r="O199" s="45">
        <v>0</v>
      </c>
      <c r="P199" s="45"/>
      <c r="Q199" s="45">
        <f>3670+220192</f>
        <v>223862</v>
      </c>
      <c r="R199" s="45"/>
      <c r="S199" s="44">
        <f t="shared" si="5"/>
        <v>97204</v>
      </c>
      <c r="T199" s="45"/>
      <c r="U199" s="45">
        <v>3667373</v>
      </c>
      <c r="V199" s="35"/>
      <c r="W199" s="45">
        <v>811</v>
      </c>
    </row>
    <row r="200" spans="1:24" s="49" customFormat="1" ht="12.75" customHeight="1">
      <c r="A200" s="44" t="s">
        <v>229</v>
      </c>
      <c r="C200" s="44" t="s">
        <v>228</v>
      </c>
      <c r="D200" s="35"/>
      <c r="E200" s="45">
        <v>1957673</v>
      </c>
      <c r="F200" s="45"/>
      <c r="G200" s="45">
        <v>0</v>
      </c>
      <c r="H200" s="45"/>
      <c r="I200" s="45">
        <v>0</v>
      </c>
      <c r="J200" s="45"/>
      <c r="K200" s="45">
        <v>1415634</v>
      </c>
      <c r="L200" s="45"/>
      <c r="M200" s="45">
        <v>1289843</v>
      </c>
      <c r="N200" s="45"/>
      <c r="O200" s="45">
        <v>226849</v>
      </c>
      <c r="P200" s="45"/>
      <c r="Q200" s="45">
        <v>111564</v>
      </c>
      <c r="R200" s="45"/>
      <c r="S200" s="44">
        <f t="shared" si="5"/>
        <v>10237282</v>
      </c>
      <c r="T200" s="45"/>
      <c r="U200" s="45">
        <v>15238845</v>
      </c>
      <c r="V200" s="35"/>
      <c r="W200" s="45">
        <v>0</v>
      </c>
    </row>
    <row r="201" spans="1:24" s="46" customFormat="1" ht="12.75" customHeight="1">
      <c r="A201" s="44" t="s">
        <v>230</v>
      </c>
      <c r="B201" s="49"/>
      <c r="C201" s="44" t="s">
        <v>45</v>
      </c>
      <c r="D201" s="35"/>
      <c r="E201" s="45">
        <v>635668</v>
      </c>
      <c r="F201" s="45"/>
      <c r="G201" s="45">
        <v>1556953</v>
      </c>
      <c r="H201" s="45"/>
      <c r="I201" s="45">
        <v>0</v>
      </c>
      <c r="J201" s="45"/>
      <c r="K201" s="45">
        <v>217036</v>
      </c>
      <c r="L201" s="45"/>
      <c r="M201" s="45">
        <v>286546</v>
      </c>
      <c r="N201" s="45"/>
      <c r="O201" s="45">
        <v>0</v>
      </c>
      <c r="P201" s="45"/>
      <c r="Q201" s="45">
        <v>68302</v>
      </c>
      <c r="R201" s="45"/>
      <c r="S201" s="44">
        <f t="shared" si="5"/>
        <v>130801</v>
      </c>
      <c r="T201" s="45"/>
      <c r="U201" s="45">
        <v>2895306</v>
      </c>
      <c r="V201" s="35"/>
      <c r="W201" s="45">
        <v>27720</v>
      </c>
    </row>
    <row r="202" spans="1:24" s="49" customFormat="1" ht="12.75" customHeight="1">
      <c r="A202" s="44" t="s">
        <v>231</v>
      </c>
      <c r="C202" s="44" t="s">
        <v>27</v>
      </c>
      <c r="D202" s="35"/>
      <c r="E202" s="45">
        <v>819697</v>
      </c>
      <c r="F202" s="45"/>
      <c r="G202" s="45">
        <v>28136530</v>
      </c>
      <c r="H202" s="45"/>
      <c r="I202" s="45">
        <v>0</v>
      </c>
      <c r="J202" s="45"/>
      <c r="K202" s="45">
        <v>818113</v>
      </c>
      <c r="L202" s="45"/>
      <c r="M202" s="45">
        <v>1334819</v>
      </c>
      <c r="N202" s="45"/>
      <c r="O202" s="45">
        <v>0</v>
      </c>
      <c r="P202" s="45"/>
      <c r="Q202" s="45">
        <f>404558+337471</f>
        <v>742029</v>
      </c>
      <c r="R202" s="45"/>
      <c r="S202" s="44">
        <f t="shared" si="5"/>
        <v>-1464204</v>
      </c>
      <c r="T202" s="45"/>
      <c r="U202" s="45">
        <v>30386984</v>
      </c>
      <c r="V202" s="35"/>
      <c r="W202" s="45">
        <v>83882</v>
      </c>
    </row>
    <row r="203" spans="1:24" s="49" customFormat="1" ht="12.75" customHeight="1">
      <c r="A203" s="44" t="s">
        <v>232</v>
      </c>
      <c r="C203" s="44" t="s">
        <v>27</v>
      </c>
      <c r="D203" s="35"/>
      <c r="E203" s="45">
        <v>4266965</v>
      </c>
      <c r="F203" s="45"/>
      <c r="G203" s="45">
        <v>8311273</v>
      </c>
      <c r="H203" s="45"/>
      <c r="I203" s="45">
        <v>0</v>
      </c>
      <c r="J203" s="45"/>
      <c r="K203" s="45">
        <v>509197</v>
      </c>
      <c r="L203" s="45"/>
      <c r="M203" s="45">
        <v>2226645</v>
      </c>
      <c r="N203" s="45"/>
      <c r="O203" s="45">
        <v>86979</v>
      </c>
      <c r="P203" s="45"/>
      <c r="Q203" s="45">
        <f>474395+644684</f>
        <v>1119079</v>
      </c>
      <c r="R203" s="45"/>
      <c r="S203" s="44">
        <f t="shared" si="5"/>
        <v>501219</v>
      </c>
      <c r="T203" s="45"/>
      <c r="U203" s="45">
        <v>17021357</v>
      </c>
      <c r="V203" s="35"/>
      <c r="W203" s="45">
        <v>10707</v>
      </c>
    </row>
    <row r="204" spans="1:24" s="49" customFormat="1" ht="12.75" customHeight="1">
      <c r="A204" s="44" t="s">
        <v>233</v>
      </c>
      <c r="C204" s="44" t="s">
        <v>111</v>
      </c>
      <c r="D204" s="35"/>
      <c r="E204" s="45">
        <v>733536</v>
      </c>
      <c r="F204" s="45"/>
      <c r="G204" s="45">
        <v>6259293</v>
      </c>
      <c r="H204" s="45"/>
      <c r="I204" s="45">
        <v>0</v>
      </c>
      <c r="J204" s="45"/>
      <c r="K204" s="45">
        <v>1231045</v>
      </c>
      <c r="L204" s="45"/>
      <c r="M204" s="45">
        <v>639082</v>
      </c>
      <c r="N204" s="45"/>
      <c r="O204" s="45">
        <v>28741</v>
      </c>
      <c r="P204" s="45"/>
      <c r="Q204" s="45">
        <v>349461</v>
      </c>
      <c r="R204" s="45"/>
      <c r="S204" s="44">
        <f t="shared" si="5"/>
        <v>461011</v>
      </c>
      <c r="T204" s="45"/>
      <c r="U204" s="45">
        <v>9702169</v>
      </c>
      <c r="V204" s="35"/>
      <c r="W204" s="45">
        <v>0</v>
      </c>
    </row>
    <row r="205" spans="1:24" s="49" customFormat="1" ht="12.75" customHeight="1">
      <c r="A205" s="44" t="s">
        <v>234</v>
      </c>
      <c r="C205" s="44" t="s">
        <v>45</v>
      </c>
      <c r="D205" s="35"/>
      <c r="E205" s="45">
        <v>1477370</v>
      </c>
      <c r="F205" s="45"/>
      <c r="G205" s="45">
        <v>13080829</v>
      </c>
      <c r="H205" s="45"/>
      <c r="I205" s="45">
        <v>0</v>
      </c>
      <c r="J205" s="45"/>
      <c r="K205" s="45">
        <v>377922</v>
      </c>
      <c r="L205" s="45"/>
      <c r="M205" s="45">
        <v>1418837</v>
      </c>
      <c r="N205" s="45"/>
      <c r="O205" s="45">
        <v>0</v>
      </c>
      <c r="P205" s="45"/>
      <c r="Q205" s="45">
        <f>329171+392739</f>
        <v>721910</v>
      </c>
      <c r="R205" s="45"/>
      <c r="S205" s="44">
        <f t="shared" si="5"/>
        <v>387177</v>
      </c>
      <c r="T205" s="45"/>
      <c r="U205" s="45">
        <v>17464045</v>
      </c>
      <c r="V205" s="35"/>
      <c r="W205" s="45">
        <v>6855</v>
      </c>
    </row>
    <row r="206" spans="1:24" s="49" customFormat="1" ht="12.75" customHeight="1">
      <c r="A206" s="44" t="s">
        <v>235</v>
      </c>
      <c r="C206" s="44" t="s">
        <v>183</v>
      </c>
      <c r="D206" s="35"/>
      <c r="E206" s="45">
        <v>0</v>
      </c>
      <c r="F206" s="45"/>
      <c r="G206" s="45">
        <v>24909668</v>
      </c>
      <c r="H206" s="45"/>
      <c r="I206" s="45">
        <f>268724+3818514</f>
        <v>4087238</v>
      </c>
      <c r="J206" s="45"/>
      <c r="K206" s="45">
        <v>1069148</v>
      </c>
      <c r="L206" s="45"/>
      <c r="M206" s="45">
        <v>768035</v>
      </c>
      <c r="N206" s="45"/>
      <c r="O206" s="45">
        <v>0</v>
      </c>
      <c r="P206" s="45"/>
      <c r="Q206" s="45">
        <v>989796</v>
      </c>
      <c r="R206" s="45"/>
      <c r="S206" s="44">
        <f t="shared" si="5"/>
        <v>3607711</v>
      </c>
      <c r="T206" s="45"/>
      <c r="U206" s="45">
        <v>35431596</v>
      </c>
      <c r="V206" s="35"/>
      <c r="W206" s="45">
        <f>285008+35186</f>
        <v>320194</v>
      </c>
    </row>
    <row r="207" spans="1:24" s="49" customFormat="1" ht="12.75" customHeight="1">
      <c r="A207" s="44" t="s">
        <v>236</v>
      </c>
      <c r="C207" s="44" t="s">
        <v>45</v>
      </c>
      <c r="D207" s="35"/>
      <c r="E207" s="45">
        <v>11174327</v>
      </c>
      <c r="F207" s="45"/>
      <c r="G207" s="45">
        <v>0</v>
      </c>
      <c r="H207" s="45"/>
      <c r="I207" s="45">
        <v>0</v>
      </c>
      <c r="J207" s="45"/>
      <c r="K207" s="45">
        <v>179429</v>
      </c>
      <c r="L207" s="45"/>
      <c r="M207" s="45">
        <v>621812</v>
      </c>
      <c r="N207" s="45"/>
      <c r="O207" s="45">
        <v>0</v>
      </c>
      <c r="P207" s="45"/>
      <c r="Q207" s="45">
        <f>69358+56190</f>
        <v>125548</v>
      </c>
      <c r="R207" s="45"/>
      <c r="S207" s="44">
        <f t="shared" si="5"/>
        <v>287348</v>
      </c>
      <c r="T207" s="45"/>
      <c r="U207" s="45">
        <v>12388464</v>
      </c>
      <c r="V207" s="35"/>
      <c r="W207" s="45">
        <v>16078</v>
      </c>
    </row>
    <row r="208" spans="1:24" s="49" customFormat="1" ht="12.75" customHeight="1">
      <c r="A208" s="44" t="s">
        <v>237</v>
      </c>
      <c r="C208" s="44" t="s">
        <v>33</v>
      </c>
      <c r="D208" s="35"/>
      <c r="E208" s="45">
        <v>435199</v>
      </c>
      <c r="F208" s="45"/>
      <c r="G208" s="45">
        <v>0</v>
      </c>
      <c r="H208" s="45"/>
      <c r="I208" s="45">
        <v>0</v>
      </c>
      <c r="J208" s="45"/>
      <c r="K208" s="45">
        <v>0</v>
      </c>
      <c r="L208" s="45"/>
      <c r="M208" s="45">
        <v>809919</v>
      </c>
      <c r="N208" s="45"/>
      <c r="O208" s="45">
        <v>0</v>
      </c>
      <c r="P208" s="45"/>
      <c r="Q208" s="45">
        <f>112587+8036</f>
        <v>120623</v>
      </c>
      <c r="R208" s="45"/>
      <c r="S208" s="44">
        <f t="shared" si="5"/>
        <v>118614</v>
      </c>
      <c r="T208" s="45"/>
      <c r="U208" s="45">
        <v>1484355</v>
      </c>
      <c r="V208" s="35"/>
      <c r="W208" s="45">
        <v>0</v>
      </c>
    </row>
    <row r="209" spans="1:23" s="49" customFormat="1" ht="12.75" customHeight="1">
      <c r="A209" s="44" t="s">
        <v>238</v>
      </c>
      <c r="C209" s="44" t="s">
        <v>239</v>
      </c>
      <c r="D209" s="35"/>
      <c r="E209" s="45">
        <v>1106797</v>
      </c>
      <c r="F209" s="45"/>
      <c r="G209" s="45">
        <v>1883774</v>
      </c>
      <c r="H209" s="45"/>
      <c r="I209" s="45">
        <v>0</v>
      </c>
      <c r="J209" s="45"/>
      <c r="K209" s="45">
        <v>377806</v>
      </c>
      <c r="L209" s="45"/>
      <c r="M209" s="45">
        <v>648360</v>
      </c>
      <c r="N209" s="45"/>
      <c r="O209" s="45">
        <v>0</v>
      </c>
      <c r="P209" s="45"/>
      <c r="Q209" s="45">
        <f>101632+14344</f>
        <v>115976</v>
      </c>
      <c r="R209" s="45"/>
      <c r="S209" s="44">
        <f t="shared" si="5"/>
        <v>374246</v>
      </c>
      <c r="T209" s="45"/>
      <c r="U209" s="45">
        <v>4506959</v>
      </c>
      <c r="V209" s="35"/>
      <c r="W209" s="45">
        <v>0</v>
      </c>
    </row>
    <row r="210" spans="1:23" s="49" customFormat="1" ht="12.75" customHeight="1">
      <c r="A210" s="44" t="s">
        <v>486</v>
      </c>
      <c r="C210" s="44" t="s">
        <v>249</v>
      </c>
      <c r="D210" s="35"/>
      <c r="E210" s="45">
        <v>1146976</v>
      </c>
      <c r="F210" s="45"/>
      <c r="G210" s="45">
        <v>7783318</v>
      </c>
      <c r="H210" s="45"/>
      <c r="I210" s="45">
        <v>0</v>
      </c>
      <c r="J210" s="45"/>
      <c r="K210" s="45">
        <v>99086</v>
      </c>
      <c r="L210" s="45"/>
      <c r="M210" s="45">
        <v>1909192</v>
      </c>
      <c r="N210" s="45"/>
      <c r="O210" s="45">
        <v>0</v>
      </c>
      <c r="P210" s="45"/>
      <c r="Q210" s="45">
        <f>456842+343711</f>
        <v>800553</v>
      </c>
      <c r="R210" s="45"/>
      <c r="S210" s="44">
        <f t="shared" si="5"/>
        <v>345305</v>
      </c>
      <c r="T210" s="45"/>
      <c r="U210" s="45">
        <v>12084430</v>
      </c>
      <c r="V210" s="35"/>
      <c r="W210" s="45">
        <v>0</v>
      </c>
    </row>
    <row r="211" spans="1:23" s="49" customFormat="1" ht="12.75" customHeight="1">
      <c r="A211" s="44" t="s">
        <v>240</v>
      </c>
      <c r="C211" s="44" t="s">
        <v>13</v>
      </c>
      <c r="D211" s="35"/>
      <c r="E211" s="45">
        <v>5044854</v>
      </c>
      <c r="F211" s="45"/>
      <c r="G211" s="45">
        <v>8157198</v>
      </c>
      <c r="H211" s="45"/>
      <c r="I211" s="45">
        <v>0</v>
      </c>
      <c r="J211" s="45"/>
      <c r="K211" s="45">
        <v>321175</v>
      </c>
      <c r="L211" s="45"/>
      <c r="M211" s="45">
        <v>3329384</v>
      </c>
      <c r="N211" s="45"/>
      <c r="O211" s="45">
        <v>0</v>
      </c>
      <c r="P211" s="45"/>
      <c r="Q211" s="45">
        <f>745026+2026838</f>
        <v>2771864</v>
      </c>
      <c r="R211" s="45"/>
      <c r="S211" s="44">
        <f t="shared" si="5"/>
        <v>1030594</v>
      </c>
      <c r="T211" s="45"/>
      <c r="U211" s="45">
        <v>20655069</v>
      </c>
      <c r="V211" s="35"/>
      <c r="W211" s="45">
        <v>750000</v>
      </c>
    </row>
    <row r="212" spans="1:23" s="49" customFormat="1" ht="12.75" customHeight="1">
      <c r="A212" s="44" t="s">
        <v>241</v>
      </c>
      <c r="C212" s="44" t="s">
        <v>22</v>
      </c>
      <c r="D212" s="35"/>
      <c r="E212" s="45">
        <v>1305274</v>
      </c>
      <c r="F212" s="45"/>
      <c r="G212" s="45">
        <v>7136221</v>
      </c>
      <c r="H212" s="45"/>
      <c r="I212" s="45">
        <v>0</v>
      </c>
      <c r="J212" s="45"/>
      <c r="K212" s="45">
        <v>400171</v>
      </c>
      <c r="L212" s="45"/>
      <c r="M212" s="45">
        <v>379715</v>
      </c>
      <c r="N212" s="45"/>
      <c r="O212" s="45">
        <v>0</v>
      </c>
      <c r="P212" s="45"/>
      <c r="Q212" s="45">
        <f>261373+63068</f>
        <v>324441</v>
      </c>
      <c r="R212" s="45"/>
      <c r="S212" s="44">
        <f t="shared" si="5"/>
        <v>507643</v>
      </c>
      <c r="T212" s="45"/>
      <c r="U212" s="45">
        <v>10053465</v>
      </c>
      <c r="V212" s="35"/>
      <c r="W212" s="45">
        <v>9033</v>
      </c>
    </row>
    <row r="213" spans="1:23" s="49" customFormat="1" ht="12.75" customHeight="1">
      <c r="A213" s="44" t="s">
        <v>242</v>
      </c>
      <c r="C213" s="44" t="s">
        <v>27</v>
      </c>
      <c r="D213" s="35"/>
      <c r="E213" s="45">
        <v>546972</v>
      </c>
      <c r="F213" s="45"/>
      <c r="G213" s="45">
        <v>23247208</v>
      </c>
      <c r="H213" s="45"/>
      <c r="I213" s="45">
        <v>2265750</v>
      </c>
      <c r="J213" s="45"/>
      <c r="K213" s="45">
        <v>246844</v>
      </c>
      <c r="L213" s="45"/>
      <c r="M213" s="45">
        <v>1483463</v>
      </c>
      <c r="N213" s="45"/>
      <c r="O213" s="45">
        <v>0</v>
      </c>
      <c r="P213" s="45"/>
      <c r="Q213" s="45">
        <v>1387568</v>
      </c>
      <c r="R213" s="45"/>
      <c r="S213" s="44">
        <f t="shared" si="5"/>
        <v>716432</v>
      </c>
      <c r="T213" s="45"/>
      <c r="U213" s="45">
        <v>29894237</v>
      </c>
      <c r="V213" s="35"/>
      <c r="W213" s="45">
        <v>26320</v>
      </c>
    </row>
    <row r="214" spans="1:23" s="49" customFormat="1" ht="12.75" customHeight="1">
      <c r="A214" s="44" t="s">
        <v>243</v>
      </c>
      <c r="C214" s="44" t="s">
        <v>163</v>
      </c>
      <c r="D214" s="35"/>
      <c r="E214" s="45">
        <v>1043324</v>
      </c>
      <c r="F214" s="45"/>
      <c r="G214" s="45">
        <v>1352797</v>
      </c>
      <c r="H214" s="45"/>
      <c r="I214" s="45">
        <v>0</v>
      </c>
      <c r="J214" s="45"/>
      <c r="K214" s="45">
        <v>509218</v>
      </c>
      <c r="L214" s="45"/>
      <c r="M214" s="45">
        <v>1768571</v>
      </c>
      <c r="N214" s="45"/>
      <c r="O214" s="45">
        <v>0</v>
      </c>
      <c r="P214" s="45"/>
      <c r="Q214" s="45">
        <f>301331+857060</f>
        <v>1158391</v>
      </c>
      <c r="R214" s="45"/>
      <c r="S214" s="44">
        <f t="shared" si="5"/>
        <v>255419</v>
      </c>
      <c r="T214" s="45"/>
      <c r="U214" s="45">
        <v>6087720</v>
      </c>
      <c r="V214" s="35"/>
      <c r="W214" s="45">
        <v>5705000</v>
      </c>
    </row>
    <row r="215" spans="1:23" s="49" customFormat="1" ht="12.75" customHeight="1">
      <c r="A215" s="44" t="s">
        <v>244</v>
      </c>
      <c r="C215" s="44" t="s">
        <v>13</v>
      </c>
      <c r="D215" s="35"/>
      <c r="E215" s="45">
        <v>753935</v>
      </c>
      <c r="F215" s="45"/>
      <c r="G215" s="45">
        <v>7156634</v>
      </c>
      <c r="H215" s="45"/>
      <c r="I215" s="45">
        <v>0</v>
      </c>
      <c r="J215" s="45"/>
      <c r="K215" s="45">
        <v>1526574</v>
      </c>
      <c r="L215" s="45"/>
      <c r="M215" s="45">
        <v>1728863</v>
      </c>
      <c r="N215" s="45"/>
      <c r="O215" s="45">
        <v>1495</v>
      </c>
      <c r="P215" s="45"/>
      <c r="Q215" s="45">
        <v>422853</v>
      </c>
      <c r="R215" s="45"/>
      <c r="S215" s="44">
        <f t="shared" si="5"/>
        <v>252277</v>
      </c>
      <c r="T215" s="45"/>
      <c r="U215" s="45">
        <v>11842631</v>
      </c>
      <c r="V215" s="35"/>
      <c r="W215" s="45">
        <v>0</v>
      </c>
    </row>
    <row r="216" spans="1:23" s="46" customFormat="1" ht="12.75" customHeight="1">
      <c r="A216" s="44" t="s">
        <v>245</v>
      </c>
      <c r="B216" s="49"/>
      <c r="C216" s="44" t="s">
        <v>110</v>
      </c>
      <c r="D216" s="35"/>
      <c r="E216" s="45">
        <v>1055537</v>
      </c>
      <c r="F216" s="45"/>
      <c r="G216" s="45">
        <v>6529259</v>
      </c>
      <c r="H216" s="45"/>
      <c r="I216" s="45">
        <v>0</v>
      </c>
      <c r="J216" s="45"/>
      <c r="K216" s="45">
        <v>557497</v>
      </c>
      <c r="L216" s="45"/>
      <c r="M216" s="45">
        <v>2566079</v>
      </c>
      <c r="N216" s="45"/>
      <c r="O216" s="45">
        <v>0</v>
      </c>
      <c r="P216" s="45"/>
      <c r="Q216" s="45">
        <f>30191+292535</f>
        <v>322726</v>
      </c>
      <c r="R216" s="45"/>
      <c r="S216" s="44">
        <f t="shared" si="5"/>
        <v>369722</v>
      </c>
      <c r="T216" s="45"/>
      <c r="U216" s="45">
        <v>11400820</v>
      </c>
      <c r="V216" s="35"/>
      <c r="W216" s="45">
        <v>0</v>
      </c>
    </row>
    <row r="217" spans="1:23" s="49" customFormat="1" ht="12.75" customHeight="1">
      <c r="A217" s="44" t="s">
        <v>246</v>
      </c>
      <c r="C217" s="44" t="s">
        <v>209</v>
      </c>
      <c r="D217" s="35"/>
      <c r="E217" s="45">
        <v>2410382</v>
      </c>
      <c r="F217" s="45"/>
      <c r="G217" s="45">
        <v>0</v>
      </c>
      <c r="H217" s="45"/>
      <c r="I217" s="45">
        <v>0</v>
      </c>
      <c r="J217" s="45"/>
      <c r="K217" s="45">
        <v>1374717</v>
      </c>
      <c r="L217" s="45"/>
      <c r="M217" s="45">
        <v>1315357</v>
      </c>
      <c r="N217" s="45"/>
      <c r="O217" s="45">
        <v>746</v>
      </c>
      <c r="P217" s="45"/>
      <c r="Q217" s="45">
        <f>12678+15194</f>
        <v>27872</v>
      </c>
      <c r="R217" s="45"/>
      <c r="S217" s="44">
        <f t="shared" si="5"/>
        <v>440808</v>
      </c>
      <c r="T217" s="45"/>
      <c r="U217" s="45">
        <v>5569882</v>
      </c>
      <c r="V217" s="35"/>
      <c r="W217" s="45">
        <v>0</v>
      </c>
    </row>
    <row r="218" spans="1:23" s="49" customFormat="1" ht="12.75" customHeight="1">
      <c r="A218" s="44" t="s">
        <v>247</v>
      </c>
      <c r="C218" s="44" t="s">
        <v>163</v>
      </c>
      <c r="D218" s="35"/>
      <c r="E218" s="45">
        <v>13612000</v>
      </c>
      <c r="F218" s="45"/>
      <c r="G218" s="45">
        <v>141554000</v>
      </c>
      <c r="H218" s="45"/>
      <c r="I218" s="45">
        <v>0</v>
      </c>
      <c r="J218" s="45"/>
      <c r="K218" s="45">
        <v>19401000</v>
      </c>
      <c r="L218" s="45"/>
      <c r="M218" s="45">
        <v>24376000</v>
      </c>
      <c r="N218" s="45"/>
      <c r="O218" s="45">
        <v>0</v>
      </c>
      <c r="P218" s="45"/>
      <c r="Q218" s="45">
        <f>2079000+4776000</f>
        <v>6855000</v>
      </c>
      <c r="R218" s="45"/>
      <c r="S218" s="44">
        <f t="shared" si="5"/>
        <v>8201000</v>
      </c>
      <c r="T218" s="45"/>
      <c r="U218" s="45">
        <v>213999000</v>
      </c>
      <c r="V218" s="35"/>
      <c r="W218" s="45">
        <f>1943000+12200000+2000</f>
        <v>14145000</v>
      </c>
    </row>
    <row r="219" spans="1:23" s="49" customFormat="1" ht="12.75" customHeight="1">
      <c r="A219" s="44" t="s">
        <v>248</v>
      </c>
      <c r="C219" s="44" t="s">
        <v>249</v>
      </c>
      <c r="D219" s="35"/>
      <c r="E219" s="45">
        <v>115377</v>
      </c>
      <c r="F219" s="45"/>
      <c r="G219" s="45">
        <v>2154010</v>
      </c>
      <c r="H219" s="45"/>
      <c r="I219" s="45">
        <v>0</v>
      </c>
      <c r="J219" s="45"/>
      <c r="K219" s="45">
        <v>3050</v>
      </c>
      <c r="L219" s="45"/>
      <c r="M219" s="45">
        <v>446535</v>
      </c>
      <c r="N219" s="45"/>
      <c r="O219" s="45">
        <v>0</v>
      </c>
      <c r="P219" s="45"/>
      <c r="Q219" s="45">
        <f>34642+17641</f>
        <v>52283</v>
      </c>
      <c r="R219" s="45"/>
      <c r="S219" s="44">
        <f t="shared" si="5"/>
        <v>48990</v>
      </c>
      <c r="T219" s="45"/>
      <c r="U219" s="45">
        <v>2820245</v>
      </c>
      <c r="V219" s="35"/>
      <c r="W219" s="45">
        <v>0</v>
      </c>
    </row>
    <row r="220" spans="1:23" s="49" customFormat="1" ht="12.75" customHeight="1">
      <c r="A220" s="44" t="s">
        <v>250</v>
      </c>
      <c r="C220" s="44" t="s">
        <v>103</v>
      </c>
      <c r="D220" s="35"/>
      <c r="E220" s="45">
        <v>535121</v>
      </c>
      <c r="F220" s="45"/>
      <c r="G220" s="45">
        <v>1516298</v>
      </c>
      <c r="H220" s="45"/>
      <c r="I220" s="45">
        <v>0</v>
      </c>
      <c r="J220" s="45"/>
      <c r="K220" s="45">
        <v>110148</v>
      </c>
      <c r="L220" s="45"/>
      <c r="M220" s="45">
        <v>434855</v>
      </c>
      <c r="N220" s="45"/>
      <c r="O220" s="45">
        <v>86540</v>
      </c>
      <c r="P220" s="45"/>
      <c r="Q220" s="45">
        <f>91290+193414</f>
        <v>284704</v>
      </c>
      <c r="R220" s="45"/>
      <c r="S220" s="44">
        <f t="shared" si="5"/>
        <v>165424</v>
      </c>
      <c r="T220" s="45"/>
      <c r="U220" s="45">
        <v>3133090</v>
      </c>
      <c r="V220" s="35"/>
      <c r="W220" s="45">
        <f>12124+4150</f>
        <v>16274</v>
      </c>
    </row>
    <row r="221" spans="1:23" s="49" customFormat="1" ht="12.75" customHeight="1">
      <c r="A221" s="44" t="s">
        <v>251</v>
      </c>
      <c r="C221" s="44" t="s">
        <v>66</v>
      </c>
      <c r="D221" s="35"/>
      <c r="E221" s="45">
        <v>6677635</v>
      </c>
      <c r="F221" s="45"/>
      <c r="G221" s="45">
        <v>0</v>
      </c>
      <c r="H221" s="45"/>
      <c r="I221" s="45">
        <v>0</v>
      </c>
      <c r="J221" s="45"/>
      <c r="K221" s="45">
        <v>303980</v>
      </c>
      <c r="L221" s="45"/>
      <c r="M221" s="45">
        <v>1347783</v>
      </c>
      <c r="N221" s="45"/>
      <c r="O221" s="45">
        <v>19664</v>
      </c>
      <c r="P221" s="45"/>
      <c r="Q221" s="45">
        <v>549451</v>
      </c>
      <c r="R221" s="45"/>
      <c r="S221" s="44">
        <f t="shared" si="5"/>
        <v>305939</v>
      </c>
      <c r="T221" s="45"/>
      <c r="U221" s="45">
        <v>9204452</v>
      </c>
      <c r="V221" s="35"/>
      <c r="W221" s="45">
        <f>11657+20000</f>
        <v>31657</v>
      </c>
    </row>
    <row r="222" spans="1:23" s="49" customFormat="1" ht="12.75" customHeight="1">
      <c r="A222" s="44" t="s">
        <v>252</v>
      </c>
      <c r="C222" s="44" t="s">
        <v>209</v>
      </c>
      <c r="D222" s="35"/>
      <c r="E222" s="45">
        <v>12817528</v>
      </c>
      <c r="F222" s="45"/>
      <c r="G222" s="45">
        <v>0</v>
      </c>
      <c r="H222" s="45"/>
      <c r="I222" s="45">
        <v>0</v>
      </c>
      <c r="J222" s="45"/>
      <c r="K222" s="45">
        <v>2538050</v>
      </c>
      <c r="L222" s="45"/>
      <c r="M222" s="45">
        <v>1874161</v>
      </c>
      <c r="N222" s="45"/>
      <c r="O222" s="45">
        <v>12363</v>
      </c>
      <c r="P222" s="45"/>
      <c r="Q222" s="45">
        <v>72094</v>
      </c>
      <c r="R222" s="45"/>
      <c r="S222" s="44">
        <f t="shared" si="5"/>
        <v>1365207</v>
      </c>
      <c r="T222" s="45"/>
      <c r="U222" s="45">
        <v>18679403</v>
      </c>
      <c r="V222" s="35"/>
      <c r="W222" s="45">
        <f>18615+1783264</f>
        <v>1801879</v>
      </c>
    </row>
    <row r="223" spans="1:23" s="49" customFormat="1" ht="12.75" customHeight="1">
      <c r="A223" s="44" t="s">
        <v>253</v>
      </c>
      <c r="C223" s="44" t="s">
        <v>13</v>
      </c>
      <c r="D223" s="35"/>
      <c r="E223" s="45">
        <v>0</v>
      </c>
      <c r="F223" s="45"/>
      <c r="G223" s="45">
        <v>16646073</v>
      </c>
      <c r="H223" s="45"/>
      <c r="I223" s="45">
        <v>113192</v>
      </c>
      <c r="J223" s="45"/>
      <c r="K223" s="45">
        <v>1437621</v>
      </c>
      <c r="L223" s="45"/>
      <c r="M223" s="45">
        <v>941464</v>
      </c>
      <c r="N223" s="45"/>
      <c r="O223" s="45">
        <v>0</v>
      </c>
      <c r="P223" s="45"/>
      <c r="Q223" s="45">
        <f>332374+117711</f>
        <v>450085</v>
      </c>
      <c r="R223" s="45"/>
      <c r="S223" s="44">
        <f t="shared" si="5"/>
        <v>962394</v>
      </c>
      <c r="T223" s="45"/>
      <c r="U223" s="45">
        <v>20550829</v>
      </c>
      <c r="V223" s="35"/>
      <c r="W223" s="45">
        <v>0</v>
      </c>
    </row>
    <row r="224" spans="1:23" s="49" customFormat="1" ht="12.75" customHeight="1">
      <c r="A224" s="44" t="s">
        <v>254</v>
      </c>
      <c r="C224" s="44" t="s">
        <v>89</v>
      </c>
      <c r="D224" s="35"/>
      <c r="E224" s="45">
        <v>309252</v>
      </c>
      <c r="F224" s="45"/>
      <c r="G224" s="45">
        <v>920091</v>
      </c>
      <c r="H224" s="45"/>
      <c r="I224" s="45">
        <v>0</v>
      </c>
      <c r="J224" s="45"/>
      <c r="K224" s="45">
        <v>18612</v>
      </c>
      <c r="L224" s="45"/>
      <c r="M224" s="45">
        <v>272011</v>
      </c>
      <c r="N224" s="45"/>
      <c r="O224" s="45">
        <v>0</v>
      </c>
      <c r="P224" s="45"/>
      <c r="Q224" s="45">
        <f>42813+15449</f>
        <v>58262</v>
      </c>
      <c r="R224" s="45"/>
      <c r="S224" s="44">
        <f t="shared" si="5"/>
        <v>22927</v>
      </c>
      <c r="T224" s="45"/>
      <c r="U224" s="45">
        <v>1601155</v>
      </c>
      <c r="V224" s="35"/>
      <c r="W224" s="45">
        <v>0</v>
      </c>
    </row>
    <row r="225" spans="1:23" s="49" customFormat="1" ht="12.75" customHeight="1">
      <c r="A225" s="44" t="s">
        <v>159</v>
      </c>
      <c r="C225" s="44" t="s">
        <v>66</v>
      </c>
      <c r="D225" s="35"/>
      <c r="E225" s="45">
        <v>655084</v>
      </c>
      <c r="F225" s="45"/>
      <c r="G225" s="45">
        <v>0</v>
      </c>
      <c r="H225" s="45"/>
      <c r="I225" s="45">
        <v>0</v>
      </c>
      <c r="J225" s="45"/>
      <c r="K225" s="45">
        <v>64289</v>
      </c>
      <c r="L225" s="45"/>
      <c r="M225" s="45">
        <v>163694</v>
      </c>
      <c r="N225" s="45"/>
      <c r="O225" s="45">
        <v>0</v>
      </c>
      <c r="P225" s="45"/>
      <c r="Q225" s="45">
        <v>27503</v>
      </c>
      <c r="R225" s="45"/>
      <c r="S225" s="44">
        <f t="shared" si="5"/>
        <v>191081</v>
      </c>
      <c r="T225" s="45"/>
      <c r="U225" s="45">
        <v>1101651</v>
      </c>
      <c r="V225" s="35"/>
      <c r="W225" s="45">
        <v>1635</v>
      </c>
    </row>
    <row r="226" spans="1:23" s="49" customFormat="1" ht="12.75" customHeight="1">
      <c r="A226" s="44" t="s">
        <v>255</v>
      </c>
      <c r="C226" s="44" t="s">
        <v>27</v>
      </c>
      <c r="D226" s="35"/>
      <c r="E226" s="45">
        <v>2618452</v>
      </c>
      <c r="F226" s="45"/>
      <c r="G226" s="45">
        <v>9118044</v>
      </c>
      <c r="H226" s="45"/>
      <c r="I226" s="45">
        <v>0</v>
      </c>
      <c r="J226" s="45"/>
      <c r="K226" s="45">
        <v>563033</v>
      </c>
      <c r="L226" s="45"/>
      <c r="M226" s="45">
        <v>439264</v>
      </c>
      <c r="N226" s="45"/>
      <c r="O226" s="45">
        <v>31844</v>
      </c>
      <c r="P226" s="45"/>
      <c r="Q226" s="45">
        <v>473809</v>
      </c>
      <c r="R226" s="45"/>
      <c r="S226" s="44">
        <f t="shared" si="5"/>
        <v>66151</v>
      </c>
      <c r="T226" s="45"/>
      <c r="U226" s="45">
        <v>13310597</v>
      </c>
      <c r="V226" s="35"/>
      <c r="W226" s="45">
        <v>2222</v>
      </c>
    </row>
    <row r="227" spans="1:23" s="44" customFormat="1" ht="12.75" customHeight="1">
      <c r="A227" s="44" t="s">
        <v>256</v>
      </c>
      <c r="C227" s="44" t="s">
        <v>43</v>
      </c>
      <c r="D227" s="35"/>
      <c r="E227" s="45">
        <v>8270326</v>
      </c>
      <c r="F227" s="45"/>
      <c r="G227" s="45">
        <v>12915601</v>
      </c>
      <c r="H227" s="45"/>
      <c r="I227" s="45">
        <v>4175460</v>
      </c>
      <c r="J227" s="45"/>
      <c r="K227" s="45">
        <v>1601835</v>
      </c>
      <c r="L227" s="45"/>
      <c r="M227" s="45">
        <v>3258305</v>
      </c>
      <c r="N227" s="45"/>
      <c r="O227" s="45">
        <v>0</v>
      </c>
      <c r="P227" s="45"/>
      <c r="Q227" s="45">
        <v>362334</v>
      </c>
      <c r="R227" s="45"/>
      <c r="S227" s="44">
        <f t="shared" si="5"/>
        <v>2429425</v>
      </c>
      <c r="T227" s="45"/>
      <c r="U227" s="45">
        <v>33013286</v>
      </c>
      <c r="V227" s="35"/>
      <c r="W227" s="45">
        <v>64259</v>
      </c>
    </row>
    <row r="228" spans="1:23" s="49" customFormat="1" ht="12.75" customHeight="1">
      <c r="A228" s="44" t="s">
        <v>257</v>
      </c>
      <c r="B228" s="44"/>
      <c r="C228" s="44" t="s">
        <v>258</v>
      </c>
      <c r="D228" s="44"/>
      <c r="E228" s="45">
        <v>377553</v>
      </c>
      <c r="F228" s="45"/>
      <c r="G228" s="45">
        <v>1745526</v>
      </c>
      <c r="H228" s="45"/>
      <c r="I228" s="45">
        <v>0</v>
      </c>
      <c r="J228" s="45"/>
      <c r="K228" s="45">
        <v>32342</v>
      </c>
      <c r="L228" s="45"/>
      <c r="M228" s="45">
        <v>440667</v>
      </c>
      <c r="N228" s="45"/>
      <c r="O228" s="45">
        <v>0</v>
      </c>
      <c r="P228" s="45"/>
      <c r="Q228" s="45">
        <f>56115+514764</f>
        <v>570879</v>
      </c>
      <c r="R228" s="45"/>
      <c r="S228" s="44">
        <f t="shared" si="5"/>
        <v>134756</v>
      </c>
      <c r="T228" s="45"/>
      <c r="U228" s="45">
        <v>3301723</v>
      </c>
      <c r="V228" s="35"/>
      <c r="W228" s="45">
        <v>0</v>
      </c>
    </row>
    <row r="229" spans="1:23" s="49" customFormat="1" ht="12.75" customHeight="1">
      <c r="A229" s="44" t="s">
        <v>259</v>
      </c>
      <c r="C229" s="44" t="s">
        <v>260</v>
      </c>
      <c r="D229" s="35"/>
      <c r="E229" s="45">
        <v>464688</v>
      </c>
      <c r="F229" s="45"/>
      <c r="G229" s="45">
        <v>2533107</v>
      </c>
      <c r="H229" s="45"/>
      <c r="I229" s="45">
        <v>0</v>
      </c>
      <c r="J229" s="45"/>
      <c r="K229" s="45">
        <v>794174</v>
      </c>
      <c r="L229" s="45"/>
      <c r="M229" s="45">
        <v>816948</v>
      </c>
      <c r="N229" s="45"/>
      <c r="O229" s="45">
        <v>0</v>
      </c>
      <c r="P229" s="45"/>
      <c r="Q229" s="45">
        <v>697058</v>
      </c>
      <c r="R229" s="45"/>
      <c r="S229" s="44">
        <f t="shared" si="5"/>
        <v>280436</v>
      </c>
      <c r="T229" s="45"/>
      <c r="U229" s="45">
        <v>5586411</v>
      </c>
      <c r="V229" s="35"/>
      <c r="W229" s="45">
        <v>0</v>
      </c>
    </row>
    <row r="230" spans="1:23" s="49" customFormat="1" ht="12.75" customHeight="1">
      <c r="A230" s="44" t="s">
        <v>261</v>
      </c>
      <c r="C230" s="44" t="s">
        <v>66</v>
      </c>
      <c r="D230" s="35"/>
      <c r="E230" s="45">
        <v>1674192</v>
      </c>
      <c r="F230" s="45"/>
      <c r="G230" s="45">
        <v>9377445</v>
      </c>
      <c r="H230" s="45"/>
      <c r="I230" s="45">
        <v>0</v>
      </c>
      <c r="J230" s="45"/>
      <c r="K230" s="45">
        <v>3105321</v>
      </c>
      <c r="L230" s="45"/>
      <c r="M230" s="45">
        <v>2039766</v>
      </c>
      <c r="N230" s="45"/>
      <c r="O230" s="45">
        <v>0</v>
      </c>
      <c r="P230" s="45"/>
      <c r="Q230" s="45">
        <v>1253321</v>
      </c>
      <c r="R230" s="45"/>
      <c r="S230" s="44">
        <f t="shared" si="5"/>
        <v>763397</v>
      </c>
      <c r="T230" s="45"/>
      <c r="U230" s="45">
        <v>18213442</v>
      </c>
      <c r="V230" s="35"/>
      <c r="W230" s="45">
        <v>1179</v>
      </c>
    </row>
    <row r="231" spans="1:23" s="49" customFormat="1" ht="12.75" customHeight="1">
      <c r="A231" s="44" t="s">
        <v>262</v>
      </c>
      <c r="C231" s="44" t="s">
        <v>132</v>
      </c>
      <c r="D231" s="35"/>
      <c r="E231" s="45">
        <v>1911546</v>
      </c>
      <c r="F231" s="45"/>
      <c r="G231" s="45">
        <v>1120417</v>
      </c>
      <c r="H231" s="45"/>
      <c r="I231" s="45">
        <v>731</v>
      </c>
      <c r="J231" s="45"/>
      <c r="K231" s="45">
        <v>73869</v>
      </c>
      <c r="L231" s="45"/>
      <c r="M231" s="45">
        <v>788823</v>
      </c>
      <c r="N231" s="45"/>
      <c r="O231" s="45">
        <v>0</v>
      </c>
      <c r="P231" s="45"/>
      <c r="Q231" s="45">
        <f>204706+354751</f>
        <v>559457</v>
      </c>
      <c r="R231" s="45"/>
      <c r="S231" s="44">
        <f t="shared" si="5"/>
        <v>125148</v>
      </c>
      <c r="T231" s="45"/>
      <c r="U231" s="45">
        <v>4579991</v>
      </c>
      <c r="V231" s="35"/>
      <c r="W231" s="45">
        <f>185501+87925</f>
        <v>273426</v>
      </c>
    </row>
    <row r="232" spans="1:23" s="49" customFormat="1" ht="12.75" customHeight="1">
      <c r="A232" s="44" t="s">
        <v>263</v>
      </c>
      <c r="C232" s="44" t="s">
        <v>53</v>
      </c>
      <c r="D232" s="35"/>
      <c r="E232" s="45">
        <v>1027069</v>
      </c>
      <c r="F232" s="45"/>
      <c r="G232" s="45">
        <v>0</v>
      </c>
      <c r="H232" s="45"/>
      <c r="I232" s="45">
        <v>0</v>
      </c>
      <c r="J232" s="45"/>
      <c r="K232" s="45">
        <v>526520</v>
      </c>
      <c r="L232" s="45"/>
      <c r="M232" s="45">
        <v>2139066</v>
      </c>
      <c r="N232" s="45"/>
      <c r="O232" s="45">
        <v>0</v>
      </c>
      <c r="P232" s="45"/>
      <c r="Q232" s="45">
        <f>644964+9091</f>
        <v>654055</v>
      </c>
      <c r="R232" s="45"/>
      <c r="S232" s="44">
        <f t="shared" si="5"/>
        <v>157703</v>
      </c>
      <c r="T232" s="45"/>
      <c r="U232" s="45">
        <v>4504413</v>
      </c>
      <c r="V232" s="35"/>
      <c r="W232" s="45">
        <v>4800000</v>
      </c>
    </row>
    <row r="233" spans="1:23" s="49" customFormat="1" ht="12.75" customHeight="1">
      <c r="A233" s="44" t="s">
        <v>264</v>
      </c>
      <c r="C233" s="44" t="s">
        <v>239</v>
      </c>
      <c r="D233" s="35"/>
      <c r="E233" s="45">
        <v>362969</v>
      </c>
      <c r="F233" s="45"/>
      <c r="G233" s="45">
        <v>2138100</v>
      </c>
      <c r="H233" s="45"/>
      <c r="I233" s="45">
        <v>604597</v>
      </c>
      <c r="J233" s="45"/>
      <c r="K233" s="45">
        <v>400396</v>
      </c>
      <c r="L233" s="45"/>
      <c r="M233" s="45">
        <v>637637</v>
      </c>
      <c r="N233" s="45"/>
      <c r="O233" s="45">
        <v>0</v>
      </c>
      <c r="P233" s="45"/>
      <c r="Q233" s="45">
        <f>98226+18058</f>
        <v>116284</v>
      </c>
      <c r="R233" s="45"/>
      <c r="S233" s="44">
        <f t="shared" si="5"/>
        <v>172138</v>
      </c>
      <c r="T233" s="45"/>
      <c r="U233" s="45">
        <v>4432121</v>
      </c>
      <c r="V233" s="35"/>
      <c r="W233" s="45">
        <f>368662+1531</f>
        <v>370193</v>
      </c>
    </row>
    <row r="234" spans="1:23" s="49" customFormat="1" ht="12.75" customHeight="1">
      <c r="A234" s="44" t="s">
        <v>111</v>
      </c>
      <c r="C234" s="44" t="s">
        <v>80</v>
      </c>
      <c r="D234" s="35"/>
      <c r="E234" s="45">
        <v>0</v>
      </c>
      <c r="F234" s="45"/>
      <c r="G234" s="45">
        <v>15624357</v>
      </c>
      <c r="H234" s="45"/>
      <c r="I234" s="45">
        <v>0</v>
      </c>
      <c r="J234" s="45"/>
      <c r="K234" s="45">
        <v>2130756</v>
      </c>
      <c r="L234" s="45"/>
      <c r="M234" s="45">
        <v>3002003</v>
      </c>
      <c r="N234" s="45"/>
      <c r="O234" s="45">
        <v>0</v>
      </c>
      <c r="P234" s="45"/>
      <c r="Q234" s="45">
        <f>1986410+1219815</f>
        <v>3206225</v>
      </c>
      <c r="R234" s="45"/>
      <c r="S234" s="44">
        <f t="shared" si="5"/>
        <v>972565</v>
      </c>
      <c r="T234" s="45"/>
      <c r="U234" s="45">
        <v>24935906</v>
      </c>
      <c r="V234" s="35"/>
      <c r="W234" s="45">
        <v>536231</v>
      </c>
    </row>
    <row r="235" spans="1:23" s="49" customFormat="1" ht="12.75" customHeight="1">
      <c r="A235" s="44" t="s">
        <v>265</v>
      </c>
      <c r="C235" s="44" t="s">
        <v>27</v>
      </c>
      <c r="D235" s="35"/>
      <c r="E235" s="45">
        <v>430681</v>
      </c>
      <c r="F235" s="45"/>
      <c r="G235" s="45">
        <v>11099006</v>
      </c>
      <c r="H235" s="45"/>
      <c r="I235" s="45">
        <v>226612</v>
      </c>
      <c r="J235" s="45"/>
      <c r="K235" s="45">
        <v>423884</v>
      </c>
      <c r="L235" s="45"/>
      <c r="M235" s="45">
        <v>1416137</v>
      </c>
      <c r="N235" s="45"/>
      <c r="O235" s="45">
        <v>0</v>
      </c>
      <c r="P235" s="45"/>
      <c r="Q235" s="45">
        <f>262502+209213</f>
        <v>471715</v>
      </c>
      <c r="R235" s="45"/>
      <c r="S235" s="44">
        <f t="shared" si="5"/>
        <v>110387</v>
      </c>
      <c r="T235" s="45"/>
      <c r="U235" s="45">
        <v>14178422</v>
      </c>
      <c r="V235" s="35"/>
      <c r="W235" s="45">
        <f>1960+203314+470000+13395</f>
        <v>688669</v>
      </c>
    </row>
    <row r="236" spans="1:23" s="49" customFormat="1" ht="12.75" customHeight="1">
      <c r="A236" s="44" t="s">
        <v>40</v>
      </c>
      <c r="C236" s="47" t="s">
        <v>451</v>
      </c>
      <c r="D236" s="35"/>
      <c r="E236" s="45">
        <v>463704</v>
      </c>
      <c r="F236" s="45"/>
      <c r="G236" s="45">
        <v>3519474</v>
      </c>
      <c r="H236" s="45"/>
      <c r="I236" s="45">
        <v>0</v>
      </c>
      <c r="J236" s="45"/>
      <c r="K236" s="45">
        <v>967055</v>
      </c>
      <c r="L236" s="45"/>
      <c r="M236" s="45">
        <v>1316587</v>
      </c>
      <c r="N236" s="45"/>
      <c r="O236" s="45">
        <v>0</v>
      </c>
      <c r="P236" s="45"/>
      <c r="Q236" s="45">
        <v>569698</v>
      </c>
      <c r="R236" s="45"/>
      <c r="S236" s="44">
        <f t="shared" si="5"/>
        <v>180795</v>
      </c>
      <c r="T236" s="45"/>
      <c r="U236" s="45">
        <v>7017313</v>
      </c>
      <c r="V236" s="35"/>
      <c r="W236" s="45">
        <v>160000</v>
      </c>
    </row>
    <row r="237" spans="1:23" s="49" customFormat="1" ht="12.75" customHeight="1">
      <c r="A237" s="44" t="s">
        <v>266</v>
      </c>
      <c r="C237" s="44" t="s">
        <v>267</v>
      </c>
      <c r="D237" s="35"/>
      <c r="E237" s="45">
        <v>2047543</v>
      </c>
      <c r="F237" s="45"/>
      <c r="G237" s="45">
        <v>0</v>
      </c>
      <c r="H237" s="45"/>
      <c r="I237" s="45">
        <v>0</v>
      </c>
      <c r="J237" s="45"/>
      <c r="K237" s="45">
        <v>475007</v>
      </c>
      <c r="L237" s="45"/>
      <c r="M237" s="45">
        <v>479980</v>
      </c>
      <c r="N237" s="45"/>
      <c r="O237" s="45">
        <v>0</v>
      </c>
      <c r="P237" s="45"/>
      <c r="Q237" s="45">
        <f>11165+29449</f>
        <v>40614</v>
      </c>
      <c r="R237" s="45"/>
      <c r="S237" s="44">
        <f t="shared" si="5"/>
        <v>102288</v>
      </c>
      <c r="T237" s="45"/>
      <c r="U237" s="45">
        <v>3145432</v>
      </c>
      <c r="V237" s="35"/>
      <c r="W237" s="45">
        <v>87958</v>
      </c>
    </row>
    <row r="238" spans="1:23" s="49" customFormat="1" ht="12.75" customHeight="1">
      <c r="A238" s="44" t="s">
        <v>268</v>
      </c>
      <c r="C238" s="44" t="s">
        <v>269</v>
      </c>
      <c r="D238" s="35"/>
      <c r="E238" s="45">
        <v>1494975</v>
      </c>
      <c r="F238" s="45"/>
      <c r="G238" s="45">
        <v>0</v>
      </c>
      <c r="H238" s="45"/>
      <c r="I238" s="45">
        <v>0</v>
      </c>
      <c r="J238" s="45"/>
      <c r="K238" s="45">
        <v>0</v>
      </c>
      <c r="L238" s="45"/>
      <c r="M238" s="45">
        <v>405711</v>
      </c>
      <c r="N238" s="45"/>
      <c r="O238" s="45">
        <v>0</v>
      </c>
      <c r="P238" s="45"/>
      <c r="Q238" s="45">
        <f>1824+135695</f>
        <v>137519</v>
      </c>
      <c r="R238" s="45"/>
      <c r="S238" s="44">
        <f t="shared" si="5"/>
        <v>28215</v>
      </c>
      <c r="T238" s="45"/>
      <c r="U238" s="45">
        <v>2066420</v>
      </c>
      <c r="V238" s="35"/>
      <c r="W238" s="45">
        <v>0</v>
      </c>
    </row>
    <row r="239" spans="1:23" s="49" customFormat="1" ht="12.75" customHeight="1">
      <c r="A239" s="44" t="s">
        <v>270</v>
      </c>
      <c r="C239" s="44" t="s">
        <v>136</v>
      </c>
      <c r="D239" s="35"/>
      <c r="E239" s="45">
        <v>163157</v>
      </c>
      <c r="F239" s="45"/>
      <c r="G239" s="45">
        <v>1013452</v>
      </c>
      <c r="H239" s="45"/>
      <c r="I239" s="45">
        <v>0</v>
      </c>
      <c r="J239" s="45"/>
      <c r="K239" s="45">
        <v>21651</v>
      </c>
      <c r="L239" s="45"/>
      <c r="M239" s="45">
        <v>256772</v>
      </c>
      <c r="N239" s="45"/>
      <c r="O239" s="45">
        <v>0</v>
      </c>
      <c r="P239" s="45"/>
      <c r="Q239" s="45">
        <f>45088+30875</f>
        <v>75963</v>
      </c>
      <c r="R239" s="45"/>
      <c r="S239" s="44">
        <f t="shared" si="5"/>
        <v>234451</v>
      </c>
      <c r="T239" s="45"/>
      <c r="U239" s="45">
        <v>1765446</v>
      </c>
      <c r="V239" s="35"/>
      <c r="W239" s="45">
        <v>0</v>
      </c>
    </row>
    <row r="240" spans="1:23" s="49" customFormat="1" ht="12.75" customHeight="1">
      <c r="A240" s="44" t="s">
        <v>271</v>
      </c>
      <c r="C240" s="44" t="s">
        <v>66</v>
      </c>
      <c r="D240" s="35"/>
      <c r="E240" s="45">
        <v>5787368</v>
      </c>
      <c r="F240" s="45"/>
      <c r="G240" s="45">
        <v>0</v>
      </c>
      <c r="H240" s="45"/>
      <c r="I240" s="45">
        <v>0</v>
      </c>
      <c r="J240" s="45"/>
      <c r="K240" s="45">
        <v>153594</v>
      </c>
      <c r="L240" s="45"/>
      <c r="M240" s="45">
        <v>506343</v>
      </c>
      <c r="N240" s="45"/>
      <c r="O240" s="45">
        <v>0</v>
      </c>
      <c r="P240" s="45"/>
      <c r="Q240" s="45">
        <f>333120+51635</f>
        <v>384755</v>
      </c>
      <c r="R240" s="45"/>
      <c r="S240" s="44">
        <f t="shared" si="5"/>
        <v>331841</v>
      </c>
      <c r="T240" s="45"/>
      <c r="U240" s="45">
        <v>7163901</v>
      </c>
      <c r="V240" s="35"/>
      <c r="W240" s="45">
        <v>400000</v>
      </c>
    </row>
    <row r="241" spans="1:23" s="49" customFormat="1" ht="12.75" customHeight="1">
      <c r="A241" s="44" t="s">
        <v>471</v>
      </c>
      <c r="C241" s="44"/>
      <c r="D241" s="3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4"/>
      <c r="T241" s="45"/>
      <c r="U241" s="45"/>
      <c r="V241" s="35"/>
      <c r="W241" s="48" t="s">
        <v>484</v>
      </c>
    </row>
    <row r="242" spans="1:23" s="49" customFormat="1" ht="12.75" customHeight="1">
      <c r="A242" s="44" t="s">
        <v>272</v>
      </c>
      <c r="C242" s="44" t="s">
        <v>43</v>
      </c>
      <c r="D242" s="35"/>
      <c r="E242" s="94">
        <v>3064160</v>
      </c>
      <c r="F242" s="94"/>
      <c r="G242" s="94">
        <v>28511168</v>
      </c>
      <c r="H242" s="94"/>
      <c r="I242" s="94">
        <v>0</v>
      </c>
      <c r="J242" s="94"/>
      <c r="K242" s="94">
        <v>407800</v>
      </c>
      <c r="L242" s="94"/>
      <c r="M242" s="94">
        <v>5310472</v>
      </c>
      <c r="N242" s="94"/>
      <c r="O242" s="94">
        <v>0</v>
      </c>
      <c r="P242" s="94"/>
      <c r="Q242" s="94">
        <f>652245+441898</f>
        <v>1094143</v>
      </c>
      <c r="R242" s="94"/>
      <c r="S242" s="46">
        <f t="shared" si="5"/>
        <v>1296174</v>
      </c>
      <c r="T242" s="94"/>
      <c r="U242" s="94">
        <v>39683917</v>
      </c>
      <c r="V242" s="64"/>
      <c r="W242" s="94">
        <v>24186</v>
      </c>
    </row>
    <row r="243" spans="1:23" s="49" customFormat="1" ht="12.75" customHeight="1">
      <c r="A243" s="44" t="s">
        <v>273</v>
      </c>
      <c r="C243" s="44" t="s">
        <v>27</v>
      </c>
      <c r="D243" s="35"/>
      <c r="E243" s="45">
        <v>10180287</v>
      </c>
      <c r="F243" s="45"/>
      <c r="G243" s="45">
        <v>12149560</v>
      </c>
      <c r="H243" s="45"/>
      <c r="I243" s="45">
        <f>188867+374953</f>
        <v>563820</v>
      </c>
      <c r="J243" s="45"/>
      <c r="K243" s="45">
        <v>459447</v>
      </c>
      <c r="L243" s="45"/>
      <c r="M243" s="45">
        <v>4661239</v>
      </c>
      <c r="N243" s="45"/>
      <c r="O243" s="45">
        <v>0</v>
      </c>
      <c r="P243" s="45"/>
      <c r="Q243" s="45">
        <f>449730+221381</f>
        <v>671111</v>
      </c>
      <c r="R243" s="45"/>
      <c r="S243" s="44">
        <f t="shared" si="5"/>
        <v>3139274</v>
      </c>
      <c r="T243" s="45"/>
      <c r="U243" s="45">
        <v>31824738</v>
      </c>
      <c r="V243" s="35"/>
      <c r="W243" s="45">
        <v>13902</v>
      </c>
    </row>
    <row r="244" spans="1:23" s="49" customFormat="1" ht="12.75" customHeight="1">
      <c r="A244" s="44" t="s">
        <v>274</v>
      </c>
      <c r="C244" s="44" t="s">
        <v>43</v>
      </c>
      <c r="D244" s="35"/>
      <c r="E244" s="45">
        <v>438212</v>
      </c>
      <c r="F244" s="45"/>
      <c r="G244" s="45">
        <v>16065683</v>
      </c>
      <c r="H244" s="45"/>
      <c r="I244" s="45">
        <v>0</v>
      </c>
      <c r="J244" s="45"/>
      <c r="K244" s="45">
        <v>182425</v>
      </c>
      <c r="L244" s="45"/>
      <c r="M244" s="45">
        <v>1552112</v>
      </c>
      <c r="N244" s="45"/>
      <c r="O244" s="45">
        <v>105781</v>
      </c>
      <c r="P244" s="45"/>
      <c r="Q244" s="45">
        <f>313589+281685</f>
        <v>595274</v>
      </c>
      <c r="R244" s="45"/>
      <c r="S244" s="44">
        <f t="shared" si="5"/>
        <v>800766</v>
      </c>
      <c r="T244" s="45"/>
      <c r="U244" s="45">
        <v>19740253</v>
      </c>
      <c r="V244" s="35"/>
      <c r="W244" s="45">
        <v>0</v>
      </c>
    </row>
    <row r="245" spans="1:23" s="49" customFormat="1" ht="12.75" customHeight="1">
      <c r="A245" s="44" t="s">
        <v>275</v>
      </c>
      <c r="C245" s="44" t="s">
        <v>92</v>
      </c>
      <c r="D245" s="35"/>
      <c r="E245" s="45">
        <v>1648647</v>
      </c>
      <c r="F245" s="45"/>
      <c r="G245" s="45">
        <v>7312214</v>
      </c>
      <c r="H245" s="45"/>
      <c r="I245" s="45">
        <v>162333</v>
      </c>
      <c r="J245" s="45"/>
      <c r="K245" s="45">
        <v>332338</v>
      </c>
      <c r="L245" s="45"/>
      <c r="M245" s="45">
        <f>1930834+223561</f>
        <v>2154395</v>
      </c>
      <c r="N245" s="45"/>
      <c r="O245" s="45">
        <v>0</v>
      </c>
      <c r="P245" s="45"/>
      <c r="Q245" s="45">
        <f>440202+148178</f>
        <v>588380</v>
      </c>
      <c r="R245" s="45"/>
      <c r="S245" s="44">
        <f t="shared" si="5"/>
        <v>268893</v>
      </c>
      <c r="T245" s="45"/>
      <c r="U245" s="45">
        <v>12467200</v>
      </c>
      <c r="V245" s="35"/>
      <c r="W245" s="45">
        <v>0</v>
      </c>
    </row>
    <row r="246" spans="1:23" s="46" customFormat="1" ht="12.75" customHeight="1">
      <c r="A246" s="44" t="s">
        <v>276</v>
      </c>
      <c r="B246" s="49"/>
      <c r="C246" s="44" t="s">
        <v>38</v>
      </c>
      <c r="D246" s="35"/>
      <c r="E246" s="45">
        <v>239898</v>
      </c>
      <c r="F246" s="45"/>
      <c r="G246" s="45">
        <v>1719300</v>
      </c>
      <c r="H246" s="45"/>
      <c r="I246" s="45">
        <v>0</v>
      </c>
      <c r="J246" s="45"/>
      <c r="K246" s="45">
        <v>512677</v>
      </c>
      <c r="L246" s="45"/>
      <c r="M246" s="45">
        <v>579436</v>
      </c>
      <c r="N246" s="45"/>
      <c r="O246" s="45">
        <v>0</v>
      </c>
      <c r="P246" s="45"/>
      <c r="Q246" s="45">
        <f>45365+42093</f>
        <v>87458</v>
      </c>
      <c r="R246" s="45"/>
      <c r="S246" s="44">
        <f t="shared" si="5"/>
        <v>89165</v>
      </c>
      <c r="T246" s="45"/>
      <c r="U246" s="45">
        <v>3227934</v>
      </c>
      <c r="V246" s="35"/>
      <c r="W246" s="45">
        <v>3520</v>
      </c>
    </row>
    <row r="247" spans="1:23" s="49" customFormat="1" ht="12.75" customHeight="1">
      <c r="A247" s="44" t="s">
        <v>277</v>
      </c>
      <c r="C247" s="44" t="s">
        <v>92</v>
      </c>
      <c r="D247" s="35"/>
      <c r="E247" s="45">
        <v>1621455</v>
      </c>
      <c r="F247" s="45"/>
      <c r="G247" s="45">
        <v>13315788</v>
      </c>
      <c r="H247" s="45"/>
      <c r="I247" s="45">
        <v>0</v>
      </c>
      <c r="J247" s="45"/>
      <c r="K247" s="45">
        <v>1416102</v>
      </c>
      <c r="L247" s="45"/>
      <c r="M247" s="45">
        <v>3411413</v>
      </c>
      <c r="N247" s="45"/>
      <c r="O247" s="45">
        <v>0</v>
      </c>
      <c r="P247" s="45"/>
      <c r="Q247" s="45">
        <f>2154528+242715</f>
        <v>2397243</v>
      </c>
      <c r="R247" s="45"/>
      <c r="S247" s="44">
        <f t="shared" si="5"/>
        <v>377005</v>
      </c>
      <c r="T247" s="45"/>
      <c r="U247" s="45">
        <v>22539006</v>
      </c>
      <c r="V247" s="35"/>
      <c r="W247" s="45">
        <v>93343</v>
      </c>
    </row>
    <row r="248" spans="1:23" s="49" customFormat="1" ht="12.75" customHeight="1">
      <c r="A248" s="44" t="s">
        <v>278</v>
      </c>
      <c r="C248" s="44" t="s">
        <v>92</v>
      </c>
      <c r="D248" s="35"/>
      <c r="E248" s="45">
        <v>628339</v>
      </c>
      <c r="F248" s="45"/>
      <c r="G248" s="45">
        <v>3250715</v>
      </c>
      <c r="H248" s="45"/>
      <c r="I248" s="45">
        <f>53597+78994</f>
        <v>132591</v>
      </c>
      <c r="J248" s="45"/>
      <c r="K248" s="45">
        <v>31767</v>
      </c>
      <c r="L248" s="45"/>
      <c r="M248" s="45">
        <v>843749</v>
      </c>
      <c r="N248" s="45"/>
      <c r="O248" s="45">
        <v>0</v>
      </c>
      <c r="P248" s="45"/>
      <c r="Q248" s="45">
        <f>108393+1749757</f>
        <v>1858150</v>
      </c>
      <c r="R248" s="45"/>
      <c r="S248" s="44">
        <f t="shared" si="5"/>
        <v>269979</v>
      </c>
      <c r="T248" s="45"/>
      <c r="U248" s="45">
        <v>7015290</v>
      </c>
      <c r="V248" s="35"/>
      <c r="W248" s="45">
        <v>20051</v>
      </c>
    </row>
    <row r="249" spans="1:23" s="49" customFormat="1" ht="12.75" customHeight="1">
      <c r="A249" s="44" t="s">
        <v>279</v>
      </c>
      <c r="C249" s="44" t="s">
        <v>92</v>
      </c>
      <c r="D249" s="35"/>
      <c r="E249" s="45">
        <v>2513818</v>
      </c>
      <c r="F249" s="45"/>
      <c r="G249" s="45">
        <v>2831135</v>
      </c>
      <c r="H249" s="45"/>
      <c r="I249" s="45">
        <v>135436</v>
      </c>
      <c r="J249" s="45"/>
      <c r="K249" s="45">
        <v>426741</v>
      </c>
      <c r="L249" s="45"/>
      <c r="M249" s="45">
        <v>2520637</v>
      </c>
      <c r="N249" s="45"/>
      <c r="O249" s="45">
        <v>0</v>
      </c>
      <c r="P249" s="45"/>
      <c r="Q249" s="45">
        <f>206663+107230</f>
        <v>313893</v>
      </c>
      <c r="R249" s="45"/>
      <c r="S249" s="44">
        <f t="shared" si="5"/>
        <v>-397106</v>
      </c>
      <c r="T249" s="45"/>
      <c r="U249" s="45">
        <v>8344554</v>
      </c>
      <c r="V249" s="35"/>
      <c r="W249" s="45">
        <v>4842</v>
      </c>
    </row>
    <row r="250" spans="1:23" s="49" customFormat="1" ht="12.75" customHeight="1">
      <c r="A250" s="44" t="s">
        <v>280</v>
      </c>
      <c r="C250" s="44" t="s">
        <v>281</v>
      </c>
      <c r="D250" s="35"/>
      <c r="E250" s="45">
        <v>533350</v>
      </c>
      <c r="F250" s="45"/>
      <c r="G250" s="45">
        <v>6503119</v>
      </c>
      <c r="H250" s="45"/>
      <c r="I250" s="45">
        <v>0</v>
      </c>
      <c r="J250" s="45"/>
      <c r="K250" s="45">
        <v>1300338</v>
      </c>
      <c r="L250" s="45"/>
      <c r="M250" s="45">
        <v>885121</v>
      </c>
      <c r="N250" s="45"/>
      <c r="O250" s="45">
        <v>113754</v>
      </c>
      <c r="P250" s="45"/>
      <c r="Q250" s="45">
        <f>27878+732322</f>
        <v>760200</v>
      </c>
      <c r="R250" s="45"/>
      <c r="S250" s="44">
        <f t="shared" ref="S250:S256" si="6">U250-E250-G250-K250-M250-O250-Q250-I250</f>
        <v>267124</v>
      </c>
      <c r="T250" s="45"/>
      <c r="U250" s="45">
        <v>10363006</v>
      </c>
      <c r="V250" s="35"/>
      <c r="W250" s="45">
        <v>0</v>
      </c>
    </row>
    <row r="251" spans="1:23" s="49" customFormat="1" ht="12.75" customHeight="1">
      <c r="A251" s="44" t="s">
        <v>282</v>
      </c>
      <c r="C251" s="44" t="s">
        <v>199</v>
      </c>
      <c r="D251" s="35"/>
      <c r="E251" s="45">
        <v>1163053</v>
      </c>
      <c r="F251" s="45"/>
      <c r="G251" s="45">
        <v>0</v>
      </c>
      <c r="H251" s="45"/>
      <c r="I251" s="45">
        <v>0</v>
      </c>
      <c r="J251" s="45"/>
      <c r="K251" s="45">
        <v>1356638</v>
      </c>
      <c r="L251" s="45"/>
      <c r="M251" s="45">
        <v>1594486</v>
      </c>
      <c r="N251" s="45"/>
      <c r="O251" s="45">
        <v>0</v>
      </c>
      <c r="P251" s="45"/>
      <c r="Q251" s="45">
        <v>369803</v>
      </c>
      <c r="R251" s="45"/>
      <c r="S251" s="44">
        <f t="shared" si="6"/>
        <v>12617346</v>
      </c>
      <c r="T251" s="45"/>
      <c r="U251" s="45">
        <v>17101326</v>
      </c>
      <c r="V251" s="35"/>
      <c r="W251" s="45">
        <v>24200</v>
      </c>
    </row>
    <row r="252" spans="1:23" s="49" customFormat="1" ht="12.75" customHeight="1">
      <c r="A252" s="44" t="s">
        <v>283</v>
      </c>
      <c r="C252" s="44" t="s">
        <v>43</v>
      </c>
      <c r="D252" s="35"/>
      <c r="E252" s="45">
        <v>2535293</v>
      </c>
      <c r="F252" s="45"/>
      <c r="G252" s="45">
        <v>12568994</v>
      </c>
      <c r="H252" s="45"/>
      <c r="I252" s="45">
        <v>52286</v>
      </c>
      <c r="J252" s="45"/>
      <c r="K252" s="45">
        <v>211717</v>
      </c>
      <c r="L252" s="45"/>
      <c r="M252" s="45">
        <v>1340333</v>
      </c>
      <c r="N252" s="45"/>
      <c r="O252" s="45">
        <v>34933</v>
      </c>
      <c r="P252" s="45"/>
      <c r="Q252" s="45">
        <f>289931+186107</f>
        <v>476038</v>
      </c>
      <c r="R252" s="45"/>
      <c r="S252" s="44">
        <f t="shared" si="6"/>
        <v>3488072</v>
      </c>
      <c r="T252" s="45"/>
      <c r="U252" s="45">
        <v>20707666</v>
      </c>
      <c r="V252" s="35"/>
      <c r="W252" s="45">
        <v>0</v>
      </c>
    </row>
    <row r="253" spans="1:23" s="49" customFormat="1" ht="12.75" customHeight="1">
      <c r="A253" s="44" t="s">
        <v>284</v>
      </c>
      <c r="C253" s="44" t="s">
        <v>45</v>
      </c>
      <c r="D253" s="35"/>
      <c r="E253" s="45">
        <v>6725592</v>
      </c>
      <c r="F253" s="45"/>
      <c r="G253" s="45">
        <v>0</v>
      </c>
      <c r="H253" s="45"/>
      <c r="I253" s="45">
        <v>0</v>
      </c>
      <c r="J253" s="45"/>
      <c r="K253" s="45">
        <v>133531</v>
      </c>
      <c r="L253" s="45"/>
      <c r="M253" s="45">
        <v>1925008</v>
      </c>
      <c r="N253" s="45"/>
      <c r="O253" s="45">
        <v>614</v>
      </c>
      <c r="P253" s="45"/>
      <c r="Q253" s="45">
        <v>123282</v>
      </c>
      <c r="R253" s="45"/>
      <c r="S253" s="44">
        <f t="shared" si="6"/>
        <v>281325</v>
      </c>
      <c r="T253" s="45"/>
      <c r="U253" s="45">
        <v>9189352</v>
      </c>
      <c r="V253" s="35"/>
      <c r="W253" s="45">
        <v>206143</v>
      </c>
    </row>
    <row r="254" spans="1:23" s="49" customFormat="1" ht="12.75" customHeight="1">
      <c r="A254" s="44" t="s">
        <v>285</v>
      </c>
      <c r="C254" s="44" t="s">
        <v>30</v>
      </c>
      <c r="D254" s="35"/>
      <c r="E254" s="45">
        <v>0</v>
      </c>
      <c r="F254" s="45"/>
      <c r="G254" s="45">
        <v>8418354</v>
      </c>
      <c r="H254" s="45"/>
      <c r="I254" s="45">
        <v>1627290</v>
      </c>
      <c r="J254" s="45"/>
      <c r="K254" s="45">
        <v>1665371</v>
      </c>
      <c r="L254" s="45"/>
      <c r="M254" s="45">
        <f>1869049+141089</f>
        <v>2010138</v>
      </c>
      <c r="N254" s="45"/>
      <c r="O254" s="45">
        <v>0</v>
      </c>
      <c r="P254" s="45"/>
      <c r="Q254" s="45">
        <v>1238896</v>
      </c>
      <c r="R254" s="45"/>
      <c r="S254" s="44">
        <f t="shared" si="6"/>
        <v>338815</v>
      </c>
      <c r="T254" s="45"/>
      <c r="U254" s="45">
        <v>15298864</v>
      </c>
      <c r="V254" s="35"/>
      <c r="W254" s="45">
        <v>1</v>
      </c>
    </row>
    <row r="255" spans="1:23" s="49" customFormat="1" ht="12.75" customHeight="1">
      <c r="A255" s="44" t="s">
        <v>286</v>
      </c>
      <c r="C255" s="44" t="s">
        <v>61</v>
      </c>
      <c r="D255" s="35"/>
      <c r="E255" s="45">
        <v>0</v>
      </c>
      <c r="F255" s="45"/>
      <c r="G255" s="45">
        <v>21695143</v>
      </c>
      <c r="H255" s="45"/>
      <c r="I255" s="45">
        <v>0</v>
      </c>
      <c r="J255" s="45"/>
      <c r="K255" s="45">
        <v>6973607</v>
      </c>
      <c r="L255" s="45"/>
      <c r="M255" s="45">
        <v>3942324</v>
      </c>
      <c r="N255" s="45"/>
      <c r="O255" s="45">
        <v>0</v>
      </c>
      <c r="P255" s="45"/>
      <c r="Q255" s="45">
        <f>600478+526545</f>
        <v>1127023</v>
      </c>
      <c r="R255" s="45"/>
      <c r="S255" s="44">
        <f t="shared" si="6"/>
        <v>2548759</v>
      </c>
      <c r="T255" s="45"/>
      <c r="U255" s="45">
        <v>36286856</v>
      </c>
      <c r="V255" s="35"/>
      <c r="W255" s="45">
        <f>1008692+2422137</f>
        <v>3430829</v>
      </c>
    </row>
    <row r="256" spans="1:23" s="44" customFormat="1" ht="12.75" customHeight="1">
      <c r="A256" s="44" t="s">
        <v>287</v>
      </c>
      <c r="B256" s="49"/>
      <c r="C256" s="44" t="s">
        <v>288</v>
      </c>
      <c r="D256" s="35"/>
      <c r="E256" s="45">
        <v>568270</v>
      </c>
      <c r="F256" s="45"/>
      <c r="G256" s="45">
        <v>8015917</v>
      </c>
      <c r="H256" s="45"/>
      <c r="I256" s="45">
        <v>0</v>
      </c>
      <c r="J256" s="45"/>
      <c r="K256" s="45">
        <v>629943</v>
      </c>
      <c r="L256" s="45"/>
      <c r="M256" s="45">
        <v>237040</v>
      </c>
      <c r="N256" s="45"/>
      <c r="O256" s="45">
        <v>0</v>
      </c>
      <c r="P256" s="45"/>
      <c r="Q256" s="45">
        <f>70060+328953</f>
        <v>399013</v>
      </c>
      <c r="R256" s="45"/>
      <c r="S256" s="44">
        <f t="shared" si="6"/>
        <v>1945377</v>
      </c>
      <c r="T256" s="45"/>
      <c r="U256" s="45">
        <v>11795560</v>
      </c>
      <c r="V256" s="35"/>
      <c r="W256" s="45">
        <f>1290+840403</f>
        <v>841693</v>
      </c>
    </row>
    <row r="257" spans="1:22" s="49" customFormat="1" ht="12.75" customHeight="1">
      <c r="A257" s="44" t="s">
        <v>471</v>
      </c>
      <c r="C257" s="44"/>
      <c r="D257" s="35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5"/>
      <c r="R257" s="44"/>
      <c r="S257" s="44"/>
      <c r="T257" s="45"/>
      <c r="U257" s="48"/>
    </row>
    <row r="258" spans="1:22" s="47" customFormat="1" ht="12.75" customHeight="1">
      <c r="A258" s="49"/>
      <c r="B258" s="51"/>
      <c r="C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4"/>
      <c r="T258" s="49"/>
      <c r="U258" s="48"/>
    </row>
    <row r="259" spans="1:22" s="49" customFormat="1" ht="12.75" customHeight="1">
      <c r="D259" s="47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8"/>
    </row>
    <row r="260" spans="1:22" s="49" customFormat="1" ht="12.75" customHeight="1"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8"/>
    </row>
    <row r="261" spans="1:22" s="49" customFormat="1" ht="12.75" customHeight="1"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8"/>
    </row>
    <row r="262" spans="1:22" s="49" customFormat="1" ht="12.75" customHeight="1"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8"/>
    </row>
    <row r="263" spans="1:22" s="49" customFormat="1" ht="12.75" customHeight="1">
      <c r="D263" s="47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8"/>
    </row>
    <row r="264" spans="1:22" s="49" customFormat="1" ht="12.75" customHeight="1">
      <c r="D264" s="47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8"/>
    </row>
    <row r="265" spans="1:22" s="49" customFormat="1" ht="12.75" customHeight="1">
      <c r="D265" s="47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8"/>
    </row>
    <row r="266" spans="1:22" s="49" customFormat="1" ht="12.75" customHeight="1">
      <c r="D266" s="47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8"/>
    </row>
    <row r="267" spans="1:22" s="49" customFormat="1" ht="12.75" customHeight="1">
      <c r="D267" s="47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8"/>
    </row>
    <row r="268" spans="1:22" s="49" customFormat="1" ht="12.75" customHeight="1">
      <c r="D268" s="47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8"/>
    </row>
    <row r="269" spans="1:22" s="49" customFormat="1" ht="12.75" customHeight="1">
      <c r="D269" s="47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8"/>
    </row>
    <row r="270" spans="1:22" s="49" customFormat="1" ht="12.75" customHeight="1">
      <c r="D270" s="47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8"/>
    </row>
    <row r="271" spans="1:22" s="49" customFormat="1" ht="12.75" customHeight="1">
      <c r="D271" s="47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8"/>
      <c r="V271" s="47"/>
    </row>
    <row r="272" spans="1:22" s="49" customFormat="1" ht="12.75" customHeight="1">
      <c r="D272" s="47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8"/>
      <c r="V272" s="47"/>
    </row>
    <row r="273" spans="4:22" s="49" customFormat="1" ht="12.75" customHeight="1">
      <c r="D273" s="47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8"/>
      <c r="V273" s="47"/>
    </row>
    <row r="274" spans="4:22" s="49" customFormat="1" ht="12.75" customHeight="1">
      <c r="D274" s="47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8"/>
      <c r="V274" s="47"/>
    </row>
    <row r="275" spans="4:22" s="49" customFormat="1" ht="12.75" customHeight="1">
      <c r="D275" s="47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8"/>
      <c r="V275" s="47"/>
    </row>
    <row r="276" spans="4:22" s="49" customFormat="1" ht="12.75" customHeight="1">
      <c r="D276" s="47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8"/>
      <c r="V276" s="47"/>
    </row>
    <row r="277" spans="4:22" s="49" customFormat="1" ht="12.75" customHeight="1">
      <c r="D277" s="47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8"/>
      <c r="V277" s="47"/>
    </row>
    <row r="278" spans="4:22" s="49" customFormat="1" ht="12.75" customHeight="1">
      <c r="D278" s="47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8"/>
      <c r="V278" s="47"/>
    </row>
    <row r="279" spans="4:22" s="49" customFormat="1" ht="12.75" customHeight="1">
      <c r="D279" s="47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8"/>
      <c r="V279" s="47"/>
    </row>
    <row r="280" spans="4:22" s="49" customFormat="1" ht="12.75" customHeight="1">
      <c r="D280" s="47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8"/>
      <c r="V280" s="47"/>
    </row>
    <row r="281" spans="4:22" s="49" customFormat="1" ht="12.75" customHeight="1">
      <c r="D281" s="47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8"/>
      <c r="V281" s="47"/>
    </row>
    <row r="282" spans="4:22" s="49" customFormat="1" ht="12.75" customHeight="1">
      <c r="D282" s="47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8"/>
      <c r="V282" s="47"/>
    </row>
    <row r="283" spans="4:22" s="49" customFormat="1" ht="12.75" customHeight="1">
      <c r="D283" s="47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8"/>
      <c r="V283" s="47"/>
    </row>
    <row r="284" spans="4:22" s="49" customFormat="1" ht="12.75" customHeight="1">
      <c r="D284" s="47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8"/>
      <c r="V284" s="47"/>
    </row>
    <row r="285" spans="4:22" s="49" customFormat="1" ht="12.75" customHeight="1">
      <c r="D285" s="47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8"/>
      <c r="V285" s="47"/>
    </row>
    <row r="286" spans="4:22" s="49" customFormat="1" ht="12.75" customHeight="1">
      <c r="D286" s="47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8"/>
      <c r="V286" s="47"/>
    </row>
    <row r="287" spans="4:22" s="49" customFormat="1" ht="12.75" customHeight="1">
      <c r="D287" s="47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8"/>
      <c r="V287" s="47"/>
    </row>
    <row r="288" spans="4:22" s="49" customFormat="1" ht="12.75" customHeight="1">
      <c r="D288" s="47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8"/>
      <c r="V288" s="47"/>
    </row>
    <row r="289" spans="4:22" s="49" customFormat="1" ht="12.75" customHeight="1">
      <c r="D289" s="47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8"/>
      <c r="V289" s="47"/>
    </row>
    <row r="290" spans="4:22" s="49" customFormat="1" ht="12.75" customHeight="1">
      <c r="D290" s="47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8"/>
      <c r="V290" s="47"/>
    </row>
    <row r="291" spans="4:22" s="49" customFormat="1" ht="12.75" customHeight="1">
      <c r="D291" s="47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8"/>
      <c r="V291" s="47"/>
    </row>
    <row r="292" spans="4:22" s="49" customFormat="1" ht="12.75" customHeight="1">
      <c r="D292" s="47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8"/>
      <c r="V292" s="47"/>
    </row>
    <row r="293" spans="4:22" s="49" customFormat="1" ht="12.75" customHeight="1">
      <c r="D293" s="47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8"/>
      <c r="V293" s="47"/>
    </row>
    <row r="294" spans="4:22" s="49" customFormat="1" ht="12.75" customHeight="1">
      <c r="D294" s="47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8"/>
      <c r="V294" s="47"/>
    </row>
    <row r="295" spans="4:22" s="49" customFormat="1" ht="12.75" customHeight="1">
      <c r="D295" s="47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8"/>
      <c r="V295" s="47"/>
    </row>
    <row r="296" spans="4:22" s="49" customFormat="1" ht="12.75" customHeight="1">
      <c r="D296" s="47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8"/>
      <c r="V296" s="47"/>
    </row>
    <row r="297" spans="4:22" s="49" customFormat="1" ht="12.75" customHeight="1">
      <c r="D297" s="47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8"/>
      <c r="V297" s="47"/>
    </row>
    <row r="298" spans="4:22" s="49" customFormat="1" ht="12.75" customHeight="1">
      <c r="D298" s="47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8"/>
      <c r="V298" s="47"/>
    </row>
    <row r="299" spans="4:22" s="49" customFormat="1" ht="12.75" customHeight="1">
      <c r="D299" s="47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8"/>
      <c r="V299" s="47"/>
    </row>
    <row r="300" spans="4:22" s="49" customFormat="1" ht="12.75" customHeight="1">
      <c r="D300" s="47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8"/>
      <c r="V300" s="47"/>
    </row>
    <row r="301" spans="4:22" s="49" customFormat="1" ht="12.75" customHeight="1">
      <c r="D301" s="47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8"/>
      <c r="V301" s="47"/>
    </row>
    <row r="302" spans="4:22" s="49" customFormat="1" ht="12.75" customHeight="1">
      <c r="D302" s="47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8"/>
      <c r="V302" s="47"/>
    </row>
    <row r="303" spans="4:22" s="49" customFormat="1" ht="12.75" customHeight="1">
      <c r="D303" s="47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8"/>
      <c r="V303" s="47"/>
    </row>
    <row r="304" spans="4:22" s="49" customFormat="1" ht="12.75" customHeight="1">
      <c r="D304" s="47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8"/>
      <c r="V304" s="47"/>
    </row>
    <row r="305" spans="4:22" s="49" customFormat="1" ht="12.75" customHeight="1">
      <c r="D305" s="47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8"/>
      <c r="V305" s="47"/>
    </row>
    <row r="306" spans="4:22" s="49" customFormat="1" ht="12.75" customHeight="1">
      <c r="D306" s="47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8"/>
      <c r="V306" s="47"/>
    </row>
    <row r="307" spans="4:22" s="49" customFormat="1" ht="12.75" customHeight="1">
      <c r="D307" s="47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8"/>
      <c r="V307" s="47"/>
    </row>
    <row r="308" spans="4:22" s="49" customFormat="1" ht="12.75" customHeight="1">
      <c r="D308" s="47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8"/>
      <c r="V308" s="47"/>
    </row>
    <row r="309" spans="4:22" s="49" customFormat="1" ht="12.75" customHeight="1">
      <c r="D309" s="47"/>
      <c r="S309" s="44"/>
      <c r="U309" s="48"/>
      <c r="V309" s="47"/>
    </row>
    <row r="310" spans="4:22" s="49" customFormat="1" ht="12.75" customHeight="1">
      <c r="D310" s="47"/>
      <c r="S310" s="44"/>
      <c r="U310" s="48"/>
      <c r="V310" s="47"/>
    </row>
    <row r="311" spans="4:22" s="49" customFormat="1" ht="12.75" customHeight="1">
      <c r="D311" s="47"/>
      <c r="S311" s="44"/>
      <c r="U311" s="48"/>
      <c r="V311" s="47"/>
    </row>
    <row r="312" spans="4:22" s="49" customFormat="1" ht="12.75" customHeight="1">
      <c r="D312" s="47"/>
      <c r="S312" s="44"/>
      <c r="U312" s="48"/>
      <c r="V312" s="47"/>
    </row>
    <row r="313" spans="4:22" s="49" customFormat="1" ht="12.75" customHeight="1">
      <c r="D313" s="47"/>
      <c r="S313" s="44"/>
      <c r="U313" s="48"/>
      <c r="V313" s="47"/>
    </row>
    <row r="314" spans="4:22" s="49" customFormat="1" ht="12.75" customHeight="1">
      <c r="D314" s="47"/>
      <c r="S314" s="44"/>
      <c r="U314" s="48"/>
      <c r="V314" s="47"/>
    </row>
    <row r="315" spans="4:22" s="49" customFormat="1" ht="12.75" customHeight="1">
      <c r="D315" s="47"/>
      <c r="S315" s="44"/>
      <c r="U315" s="48"/>
      <c r="V315" s="47"/>
    </row>
    <row r="316" spans="4:22" s="49" customFormat="1" ht="12.75" customHeight="1">
      <c r="D316" s="47"/>
      <c r="S316" s="44"/>
      <c r="U316" s="48"/>
      <c r="V316" s="47"/>
    </row>
    <row r="317" spans="4:22" s="49" customFormat="1" ht="12.75" customHeight="1">
      <c r="D317" s="47"/>
      <c r="S317" s="44"/>
      <c r="U317" s="48"/>
      <c r="V317" s="47"/>
    </row>
    <row r="318" spans="4:22" s="49" customFormat="1" ht="12.75" customHeight="1">
      <c r="D318" s="47"/>
      <c r="S318" s="44"/>
      <c r="U318" s="48"/>
      <c r="V318" s="47"/>
    </row>
    <row r="319" spans="4:22" s="49" customFormat="1" ht="12.75" customHeight="1">
      <c r="D319" s="47"/>
      <c r="S319" s="44"/>
      <c r="U319" s="48"/>
      <c r="V319" s="47"/>
    </row>
    <row r="320" spans="4:22" s="49" customFormat="1" ht="12.75" customHeight="1">
      <c r="D320" s="47"/>
      <c r="S320" s="44"/>
      <c r="U320" s="48"/>
      <c r="V320" s="47"/>
    </row>
    <row r="321" spans="1:22" s="49" customFormat="1" ht="12.75" customHeight="1">
      <c r="D321" s="47"/>
      <c r="S321" s="44"/>
      <c r="U321" s="48"/>
      <c r="V321" s="47"/>
    </row>
    <row r="322" spans="1:22" s="49" customFormat="1" ht="12.75" customHeight="1">
      <c r="D322" s="47"/>
      <c r="S322" s="44"/>
      <c r="U322" s="48"/>
      <c r="V322" s="47"/>
    </row>
    <row r="323" spans="1:22" s="49" customFormat="1" ht="12.75" customHeight="1">
      <c r="D323" s="47"/>
      <c r="S323" s="44"/>
      <c r="U323" s="48"/>
      <c r="V323" s="47"/>
    </row>
    <row r="324" spans="1:22" s="49" customFormat="1" ht="12.75" customHeight="1">
      <c r="D324" s="47"/>
      <c r="S324" s="44"/>
      <c r="U324" s="48"/>
      <c r="V324" s="47"/>
    </row>
    <row r="325" spans="1:22" s="49" customFormat="1" ht="12.75" customHeight="1">
      <c r="D325" s="47"/>
      <c r="S325" s="44"/>
      <c r="U325" s="48"/>
      <c r="V325" s="47"/>
    </row>
    <row r="326" spans="1:22" s="49" customFormat="1" ht="12.75" customHeight="1">
      <c r="D326" s="47"/>
      <c r="S326" s="44"/>
      <c r="U326" s="48"/>
      <c r="V326" s="47"/>
    </row>
    <row r="327" spans="1:22" s="47" customFormat="1" ht="12.75" customHeight="1">
      <c r="A327" s="49"/>
      <c r="C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4"/>
      <c r="T327" s="49"/>
      <c r="U327" s="48"/>
    </row>
    <row r="328" spans="1:22" s="47" customFormat="1" ht="12.75" customHeight="1">
      <c r="A328" s="49"/>
      <c r="C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4"/>
      <c r="T328" s="49"/>
      <c r="U328" s="48"/>
    </row>
    <row r="329" spans="1:22" s="47" customFormat="1" ht="12.75" customHeight="1">
      <c r="A329" s="49"/>
      <c r="C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4"/>
      <c r="T329" s="49"/>
      <c r="U329" s="48"/>
    </row>
    <row r="330" spans="1:22" s="47" customFormat="1" ht="12.75" customHeight="1">
      <c r="A330" s="49"/>
      <c r="B330" s="51"/>
      <c r="C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4"/>
      <c r="T330" s="49"/>
      <c r="U330" s="48"/>
    </row>
    <row r="331" spans="1:22" s="47" customFormat="1" ht="12.75" customHeight="1">
      <c r="A331" s="49"/>
      <c r="B331" s="51"/>
      <c r="C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4"/>
      <c r="T331" s="49"/>
      <c r="U331" s="48"/>
    </row>
    <row r="332" spans="1:22" s="47" customFormat="1" ht="12.75" customHeight="1">
      <c r="A332" s="49"/>
      <c r="B332" s="51"/>
      <c r="C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4"/>
      <c r="T332" s="49"/>
      <c r="U332" s="48"/>
    </row>
    <row r="333" spans="1:22" s="47" customFormat="1" ht="12.75" customHeight="1">
      <c r="A333" s="49"/>
      <c r="B333" s="51"/>
      <c r="C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4"/>
      <c r="T333" s="49"/>
      <c r="U333" s="48"/>
    </row>
    <row r="334" spans="1:22" s="47" customFormat="1" ht="12.75" customHeight="1">
      <c r="A334" s="49"/>
      <c r="B334" s="51"/>
      <c r="C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4"/>
      <c r="T334" s="49"/>
      <c r="U334" s="48"/>
    </row>
    <row r="335" spans="1:22" s="47" customFormat="1" ht="12.75" customHeight="1">
      <c r="A335" s="49"/>
      <c r="B335" s="51"/>
      <c r="C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4"/>
      <c r="T335" s="49"/>
      <c r="U335" s="48"/>
    </row>
    <row r="336" spans="1:22" s="47" customFormat="1" ht="12.75" customHeight="1">
      <c r="A336" s="49"/>
      <c r="B336" s="51"/>
      <c r="C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4"/>
      <c r="T336" s="49"/>
      <c r="U336" s="48"/>
    </row>
  </sheetData>
  <phoneticPr fontId="4" type="noConversion"/>
  <pageMargins left="0.75" right="0.75" top="0.5" bottom="0.8" header="0" footer="0.25"/>
  <pageSetup scale="84" firstPageNumber="50" pageOrder="overThenDown" orientation="portrait" useFirstPageNumber="1" r:id="rId1"/>
  <headerFooter alignWithMargins="0">
    <oddFooter>&amp;C&amp;"Times New Roman,Regular"&amp;11&amp;P</oddFooter>
  </headerFooter>
  <colBreaks count="1" manualBreakCount="1">
    <brk id="12" min="9" max="25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S656"/>
  <sheetViews>
    <sheetView view="pageBreakPreview" zoomScale="75" zoomScaleNormal="100" zoomScaleSheetLayoutView="75" workbookViewId="0">
      <pane xSplit="3" ySplit="8" topLeftCell="L12" activePane="bottomRight" state="frozen"/>
      <selection pane="topRight" activeCell="D1" sqref="D1"/>
      <selection pane="bottomLeft" activeCell="A9" sqref="A9"/>
      <selection pane="bottomRight" activeCell="A5" sqref="A5"/>
    </sheetView>
  </sheetViews>
  <sheetFormatPr defaultColWidth="0" defaultRowHeight="12.75" customHeight="1"/>
  <cols>
    <col min="1" max="1" width="14.85546875" style="11" customWidth="1"/>
    <col min="2" max="2" width="1.5703125" customWidth="1"/>
    <col min="3" max="3" width="10.5703125" style="11" customWidth="1"/>
    <col min="4" max="4" width="1.5703125" style="10" customWidth="1"/>
    <col min="5" max="5" width="11.7109375" style="17" customWidth="1"/>
    <col min="6" max="6" width="1.5703125" style="17" customWidth="1"/>
    <col min="7" max="7" width="11.7109375" style="17" customWidth="1"/>
    <col min="8" max="8" width="1.5703125" style="17" customWidth="1"/>
    <col min="9" max="9" width="11.7109375" style="17" customWidth="1"/>
    <col min="10" max="10" width="1.5703125" style="17" customWidth="1"/>
    <col min="11" max="11" width="11.7109375" style="17" customWidth="1"/>
    <col min="12" max="12" width="1.5703125" style="17" customWidth="1"/>
    <col min="13" max="13" width="11.7109375" style="17" customWidth="1"/>
    <col min="14" max="14" width="1.5703125" style="17" customWidth="1"/>
    <col min="15" max="15" width="11.7109375" style="17" customWidth="1"/>
    <col min="16" max="16" width="0.5703125" style="17" customWidth="1"/>
    <col min="17" max="17" width="11.42578125" style="17" customWidth="1"/>
    <col min="18" max="18" width="1.42578125" style="17" customWidth="1"/>
    <col min="19" max="19" width="10.42578125" style="17" customWidth="1"/>
    <col min="20" max="20" width="1.28515625" style="17" customWidth="1"/>
    <col min="21" max="21" width="10.85546875" style="17" customWidth="1"/>
    <col min="22" max="22" width="1.42578125" style="17" customWidth="1"/>
    <col min="23" max="23" width="11" style="17" customWidth="1"/>
    <col min="24" max="24" width="1.28515625" style="17" customWidth="1"/>
    <col min="25" max="25" width="11.42578125" style="17" customWidth="1"/>
    <col min="26" max="26" width="1.42578125" customWidth="1"/>
    <col min="27" max="27" width="11" customWidth="1"/>
    <col min="28" max="28" width="1.42578125" customWidth="1"/>
    <col min="29" max="29" width="12" style="17" customWidth="1"/>
    <col min="30" max="30" width="1" style="17" customWidth="1"/>
    <col min="31" max="31" width="9.7109375" style="17" customWidth="1"/>
    <col min="32" max="32" width="1.28515625" style="17" customWidth="1"/>
    <col min="33" max="33" width="11.85546875" style="17" customWidth="1"/>
    <col min="34" max="34" width="3.28515625" style="17" customWidth="1"/>
    <col min="35" max="35" width="12.7109375" style="17" customWidth="1"/>
    <col min="36" max="36" width="1.140625" style="17" customWidth="1"/>
    <col min="37" max="37" width="12.85546875" style="17" customWidth="1"/>
    <col min="38" max="38" width="1.7109375" style="17" customWidth="1"/>
    <col min="39" max="42" width="11.7109375" style="17" customWidth="1"/>
    <col min="43" max="43" width="1.7109375" style="17" customWidth="1"/>
    <col min="44" max="44" width="9.28515625" style="10" hidden="1" customWidth="1"/>
    <col min="45" max="16384" width="0" style="10" hidden="1"/>
  </cols>
  <sheetData>
    <row r="1" spans="1:45" s="9" customFormat="1" ht="12.75" customHeight="1">
      <c r="A1" s="23" t="s">
        <v>388</v>
      </c>
      <c r="C1" s="24"/>
      <c r="D1" s="10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7"/>
      <c r="AS1" s="27"/>
    </row>
    <row r="2" spans="1:45" s="9" customFormat="1" ht="12.75" customHeight="1">
      <c r="A2" s="23" t="s">
        <v>501</v>
      </c>
      <c r="C2" s="24"/>
      <c r="D2" s="10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7"/>
      <c r="AS2" s="27"/>
    </row>
    <row r="3" spans="1:45" ht="12.75" customHeight="1">
      <c r="A3" s="24" t="s">
        <v>289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9"/>
      <c r="AS3" s="19"/>
    </row>
    <row r="4" spans="1:45" ht="12.75" customHeight="1">
      <c r="A4" s="24" t="s">
        <v>484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9"/>
      <c r="AS4" s="19"/>
    </row>
    <row r="6" spans="1:45" s="12" customFormat="1" ht="12.75" customHeight="1">
      <c r="A6" s="25"/>
      <c r="C6" s="25"/>
      <c r="E6" s="25"/>
      <c r="F6" s="25"/>
      <c r="G6" s="25" t="s">
        <v>396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AC6" s="25" t="s">
        <v>417</v>
      </c>
      <c r="AD6" s="25"/>
      <c r="AE6" s="25"/>
      <c r="AF6" s="25"/>
      <c r="AG6" s="25"/>
      <c r="AH6" s="25"/>
      <c r="AI6" s="25" t="s">
        <v>325</v>
      </c>
      <c r="AJ6" s="25"/>
      <c r="AK6" s="25" t="s">
        <v>454</v>
      </c>
      <c r="AL6" s="25"/>
      <c r="AM6" s="25"/>
      <c r="AN6" s="25"/>
      <c r="AO6" s="25"/>
      <c r="AP6" s="25"/>
      <c r="AQ6" s="25"/>
      <c r="AR6" s="15"/>
      <c r="AS6" s="15"/>
    </row>
    <row r="7" spans="1:45" s="30" customFormat="1" ht="12.75" customHeight="1">
      <c r="A7" s="26"/>
      <c r="C7" s="26"/>
      <c r="D7" s="25"/>
      <c r="E7" s="25" t="s">
        <v>296</v>
      </c>
      <c r="F7" s="25"/>
      <c r="G7" s="30" t="s">
        <v>422</v>
      </c>
      <c r="H7" s="25"/>
      <c r="I7" s="25" t="s">
        <v>333</v>
      </c>
      <c r="J7" s="25"/>
      <c r="K7" s="25"/>
      <c r="L7" s="25"/>
      <c r="M7" s="25"/>
      <c r="N7" s="25"/>
      <c r="O7" s="25" t="s">
        <v>306</v>
      </c>
      <c r="P7" s="25"/>
      <c r="Q7" s="25" t="s">
        <v>334</v>
      </c>
      <c r="R7" s="25"/>
      <c r="S7" s="25" t="s">
        <v>4</v>
      </c>
      <c r="T7" s="25"/>
      <c r="U7" s="25" t="s">
        <v>327</v>
      </c>
      <c r="V7" s="25"/>
      <c r="W7" s="25"/>
      <c r="X7" s="25"/>
      <c r="Y7" s="25" t="s">
        <v>344</v>
      </c>
      <c r="AA7" s="30" t="s">
        <v>294</v>
      </c>
      <c r="AC7" s="25" t="s">
        <v>418</v>
      </c>
      <c r="AD7" s="25"/>
      <c r="AE7" s="25" t="s">
        <v>447</v>
      </c>
      <c r="AF7" s="25"/>
      <c r="AG7" s="25" t="s">
        <v>432</v>
      </c>
      <c r="AH7" s="25"/>
      <c r="AI7" s="25" t="s">
        <v>452</v>
      </c>
      <c r="AJ7" s="25"/>
      <c r="AK7" s="25" t="s">
        <v>455</v>
      </c>
      <c r="AL7" s="25"/>
      <c r="AM7" s="25" t="s">
        <v>428</v>
      </c>
      <c r="AN7" s="25"/>
      <c r="AO7" s="25"/>
      <c r="AP7" s="25"/>
      <c r="AQ7" s="25"/>
      <c r="AR7" s="25"/>
      <c r="AS7" s="25"/>
    </row>
    <row r="8" spans="1:45" s="98" customFormat="1" ht="12.75" customHeight="1">
      <c r="A8" s="99" t="s">
        <v>8</v>
      </c>
      <c r="C8" s="99" t="s">
        <v>9</v>
      </c>
      <c r="D8" s="26"/>
      <c r="E8" s="100" t="s">
        <v>314</v>
      </c>
      <c r="F8" s="26"/>
      <c r="G8" s="100" t="s">
        <v>293</v>
      </c>
      <c r="H8" s="26"/>
      <c r="I8" s="100" t="s">
        <v>335</v>
      </c>
      <c r="J8" s="26"/>
      <c r="K8" s="100" t="s">
        <v>309</v>
      </c>
      <c r="L8" s="26"/>
      <c r="M8" s="100" t="s">
        <v>312</v>
      </c>
      <c r="N8" s="26"/>
      <c r="O8" s="100" t="s">
        <v>336</v>
      </c>
      <c r="P8" s="26"/>
      <c r="Q8" s="100" t="s">
        <v>337</v>
      </c>
      <c r="R8" s="26"/>
      <c r="S8" s="100" t="s">
        <v>338</v>
      </c>
      <c r="T8" s="26"/>
      <c r="U8" s="100" t="s">
        <v>331</v>
      </c>
      <c r="V8" s="26"/>
      <c r="W8" s="100" t="s">
        <v>339</v>
      </c>
      <c r="X8" s="26"/>
      <c r="Y8" s="100" t="s">
        <v>340</v>
      </c>
      <c r="AA8" s="99" t="s">
        <v>337</v>
      </c>
      <c r="AC8" s="99" t="s">
        <v>337</v>
      </c>
      <c r="AD8" s="26"/>
      <c r="AE8" s="99" t="s">
        <v>443</v>
      </c>
      <c r="AF8" s="26"/>
      <c r="AG8" s="99" t="s">
        <v>433</v>
      </c>
      <c r="AH8" s="26"/>
      <c r="AI8" s="99" t="s">
        <v>453</v>
      </c>
      <c r="AJ8" s="26"/>
      <c r="AK8" s="99" t="s">
        <v>431</v>
      </c>
      <c r="AL8" s="26"/>
      <c r="AM8" s="101" t="s">
        <v>429</v>
      </c>
      <c r="AN8" s="26"/>
      <c r="AO8" s="26"/>
      <c r="AP8" s="26"/>
      <c r="AQ8" s="26"/>
      <c r="AR8" s="26"/>
      <c r="AS8" s="26"/>
    </row>
    <row r="9" spans="1:45" s="98" customFormat="1" ht="12.75" customHeight="1">
      <c r="A9" s="26"/>
      <c r="C9" s="26"/>
      <c r="D9" s="26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26"/>
      <c r="AS9" s="26"/>
    </row>
    <row r="10" spans="1:45" s="46" customFormat="1" ht="12.75" customHeight="1">
      <c r="A10" s="64" t="s">
        <v>12</v>
      </c>
      <c r="C10" s="64" t="s">
        <v>13</v>
      </c>
      <c r="E10" s="94">
        <v>20512338</v>
      </c>
      <c r="F10" s="94"/>
      <c r="G10" s="94">
        <v>91538420</v>
      </c>
      <c r="H10" s="94"/>
      <c r="I10" s="94">
        <v>1684642</v>
      </c>
      <c r="J10" s="94"/>
      <c r="K10" s="94">
        <v>7968365</v>
      </c>
      <c r="L10" s="94"/>
      <c r="M10" s="94">
        <v>23241667</v>
      </c>
      <c r="N10" s="94"/>
      <c r="O10" s="94">
        <v>3459168</v>
      </c>
      <c r="P10" s="94"/>
      <c r="Q10" s="94">
        <v>0</v>
      </c>
      <c r="R10" s="94"/>
      <c r="S10" s="94">
        <v>0</v>
      </c>
      <c r="T10" s="94"/>
      <c r="U10" s="94">
        <v>0</v>
      </c>
      <c r="V10" s="94"/>
      <c r="W10" s="94">
        <v>63293</v>
      </c>
      <c r="X10" s="94"/>
      <c r="Y10" s="94">
        <v>24390</v>
      </c>
      <c r="AA10" s="46">
        <v>0</v>
      </c>
      <c r="AC10" s="94">
        <f t="shared" ref="AC10:AC70" si="0">SUM(E10:AA10)</f>
        <v>148492283</v>
      </c>
      <c r="AD10" s="94"/>
      <c r="AE10" s="68">
        <v>0</v>
      </c>
      <c r="AF10" s="68"/>
      <c r="AG10" s="94">
        <v>3551393</v>
      </c>
      <c r="AH10" s="94"/>
      <c r="AI10" s="94">
        <v>9214346</v>
      </c>
      <c r="AJ10" s="94"/>
      <c r="AK10" s="68">
        <v>0</v>
      </c>
      <c r="AL10" s="94"/>
      <c r="AM10" s="94">
        <f>+'Gen rev'!U10-'Gen exp'!AC10-AG10+'Gen rev'!W10+AI10+AK10-'Gen Bal'!S10-'Gen exp'!AE10</f>
        <v>0</v>
      </c>
      <c r="AN10" s="94"/>
      <c r="AO10" s="94"/>
      <c r="AP10" s="94"/>
      <c r="AQ10" s="94"/>
      <c r="AR10" s="90"/>
      <c r="AS10" s="64"/>
    </row>
    <row r="11" spans="1:45" s="145" customFormat="1" ht="12.75" customHeight="1">
      <c r="A11" s="144" t="s">
        <v>14</v>
      </c>
      <c r="C11" s="144" t="s">
        <v>15</v>
      </c>
      <c r="E11" s="45">
        <v>2223292</v>
      </c>
      <c r="F11" s="45"/>
      <c r="G11" s="45">
        <v>6775267</v>
      </c>
      <c r="H11" s="45"/>
      <c r="I11" s="45">
        <v>115926</v>
      </c>
      <c r="J11" s="45"/>
      <c r="K11" s="45">
        <v>569095</v>
      </c>
      <c r="L11" s="45"/>
      <c r="M11" s="45">
        <v>18409</v>
      </c>
      <c r="N11" s="45"/>
      <c r="O11" s="45">
        <v>687874</v>
      </c>
      <c r="P11" s="45"/>
      <c r="Q11" s="45">
        <v>53228</v>
      </c>
      <c r="R11" s="45"/>
      <c r="S11" s="45">
        <v>0</v>
      </c>
      <c r="T11" s="45"/>
      <c r="U11" s="45">
        <v>0</v>
      </c>
      <c r="V11" s="45"/>
      <c r="W11" s="45">
        <v>0</v>
      </c>
      <c r="X11" s="45"/>
      <c r="Y11" s="45">
        <v>0</v>
      </c>
      <c r="Z11" s="44"/>
      <c r="AA11" s="45">
        <v>0</v>
      </c>
      <c r="AB11" s="44"/>
      <c r="AC11" s="45">
        <f t="shared" si="0"/>
        <v>10443091</v>
      </c>
      <c r="AD11" s="45"/>
      <c r="AE11" s="48">
        <v>0</v>
      </c>
      <c r="AF11" s="48"/>
      <c r="AG11" s="45">
        <v>736219</v>
      </c>
      <c r="AH11" s="45"/>
      <c r="AI11" s="45">
        <v>2469846</v>
      </c>
      <c r="AJ11" s="45"/>
      <c r="AK11" s="45">
        <v>0</v>
      </c>
      <c r="AL11" s="45"/>
      <c r="AM11" s="45">
        <f>+'Gen rev'!U11-'Gen exp'!AC11-AG11+'Gen rev'!W11+AI11+AK11-'Gen Bal'!S11-'Gen exp'!AE11</f>
        <v>0</v>
      </c>
      <c r="AN11" s="146"/>
      <c r="AO11" s="146"/>
      <c r="AP11" s="146"/>
      <c r="AQ11" s="146"/>
      <c r="AR11" s="147"/>
      <c r="AS11" s="144"/>
    </row>
    <row r="12" spans="1:45" s="49" customFormat="1" ht="12.75" customHeight="1">
      <c r="A12" s="28" t="s">
        <v>16</v>
      </c>
      <c r="C12" s="28" t="s">
        <v>17</v>
      </c>
      <c r="E12" s="45">
        <v>836926</v>
      </c>
      <c r="F12" s="45"/>
      <c r="G12" s="45">
        <v>3307581</v>
      </c>
      <c r="H12" s="45"/>
      <c r="I12" s="45">
        <v>134718</v>
      </c>
      <c r="J12" s="45"/>
      <c r="K12" s="45">
        <v>60277</v>
      </c>
      <c r="L12" s="45"/>
      <c r="M12" s="45">
        <v>0</v>
      </c>
      <c r="N12" s="45"/>
      <c r="O12" s="45">
        <v>0</v>
      </c>
      <c r="P12" s="45"/>
      <c r="Q12" s="45">
        <v>0</v>
      </c>
      <c r="R12" s="45"/>
      <c r="S12" s="45">
        <v>38940</v>
      </c>
      <c r="T12" s="45"/>
      <c r="U12" s="45">
        <v>0</v>
      </c>
      <c r="V12" s="45"/>
      <c r="W12" s="45">
        <v>0</v>
      </c>
      <c r="X12" s="45"/>
      <c r="Y12" s="45">
        <v>0</v>
      </c>
      <c r="Z12" s="44"/>
      <c r="AA12" s="45">
        <v>0</v>
      </c>
      <c r="AB12" s="44"/>
      <c r="AC12" s="45">
        <f t="shared" si="0"/>
        <v>4378442</v>
      </c>
      <c r="AD12" s="45"/>
      <c r="AE12" s="48">
        <v>0</v>
      </c>
      <c r="AF12" s="48"/>
      <c r="AG12" s="45">
        <v>58245</v>
      </c>
      <c r="AH12" s="45"/>
      <c r="AI12" s="45">
        <v>2222981</v>
      </c>
      <c r="AJ12" s="45"/>
      <c r="AK12" s="45">
        <v>0</v>
      </c>
      <c r="AL12" s="45"/>
      <c r="AM12" s="45">
        <f>+'Gen rev'!U12-'Gen exp'!AC12-AG12+'Gen rev'!W12+AI12+AK12-'Gen Bal'!S12-'Gen exp'!AE12</f>
        <v>0</v>
      </c>
      <c r="AN12" s="45"/>
      <c r="AO12" s="45"/>
      <c r="AP12" s="45"/>
      <c r="AQ12" s="45"/>
      <c r="AR12" s="52"/>
      <c r="AS12" s="50"/>
    </row>
    <row r="13" spans="1:45" s="49" customFormat="1" ht="12.75" customHeight="1">
      <c r="A13" s="28" t="s">
        <v>18</v>
      </c>
      <c r="C13" s="28" t="s">
        <v>18</v>
      </c>
      <c r="E13" s="45">
        <v>4546321</v>
      </c>
      <c r="F13" s="45"/>
      <c r="G13" s="45">
        <v>5979687</v>
      </c>
      <c r="H13" s="45"/>
      <c r="I13" s="45">
        <v>131596</v>
      </c>
      <c r="J13" s="45"/>
      <c r="K13" s="45">
        <v>307075</v>
      </c>
      <c r="L13" s="45"/>
      <c r="M13" s="45">
        <v>0</v>
      </c>
      <c r="N13" s="45"/>
      <c r="O13" s="45">
        <v>0</v>
      </c>
      <c r="P13" s="45"/>
      <c r="Q13" s="45">
        <v>0</v>
      </c>
      <c r="R13" s="45"/>
      <c r="S13" s="45">
        <v>0</v>
      </c>
      <c r="T13" s="45"/>
      <c r="U13" s="45">
        <v>0</v>
      </c>
      <c r="V13" s="45"/>
      <c r="W13" s="45">
        <v>0</v>
      </c>
      <c r="X13" s="45"/>
      <c r="Y13" s="45">
        <v>0</v>
      </c>
      <c r="Z13" s="44"/>
      <c r="AA13" s="45">
        <v>0</v>
      </c>
      <c r="AB13" s="44"/>
      <c r="AC13" s="45">
        <f t="shared" si="0"/>
        <v>10964679</v>
      </c>
      <c r="AD13" s="45"/>
      <c r="AE13" s="48">
        <v>0</v>
      </c>
      <c r="AF13" s="48"/>
      <c r="AG13" s="45">
        <v>468114</v>
      </c>
      <c r="AH13" s="45"/>
      <c r="AI13" s="45">
        <v>1261762</v>
      </c>
      <c r="AJ13" s="45"/>
      <c r="AK13" s="45">
        <v>0</v>
      </c>
      <c r="AL13" s="45"/>
      <c r="AM13" s="45">
        <f>+'Gen rev'!U13-'Gen exp'!AC13-AG13+'Gen rev'!W13+AI13+AK13-'Gen Bal'!S13-'Gen exp'!AE13</f>
        <v>0</v>
      </c>
      <c r="AN13" s="45"/>
      <c r="AO13" s="45"/>
      <c r="AP13" s="45"/>
      <c r="AQ13" s="45"/>
      <c r="AR13" s="52"/>
      <c r="AS13" s="50"/>
    </row>
    <row r="14" spans="1:45" s="49" customFormat="1" ht="12.75" customHeight="1">
      <c r="A14" s="28" t="s">
        <v>19</v>
      </c>
      <c r="C14" s="28" t="s">
        <v>19</v>
      </c>
      <c r="E14" s="45">
        <f>2609866+973797</f>
        <v>3583663</v>
      </c>
      <c r="F14" s="45"/>
      <c r="G14" s="45">
        <f>2967765+2252988</f>
        <v>5220753</v>
      </c>
      <c r="H14" s="45"/>
      <c r="I14" s="45">
        <v>20483</v>
      </c>
      <c r="J14" s="45"/>
      <c r="K14" s="45">
        <v>220311</v>
      </c>
      <c r="L14" s="45"/>
      <c r="M14" s="45">
        <v>9194</v>
      </c>
      <c r="N14" s="45"/>
      <c r="O14" s="45">
        <v>22000</v>
      </c>
      <c r="P14" s="45"/>
      <c r="Q14" s="45">
        <v>0</v>
      </c>
      <c r="R14" s="45"/>
      <c r="S14" s="45">
        <v>0</v>
      </c>
      <c r="T14" s="45"/>
      <c r="U14" s="45">
        <v>0</v>
      </c>
      <c r="V14" s="45"/>
      <c r="W14" s="45">
        <v>0</v>
      </c>
      <c r="X14" s="45"/>
      <c r="Y14" s="45">
        <v>0</v>
      </c>
      <c r="Z14" s="44"/>
      <c r="AA14" s="45">
        <v>33441</v>
      </c>
      <c r="AB14" s="44"/>
      <c r="AC14" s="45">
        <f t="shared" si="0"/>
        <v>9109845</v>
      </c>
      <c r="AD14" s="45"/>
      <c r="AE14" s="48">
        <v>0</v>
      </c>
      <c r="AF14" s="48"/>
      <c r="AG14" s="45">
        <v>328200</v>
      </c>
      <c r="AH14" s="45"/>
      <c r="AI14" s="45">
        <v>518099</v>
      </c>
      <c r="AJ14" s="45"/>
      <c r="AK14" s="45">
        <v>-2387</v>
      </c>
      <c r="AL14" s="45"/>
      <c r="AM14" s="45">
        <f>+'Gen rev'!U14-'Gen exp'!AC14-AG14+'Gen rev'!W14+AI14+AK14-'Gen Bal'!S14-'Gen exp'!AE14</f>
        <v>0</v>
      </c>
      <c r="AN14" s="45"/>
      <c r="AO14" s="45"/>
      <c r="AP14" s="45"/>
      <c r="AQ14" s="45"/>
      <c r="AR14" s="52"/>
      <c r="AS14" s="50"/>
    </row>
    <row r="15" spans="1:45" s="49" customFormat="1" ht="12.75" customHeight="1">
      <c r="A15" s="28" t="s">
        <v>20</v>
      </c>
      <c r="C15" s="28" t="s">
        <v>20</v>
      </c>
      <c r="E15" s="45">
        <v>4489122</v>
      </c>
      <c r="F15" s="45"/>
      <c r="G15" s="45">
        <f>3311912+2334819</f>
        <v>5646731</v>
      </c>
      <c r="H15" s="45"/>
      <c r="I15" s="45">
        <v>496288</v>
      </c>
      <c r="J15" s="45"/>
      <c r="K15" s="45">
        <v>0</v>
      </c>
      <c r="L15" s="45"/>
      <c r="M15" s="45">
        <v>476308</v>
      </c>
      <c r="N15" s="45"/>
      <c r="O15" s="45">
        <v>0</v>
      </c>
      <c r="P15" s="45"/>
      <c r="Q15" s="45">
        <v>0</v>
      </c>
      <c r="R15" s="45"/>
      <c r="S15" s="45">
        <v>0</v>
      </c>
      <c r="T15" s="45"/>
      <c r="U15" s="45">
        <v>0</v>
      </c>
      <c r="V15" s="45"/>
      <c r="W15" s="45">
        <v>0</v>
      </c>
      <c r="X15" s="45"/>
      <c r="Y15" s="45">
        <v>0</v>
      </c>
      <c r="Z15" s="44"/>
      <c r="AA15" s="45">
        <v>0</v>
      </c>
      <c r="AB15" s="44"/>
      <c r="AC15" s="45">
        <f t="shared" si="0"/>
        <v>11108449</v>
      </c>
      <c r="AD15" s="45"/>
      <c r="AE15" s="48">
        <v>0</v>
      </c>
      <c r="AF15" s="48"/>
      <c r="AG15" s="45">
        <v>4981</v>
      </c>
      <c r="AH15" s="45"/>
      <c r="AI15" s="45">
        <v>1586134</v>
      </c>
      <c r="AJ15" s="45"/>
      <c r="AK15" s="45">
        <v>0</v>
      </c>
      <c r="AL15" s="45"/>
      <c r="AM15" s="45">
        <f>+'Gen rev'!U15-'Gen exp'!AC15-AG15+'Gen rev'!W15+AI15+AK15-'Gen Bal'!S15-'Gen exp'!AE15</f>
        <v>0</v>
      </c>
      <c r="AN15" s="45"/>
      <c r="AO15" s="45"/>
      <c r="AP15" s="45"/>
      <c r="AQ15" s="45"/>
      <c r="AR15" s="52"/>
      <c r="AS15" s="50"/>
    </row>
    <row r="16" spans="1:45" s="49" customFormat="1" ht="12.75" customHeight="1">
      <c r="A16" s="28" t="s">
        <v>21</v>
      </c>
      <c r="C16" s="28" t="s">
        <v>22</v>
      </c>
      <c r="E16" s="45">
        <v>2333039</v>
      </c>
      <c r="F16" s="45"/>
      <c r="G16" s="45">
        <v>5884784</v>
      </c>
      <c r="H16" s="45"/>
      <c r="I16" s="45">
        <v>1016887</v>
      </c>
      <c r="J16" s="45"/>
      <c r="K16" s="45">
        <v>0</v>
      </c>
      <c r="L16" s="45"/>
      <c r="M16" s="45">
        <v>2048731</v>
      </c>
      <c r="N16" s="45"/>
      <c r="O16" s="45">
        <v>0</v>
      </c>
      <c r="P16" s="45"/>
      <c r="Q16" s="45">
        <v>0</v>
      </c>
      <c r="R16" s="45"/>
      <c r="S16" s="45">
        <v>0</v>
      </c>
      <c r="T16" s="45"/>
      <c r="U16" s="45">
        <v>0</v>
      </c>
      <c r="V16" s="45"/>
      <c r="W16" s="45">
        <v>2803</v>
      </c>
      <c r="X16" s="45"/>
      <c r="Y16" s="45">
        <v>1241</v>
      </c>
      <c r="Z16" s="44"/>
      <c r="AA16" s="45">
        <v>0</v>
      </c>
      <c r="AB16" s="44"/>
      <c r="AC16" s="45">
        <f t="shared" si="0"/>
        <v>11287485</v>
      </c>
      <c r="AD16" s="45"/>
      <c r="AE16" s="48">
        <v>0</v>
      </c>
      <c r="AF16" s="48"/>
      <c r="AG16" s="45">
        <v>1698000</v>
      </c>
      <c r="AH16" s="45"/>
      <c r="AI16" s="45">
        <v>7003790</v>
      </c>
      <c r="AJ16" s="45"/>
      <c r="AK16" s="45">
        <v>0</v>
      </c>
      <c r="AL16" s="45"/>
      <c r="AM16" s="45">
        <f>+'Gen rev'!U16-'Gen exp'!AC16-AG16+'Gen rev'!W16+AI16+AK16-'Gen Bal'!S16-'Gen exp'!AE16</f>
        <v>0</v>
      </c>
      <c r="AN16" s="45"/>
      <c r="AO16" s="45"/>
      <c r="AP16" s="45"/>
      <c r="AQ16" s="45"/>
      <c r="AR16" s="52"/>
      <c r="AS16" s="50"/>
    </row>
    <row r="17" spans="1:45" s="49" customFormat="1" ht="12.75" customHeight="1">
      <c r="A17" s="28" t="s">
        <v>23</v>
      </c>
      <c r="C17" s="28" t="s">
        <v>17</v>
      </c>
      <c r="E17" s="45">
        <v>2269474</v>
      </c>
      <c r="F17" s="45"/>
      <c r="G17" s="45">
        <v>0</v>
      </c>
      <c r="H17" s="45"/>
      <c r="I17" s="45">
        <v>946350</v>
      </c>
      <c r="J17" s="45"/>
      <c r="K17" s="45">
        <v>0</v>
      </c>
      <c r="L17" s="45"/>
      <c r="M17" s="45">
        <v>0</v>
      </c>
      <c r="N17" s="45"/>
      <c r="O17" s="45">
        <v>0</v>
      </c>
      <c r="P17" s="45"/>
      <c r="Q17" s="45">
        <v>0</v>
      </c>
      <c r="R17" s="45"/>
      <c r="S17" s="45">
        <v>0</v>
      </c>
      <c r="T17" s="45"/>
      <c r="U17" s="45">
        <v>0</v>
      </c>
      <c r="V17" s="45"/>
      <c r="W17" s="45">
        <v>0</v>
      </c>
      <c r="X17" s="45"/>
      <c r="Y17" s="45">
        <v>0</v>
      </c>
      <c r="Z17" s="44"/>
      <c r="AA17" s="45">
        <v>0</v>
      </c>
      <c r="AB17" s="44"/>
      <c r="AC17" s="45">
        <f t="shared" si="0"/>
        <v>3215824</v>
      </c>
      <c r="AD17" s="45"/>
      <c r="AE17" s="48">
        <v>0</v>
      </c>
      <c r="AF17" s="48"/>
      <c r="AG17" s="45">
        <v>5471588</v>
      </c>
      <c r="AH17" s="45"/>
      <c r="AI17" s="45">
        <v>6498193</v>
      </c>
      <c r="AJ17" s="45"/>
      <c r="AK17" s="45">
        <v>0</v>
      </c>
      <c r="AL17" s="45"/>
      <c r="AM17" s="45">
        <f>+'Gen rev'!U17-'Gen exp'!AC17-AG17+'Gen rev'!W17+AI17+AK17-'Gen Bal'!S17-'Gen exp'!AE17</f>
        <v>0</v>
      </c>
      <c r="AN17" s="44"/>
      <c r="AO17" s="44"/>
      <c r="AP17" s="44"/>
      <c r="AQ17" s="44"/>
    </row>
    <row r="18" spans="1:45" s="49" customFormat="1" ht="12.75" customHeight="1">
      <c r="A18" s="28" t="s">
        <v>24</v>
      </c>
      <c r="C18" s="28" t="s">
        <v>17</v>
      </c>
      <c r="E18" s="45">
        <v>2415893</v>
      </c>
      <c r="F18" s="45"/>
      <c r="G18" s="45">
        <v>5299314</v>
      </c>
      <c r="H18" s="45"/>
      <c r="I18" s="45">
        <v>298491</v>
      </c>
      <c r="J18" s="45"/>
      <c r="K18" s="45">
        <v>73700</v>
      </c>
      <c r="L18" s="45"/>
      <c r="M18" s="45">
        <v>3182927</v>
      </c>
      <c r="N18" s="45"/>
      <c r="O18" s="45">
        <v>580394</v>
      </c>
      <c r="P18" s="45"/>
      <c r="Q18" s="45">
        <v>-2252</v>
      </c>
      <c r="R18" s="45"/>
      <c r="S18" s="45">
        <v>0</v>
      </c>
      <c r="T18" s="45"/>
      <c r="U18" s="45">
        <v>0</v>
      </c>
      <c r="V18" s="45"/>
      <c r="W18" s="45">
        <v>28031</v>
      </c>
      <c r="X18" s="45"/>
      <c r="Y18" s="45">
        <v>0</v>
      </c>
      <c r="Z18" s="44"/>
      <c r="AA18" s="45">
        <v>0</v>
      </c>
      <c r="AB18" s="44"/>
      <c r="AC18" s="45">
        <f t="shared" si="0"/>
        <v>11876498</v>
      </c>
      <c r="AD18" s="45"/>
      <c r="AE18" s="48">
        <v>0</v>
      </c>
      <c r="AF18" s="48"/>
      <c r="AG18" s="45">
        <v>706203</v>
      </c>
      <c r="AH18" s="45"/>
      <c r="AI18" s="45">
        <v>3030029</v>
      </c>
      <c r="AJ18" s="45"/>
      <c r="AK18" s="45">
        <v>0</v>
      </c>
      <c r="AL18" s="45"/>
      <c r="AM18" s="45">
        <f>+'Gen rev'!U18-'Gen exp'!AC18-AG18+'Gen rev'!W18+AI18+AK18-'Gen Bal'!S18-'Gen exp'!AE18</f>
        <v>0</v>
      </c>
      <c r="AN18" s="44"/>
      <c r="AO18" s="44"/>
      <c r="AP18" s="44"/>
      <c r="AQ18" s="44"/>
    </row>
    <row r="19" spans="1:45" s="49" customFormat="1" ht="12.75" customHeight="1">
      <c r="A19" s="28" t="s">
        <v>25</v>
      </c>
      <c r="C19" s="28" t="s">
        <v>13</v>
      </c>
      <c r="E19" s="45">
        <v>4329079</v>
      </c>
      <c r="F19" s="45"/>
      <c r="G19" s="45">
        <v>10319733</v>
      </c>
      <c r="H19" s="45"/>
      <c r="I19" s="45">
        <v>743517</v>
      </c>
      <c r="J19" s="45"/>
      <c r="K19" s="45">
        <v>0</v>
      </c>
      <c r="L19" s="45"/>
      <c r="M19" s="45">
        <v>158495</v>
      </c>
      <c r="N19" s="45"/>
      <c r="O19" s="45">
        <v>871162</v>
      </c>
      <c r="P19" s="45"/>
      <c r="Q19" s="45">
        <v>0</v>
      </c>
      <c r="R19" s="45"/>
      <c r="S19" s="45">
        <v>206174</v>
      </c>
      <c r="T19" s="45"/>
      <c r="U19" s="45">
        <v>0</v>
      </c>
      <c r="V19" s="45"/>
      <c r="W19" s="45">
        <v>69661</v>
      </c>
      <c r="X19" s="45"/>
      <c r="Y19" s="45">
        <v>4108</v>
      </c>
      <c r="Z19" s="44"/>
      <c r="AA19" s="45">
        <v>0</v>
      </c>
      <c r="AB19" s="44"/>
      <c r="AC19" s="45">
        <f t="shared" si="0"/>
        <v>16701929</v>
      </c>
      <c r="AD19" s="45"/>
      <c r="AE19" s="48">
        <v>0</v>
      </c>
      <c r="AF19" s="48"/>
      <c r="AG19" s="45">
        <v>1575005</v>
      </c>
      <c r="AH19" s="45"/>
      <c r="AI19" s="45">
        <v>3376432</v>
      </c>
      <c r="AJ19" s="45"/>
      <c r="AK19" s="45">
        <v>0</v>
      </c>
      <c r="AL19" s="45"/>
      <c r="AM19" s="45">
        <f>+'Gen rev'!U19-'Gen exp'!AC19-AG19+'Gen rev'!W19+AI19+AK19-'Gen Bal'!S19-'Gen exp'!AE19</f>
        <v>0</v>
      </c>
      <c r="AN19" s="44"/>
      <c r="AO19" s="44"/>
      <c r="AP19" s="44"/>
      <c r="AQ19" s="44"/>
    </row>
    <row r="20" spans="1:45" s="49" customFormat="1" ht="12.75" customHeight="1">
      <c r="A20" s="28" t="s">
        <v>26</v>
      </c>
      <c r="C20" s="28" t="s">
        <v>27</v>
      </c>
      <c r="E20" s="45">
        <v>3017852</v>
      </c>
      <c r="F20" s="45"/>
      <c r="G20" s="45">
        <v>5055726</v>
      </c>
      <c r="H20" s="45"/>
      <c r="I20" s="45">
        <v>757108</v>
      </c>
      <c r="J20" s="45"/>
      <c r="K20" s="45">
        <v>242182</v>
      </c>
      <c r="L20" s="45"/>
      <c r="M20" s="45">
        <v>188653</v>
      </c>
      <c r="N20" s="45"/>
      <c r="O20" s="45">
        <v>0</v>
      </c>
      <c r="P20" s="45"/>
      <c r="Q20" s="45">
        <v>1816963</v>
      </c>
      <c r="R20" s="45"/>
      <c r="S20" s="45">
        <v>0</v>
      </c>
      <c r="T20" s="45"/>
      <c r="U20" s="45">
        <v>0</v>
      </c>
      <c r="V20" s="45"/>
      <c r="W20" s="45">
        <v>0</v>
      </c>
      <c r="X20" s="45"/>
      <c r="Y20" s="45">
        <v>0</v>
      </c>
      <c r="Z20" s="44"/>
      <c r="AA20" s="45">
        <v>0</v>
      </c>
      <c r="AB20" s="44"/>
      <c r="AC20" s="45">
        <f t="shared" si="0"/>
        <v>11078484</v>
      </c>
      <c r="AD20" s="45"/>
      <c r="AE20" s="48">
        <v>0</v>
      </c>
      <c r="AF20" s="48"/>
      <c r="AG20" s="45">
        <v>1045500</v>
      </c>
      <c r="AH20" s="45"/>
      <c r="AI20" s="45">
        <v>3512703</v>
      </c>
      <c r="AJ20" s="45"/>
      <c r="AK20" s="45">
        <v>0</v>
      </c>
      <c r="AL20" s="45"/>
      <c r="AM20" s="45">
        <f>+'Gen rev'!U20-'Gen exp'!AC20-AG20+'Gen rev'!W20+AI20+AK20-'Gen Bal'!S20-'Gen exp'!AE20</f>
        <v>0</v>
      </c>
      <c r="AN20" s="44"/>
      <c r="AO20" s="44"/>
      <c r="AP20" s="44"/>
      <c r="AQ20" s="44"/>
    </row>
    <row r="21" spans="1:45" s="49" customFormat="1" ht="12.75" customHeight="1">
      <c r="A21" s="28" t="s">
        <v>28</v>
      </c>
      <c r="C21" s="28" t="s">
        <v>27</v>
      </c>
      <c r="E21" s="45">
        <v>4252552</v>
      </c>
      <c r="F21" s="45"/>
      <c r="G21" s="45">
        <f>7609256+5872364</f>
        <v>13481620</v>
      </c>
      <c r="H21" s="45"/>
      <c r="I21" s="45">
        <v>964252</v>
      </c>
      <c r="J21" s="45"/>
      <c r="K21" s="45">
        <v>535376</v>
      </c>
      <c r="L21" s="45"/>
      <c r="M21" s="45">
        <v>7364714</v>
      </c>
      <c r="N21" s="45"/>
      <c r="O21" s="45">
        <v>2401030</v>
      </c>
      <c r="P21" s="45"/>
      <c r="Q21" s="45">
        <v>0</v>
      </c>
      <c r="R21" s="45"/>
      <c r="S21" s="45">
        <v>0</v>
      </c>
      <c r="T21" s="45"/>
      <c r="U21" s="45">
        <v>0</v>
      </c>
      <c r="V21" s="45"/>
      <c r="W21" s="45">
        <v>0</v>
      </c>
      <c r="X21" s="45"/>
      <c r="Y21" s="45">
        <v>0</v>
      </c>
      <c r="Z21" s="44"/>
      <c r="AA21" s="45">
        <v>0</v>
      </c>
      <c r="AB21" s="44"/>
      <c r="AC21" s="45">
        <f t="shared" si="0"/>
        <v>28999544</v>
      </c>
      <c r="AD21" s="45"/>
      <c r="AE21" s="48">
        <v>0</v>
      </c>
      <c r="AF21" s="48"/>
      <c r="AG21" s="45">
        <v>5107562</v>
      </c>
      <c r="AH21" s="45"/>
      <c r="AI21" s="45">
        <v>26598560</v>
      </c>
      <c r="AJ21" s="45"/>
      <c r="AK21" s="45">
        <v>0</v>
      </c>
      <c r="AL21" s="45"/>
      <c r="AM21" s="45">
        <f>+'Gen rev'!U21-'Gen exp'!AC21-AG21+'Gen rev'!W21+AI21+AK21-'Gen Bal'!S21-'Gen exp'!AE21</f>
        <v>0</v>
      </c>
      <c r="AN21" s="44"/>
      <c r="AO21" s="44"/>
      <c r="AP21" s="44"/>
      <c r="AQ21" s="44"/>
    </row>
    <row r="22" spans="1:45" s="49" customFormat="1" ht="12.75" customHeight="1">
      <c r="A22" s="44" t="s">
        <v>29</v>
      </c>
      <c r="C22" s="44" t="s">
        <v>30</v>
      </c>
      <c r="E22" s="45">
        <v>1494391</v>
      </c>
      <c r="F22" s="45"/>
      <c r="G22" s="45">
        <v>0</v>
      </c>
      <c r="H22" s="45"/>
      <c r="I22" s="45">
        <v>597963</v>
      </c>
      <c r="J22" s="45"/>
      <c r="K22" s="45">
        <v>110501</v>
      </c>
      <c r="L22" s="45"/>
      <c r="M22" s="45">
        <v>0</v>
      </c>
      <c r="N22" s="45"/>
      <c r="O22" s="45">
        <v>1105942</v>
      </c>
      <c r="P22" s="45"/>
      <c r="Q22" s="45">
        <v>74326</v>
      </c>
      <c r="R22" s="45"/>
      <c r="S22" s="45">
        <v>194063</v>
      </c>
      <c r="T22" s="45"/>
      <c r="U22" s="45">
        <v>0</v>
      </c>
      <c r="V22" s="45"/>
      <c r="W22" s="45">
        <v>0</v>
      </c>
      <c r="X22" s="45"/>
      <c r="Y22" s="45">
        <v>0</v>
      </c>
      <c r="Z22" s="44"/>
      <c r="AA22" s="45">
        <v>0</v>
      </c>
      <c r="AB22" s="44"/>
      <c r="AC22" s="45">
        <f t="shared" si="0"/>
        <v>3577186</v>
      </c>
      <c r="AD22" s="45"/>
      <c r="AE22" s="48">
        <v>0</v>
      </c>
      <c r="AF22" s="48"/>
      <c r="AG22" s="45">
        <v>852196</v>
      </c>
      <c r="AH22" s="45"/>
      <c r="AI22" s="45">
        <v>2427926</v>
      </c>
      <c r="AJ22" s="45"/>
      <c r="AK22" s="45">
        <v>0</v>
      </c>
      <c r="AL22" s="45"/>
      <c r="AM22" s="45">
        <f>+'Gen rev'!U22-'Gen exp'!AC22-AG22+'Gen rev'!W22+AI22+AK22-'Gen Bal'!S22-'Gen exp'!AE22</f>
        <v>0</v>
      </c>
      <c r="AN22" s="45"/>
      <c r="AO22" s="45"/>
      <c r="AP22" s="45"/>
      <c r="AQ22" s="45"/>
      <c r="AR22" s="52"/>
      <c r="AS22" s="50"/>
    </row>
    <row r="23" spans="1:45" s="49" customFormat="1" ht="12.75" customHeight="1">
      <c r="A23" s="28" t="s">
        <v>31</v>
      </c>
      <c r="C23" s="28" t="s">
        <v>27</v>
      </c>
      <c r="E23" s="45">
        <v>4616724</v>
      </c>
      <c r="F23" s="45"/>
      <c r="G23" s="45">
        <f>4297973+118978</f>
        <v>4416951</v>
      </c>
      <c r="H23" s="45"/>
      <c r="I23" s="45">
        <v>833034</v>
      </c>
      <c r="J23" s="45"/>
      <c r="K23" s="45">
        <v>161399</v>
      </c>
      <c r="L23" s="45"/>
      <c r="M23" s="45">
        <v>1565493</v>
      </c>
      <c r="N23" s="45"/>
      <c r="O23" s="45">
        <v>1297948</v>
      </c>
      <c r="P23" s="45"/>
      <c r="Q23" s="45">
        <v>728170</v>
      </c>
      <c r="R23" s="45"/>
      <c r="S23" s="45">
        <v>0</v>
      </c>
      <c r="T23" s="45"/>
      <c r="U23" s="45">
        <v>0</v>
      </c>
      <c r="V23" s="45"/>
      <c r="W23" s="45">
        <v>15695</v>
      </c>
      <c r="X23" s="45"/>
      <c r="Y23" s="45">
        <v>8481</v>
      </c>
      <c r="Z23" s="44"/>
      <c r="AA23" s="45">
        <v>0</v>
      </c>
      <c r="AB23" s="44"/>
      <c r="AC23" s="45">
        <f t="shared" si="0"/>
        <v>13643895</v>
      </c>
      <c r="AD23" s="45"/>
      <c r="AE23" s="48">
        <v>0</v>
      </c>
      <c r="AF23" s="48"/>
      <c r="AG23" s="45">
        <v>3214833</v>
      </c>
      <c r="AH23" s="45"/>
      <c r="AI23" s="45">
        <v>10448266</v>
      </c>
      <c r="AJ23" s="45"/>
      <c r="AK23" s="45">
        <v>0</v>
      </c>
      <c r="AL23" s="45"/>
      <c r="AM23" s="45">
        <f>+'Gen rev'!U23-'Gen exp'!AC23-AG23+'Gen rev'!W23+AI23+AK23-'Gen Bal'!S23-'Gen exp'!AE23</f>
        <v>0</v>
      </c>
      <c r="AN23" s="45"/>
      <c r="AO23" s="45"/>
      <c r="AP23" s="45"/>
      <c r="AQ23" s="45"/>
      <c r="AR23" s="52"/>
      <c r="AS23" s="50"/>
    </row>
    <row r="24" spans="1:45" s="49" customFormat="1" ht="12.75" customHeight="1">
      <c r="A24" s="28" t="s">
        <v>32</v>
      </c>
      <c r="C24" s="28" t="s">
        <v>27</v>
      </c>
      <c r="E24" s="45">
        <v>3559387</v>
      </c>
      <c r="F24" s="45"/>
      <c r="G24" s="45">
        <v>6574438</v>
      </c>
      <c r="H24" s="45"/>
      <c r="I24" s="45">
        <v>366986</v>
      </c>
      <c r="J24" s="45"/>
      <c r="K24" s="45">
        <v>383888</v>
      </c>
      <c r="L24" s="45"/>
      <c r="M24" s="45">
        <v>14</v>
      </c>
      <c r="N24" s="45"/>
      <c r="O24" s="45">
        <v>1344025</v>
      </c>
      <c r="P24" s="45"/>
      <c r="Q24" s="45">
        <v>711748</v>
      </c>
      <c r="R24" s="45"/>
      <c r="S24" s="45">
        <v>12727</v>
      </c>
      <c r="T24" s="45"/>
      <c r="U24" s="45">
        <v>0</v>
      </c>
      <c r="V24" s="45"/>
      <c r="W24" s="45">
        <v>0</v>
      </c>
      <c r="X24" s="45"/>
      <c r="Y24" s="45">
        <v>0</v>
      </c>
      <c r="Z24" s="44"/>
      <c r="AA24" s="45">
        <v>0</v>
      </c>
      <c r="AB24" s="44"/>
      <c r="AC24" s="45">
        <f t="shared" ref="AC24:AC53" si="1">SUM(E24:AA24)</f>
        <v>12953213</v>
      </c>
      <c r="AD24" s="45"/>
      <c r="AE24" s="48">
        <v>0</v>
      </c>
      <c r="AF24" s="48"/>
      <c r="AG24" s="45">
        <v>2992231</v>
      </c>
      <c r="AH24" s="45"/>
      <c r="AI24" s="45">
        <v>6342727</v>
      </c>
      <c r="AJ24" s="45"/>
      <c r="AK24" s="45">
        <v>0</v>
      </c>
      <c r="AL24" s="45"/>
      <c r="AM24" s="45">
        <f>+'Gen rev'!U24-'Gen exp'!AC24-AG24+'Gen rev'!W24+AI24+AK24-'Gen Bal'!S24-'Gen exp'!AE24</f>
        <v>0</v>
      </c>
      <c r="AN24" s="44"/>
      <c r="AO24" s="44"/>
      <c r="AP24" s="44"/>
      <c r="AQ24" s="44"/>
    </row>
    <row r="25" spans="1:45" s="49" customFormat="1" ht="12.75" customHeight="1">
      <c r="A25" s="28" t="s">
        <v>34</v>
      </c>
      <c r="C25" s="28" t="s">
        <v>30</v>
      </c>
      <c r="E25" s="45">
        <v>426941</v>
      </c>
      <c r="F25" s="45"/>
      <c r="G25" s="45">
        <v>14474</v>
      </c>
      <c r="H25" s="45"/>
      <c r="I25" s="45">
        <v>46215</v>
      </c>
      <c r="J25" s="45"/>
      <c r="K25" s="45">
        <v>0</v>
      </c>
      <c r="L25" s="45"/>
      <c r="M25" s="45">
        <v>0</v>
      </c>
      <c r="N25" s="45"/>
      <c r="O25" s="45">
        <v>11369</v>
      </c>
      <c r="P25" s="45"/>
      <c r="Q25" s="45">
        <v>0</v>
      </c>
      <c r="R25" s="45"/>
      <c r="S25" s="45">
        <v>0</v>
      </c>
      <c r="T25" s="45"/>
      <c r="U25" s="45">
        <v>0</v>
      </c>
      <c r="V25" s="45"/>
      <c r="W25" s="45">
        <v>0</v>
      </c>
      <c r="X25" s="45"/>
      <c r="Y25" s="45">
        <v>0</v>
      </c>
      <c r="Z25" s="44"/>
      <c r="AA25" s="45">
        <v>0</v>
      </c>
      <c r="AB25" s="44"/>
      <c r="AC25" s="45">
        <f t="shared" si="1"/>
        <v>498999</v>
      </c>
      <c r="AD25" s="45"/>
      <c r="AE25" s="48">
        <v>0</v>
      </c>
      <c r="AF25" s="48"/>
      <c r="AG25" s="45">
        <v>625000</v>
      </c>
      <c r="AH25" s="45"/>
      <c r="AI25" s="45">
        <v>836347</v>
      </c>
      <c r="AJ25" s="45"/>
      <c r="AK25" s="45">
        <v>0</v>
      </c>
      <c r="AL25" s="45"/>
      <c r="AM25" s="45">
        <f>+'Gen rev'!U25-'Gen exp'!AC25-AG25+'Gen rev'!W25+AI25+AK25-'Gen Bal'!S25-'Gen exp'!AE25</f>
        <v>0</v>
      </c>
      <c r="AN25" s="44">
        <f>14851238-13643895-2990394</f>
        <v>-1783051</v>
      </c>
      <c r="AO25" s="44"/>
      <c r="AP25" s="44"/>
      <c r="AQ25" s="44"/>
    </row>
    <row r="26" spans="1:45" s="49" customFormat="1" ht="12.75" customHeight="1">
      <c r="A26" s="28" t="s">
        <v>35</v>
      </c>
      <c r="C26" s="28" t="s">
        <v>36</v>
      </c>
      <c r="E26" s="45">
        <f>1700783+530655</f>
        <v>2231438</v>
      </c>
      <c r="F26" s="45"/>
      <c r="G26" s="45">
        <v>3584974</v>
      </c>
      <c r="H26" s="45"/>
      <c r="I26" s="45">
        <v>128924</v>
      </c>
      <c r="J26" s="45"/>
      <c r="K26" s="45">
        <v>130640</v>
      </c>
      <c r="L26" s="45"/>
      <c r="M26" s="45">
        <v>294839</v>
      </c>
      <c r="N26" s="45"/>
      <c r="O26" s="45">
        <v>0</v>
      </c>
      <c r="P26" s="45"/>
      <c r="Q26" s="45">
        <v>255586</v>
      </c>
      <c r="R26" s="45"/>
      <c r="S26" s="45">
        <v>1005481</v>
      </c>
      <c r="T26" s="45"/>
      <c r="U26" s="45">
        <v>0</v>
      </c>
      <c r="V26" s="45"/>
      <c r="W26" s="45">
        <v>0</v>
      </c>
      <c r="X26" s="45"/>
      <c r="Y26" s="45">
        <v>0</v>
      </c>
      <c r="Z26" s="44"/>
      <c r="AA26" s="45">
        <v>0</v>
      </c>
      <c r="AB26" s="44"/>
      <c r="AC26" s="45">
        <f t="shared" si="1"/>
        <v>7631882</v>
      </c>
      <c r="AD26" s="45"/>
      <c r="AE26" s="48">
        <v>0</v>
      </c>
      <c r="AF26" s="48"/>
      <c r="AG26" s="45">
        <v>1144009</v>
      </c>
      <c r="AH26" s="45"/>
      <c r="AI26" s="45">
        <v>3765205</v>
      </c>
      <c r="AJ26" s="45"/>
      <c r="AK26" s="45">
        <v>0</v>
      </c>
      <c r="AL26" s="45"/>
      <c r="AM26" s="45">
        <f>+'Gen rev'!U26-'Gen exp'!AC26-AG26+'Gen rev'!W26+AI26+AK26-'Gen Bal'!S26-'Gen exp'!AE26</f>
        <v>0</v>
      </c>
      <c r="AN26" s="44">
        <f>10448266-1783051</f>
        <v>8665215</v>
      </c>
      <c r="AO26" s="44"/>
      <c r="AP26" s="44"/>
      <c r="AQ26" s="44"/>
    </row>
    <row r="27" spans="1:45" s="49" customFormat="1" ht="12.75" customHeight="1">
      <c r="A27" s="28" t="s">
        <v>37</v>
      </c>
      <c r="C27" s="28" t="s">
        <v>38</v>
      </c>
      <c r="E27" s="45">
        <f>1598148+172289</f>
        <v>1770437</v>
      </c>
      <c r="F27" s="45"/>
      <c r="G27" s="45">
        <v>2032748</v>
      </c>
      <c r="H27" s="45"/>
      <c r="I27" s="45">
        <v>207456</v>
      </c>
      <c r="J27" s="45"/>
      <c r="K27" s="45">
        <v>0</v>
      </c>
      <c r="L27" s="45"/>
      <c r="M27" s="45">
        <v>0</v>
      </c>
      <c r="N27" s="45"/>
      <c r="O27" s="45">
        <v>0</v>
      </c>
      <c r="P27" s="45"/>
      <c r="Q27" s="45">
        <v>0</v>
      </c>
      <c r="R27" s="45"/>
      <c r="S27" s="45">
        <v>0</v>
      </c>
      <c r="T27" s="45"/>
      <c r="U27" s="45">
        <v>0</v>
      </c>
      <c r="V27" s="45"/>
      <c r="W27" s="45">
        <v>0</v>
      </c>
      <c r="X27" s="45"/>
      <c r="Y27" s="45">
        <v>0</v>
      </c>
      <c r="Z27" s="44"/>
      <c r="AA27" s="45">
        <v>0</v>
      </c>
      <c r="AB27" s="44"/>
      <c r="AC27" s="45">
        <f t="shared" si="1"/>
        <v>4010641</v>
      </c>
      <c r="AD27" s="45"/>
      <c r="AE27" s="48">
        <v>0</v>
      </c>
      <c r="AF27" s="48"/>
      <c r="AG27" s="45">
        <v>526320</v>
      </c>
      <c r="AH27" s="45"/>
      <c r="AI27" s="45">
        <v>1364717</v>
      </c>
      <c r="AJ27" s="45"/>
      <c r="AK27" s="45">
        <v>0</v>
      </c>
      <c r="AL27" s="45"/>
      <c r="AM27" s="45">
        <f>+'Gen rev'!U27-'Gen exp'!AC27-AG27+'Gen rev'!W27+AI27+AK27-'Gen Bal'!S27-'Gen exp'!AE27</f>
        <v>0</v>
      </c>
      <c r="AN27" s="44"/>
      <c r="AO27" s="44"/>
      <c r="AP27" s="44"/>
      <c r="AQ27" s="44"/>
    </row>
    <row r="28" spans="1:45" s="49" customFormat="1" ht="12.75" customHeight="1">
      <c r="A28" s="28" t="s">
        <v>39</v>
      </c>
      <c r="C28" s="28" t="s">
        <v>40</v>
      </c>
      <c r="E28" s="45">
        <v>638120</v>
      </c>
      <c r="F28" s="45"/>
      <c r="G28" s="45">
        <f>938129+151900</f>
        <v>1090029</v>
      </c>
      <c r="H28" s="45"/>
      <c r="I28" s="45">
        <v>0</v>
      </c>
      <c r="J28" s="45"/>
      <c r="K28" s="45">
        <v>40640</v>
      </c>
      <c r="L28" s="45"/>
      <c r="M28" s="45">
        <v>62510</v>
      </c>
      <c r="N28" s="45"/>
      <c r="O28" s="45">
        <v>52166</v>
      </c>
      <c r="P28" s="45"/>
      <c r="Q28" s="45">
        <v>0</v>
      </c>
      <c r="R28" s="45"/>
      <c r="S28" s="45">
        <v>96253</v>
      </c>
      <c r="T28" s="45"/>
      <c r="U28" s="45">
        <v>0</v>
      </c>
      <c r="V28" s="45"/>
      <c r="W28" s="45">
        <v>112574</v>
      </c>
      <c r="X28" s="45"/>
      <c r="Y28" s="45">
        <v>46491</v>
      </c>
      <c r="Z28" s="44"/>
      <c r="AA28" s="45">
        <v>0</v>
      </c>
      <c r="AB28" s="44"/>
      <c r="AC28" s="45">
        <f t="shared" si="1"/>
        <v>2138783</v>
      </c>
      <c r="AD28" s="45"/>
      <c r="AE28" s="48">
        <v>0</v>
      </c>
      <c r="AF28" s="48"/>
      <c r="AG28" s="45">
        <v>270000</v>
      </c>
      <c r="AH28" s="45"/>
      <c r="AI28" s="45">
        <v>1629775</v>
      </c>
      <c r="AJ28" s="45"/>
      <c r="AK28" s="45">
        <v>0</v>
      </c>
      <c r="AL28" s="45"/>
      <c r="AM28" s="45">
        <f>+'Gen rev'!U28-'Gen exp'!AC28-AG28+'Gen rev'!W28+AI28+AK28-'Gen Bal'!S28-'Gen exp'!AE28</f>
        <v>0</v>
      </c>
      <c r="AN28" s="44"/>
      <c r="AO28" s="44"/>
      <c r="AP28" s="44"/>
      <c r="AQ28" s="44"/>
    </row>
    <row r="29" spans="1:45" s="49" customFormat="1" ht="12.75" customHeight="1">
      <c r="A29" s="28" t="s">
        <v>41</v>
      </c>
      <c r="C29" s="28" t="s">
        <v>27</v>
      </c>
      <c r="E29" s="45">
        <v>5789904</v>
      </c>
      <c r="F29" s="45"/>
      <c r="G29" s="45">
        <v>5051947</v>
      </c>
      <c r="H29" s="45"/>
      <c r="I29" s="45">
        <v>505093</v>
      </c>
      <c r="J29" s="45"/>
      <c r="K29" s="45">
        <v>0</v>
      </c>
      <c r="L29" s="45"/>
      <c r="M29" s="45">
        <v>0</v>
      </c>
      <c r="N29" s="45"/>
      <c r="O29" s="45">
        <v>478347</v>
      </c>
      <c r="P29" s="45"/>
      <c r="Q29" s="45">
        <v>1089789</v>
      </c>
      <c r="R29" s="45"/>
      <c r="S29" s="45">
        <v>0</v>
      </c>
      <c r="T29" s="45"/>
      <c r="U29" s="45">
        <v>0</v>
      </c>
      <c r="V29" s="45"/>
      <c r="W29" s="45">
        <v>0</v>
      </c>
      <c r="X29" s="45"/>
      <c r="Y29" s="45">
        <v>0</v>
      </c>
      <c r="Z29" s="44"/>
      <c r="AA29" s="45">
        <v>0</v>
      </c>
      <c r="AB29" s="44"/>
      <c r="AC29" s="45">
        <f t="shared" si="1"/>
        <v>12915080</v>
      </c>
      <c r="AD29" s="45"/>
      <c r="AE29" s="48">
        <v>0</v>
      </c>
      <c r="AF29" s="48"/>
      <c r="AG29" s="45">
        <v>3221200</v>
      </c>
      <c r="AH29" s="45"/>
      <c r="AI29" s="45">
        <v>3612864</v>
      </c>
      <c r="AJ29" s="45"/>
      <c r="AK29" s="45">
        <v>0</v>
      </c>
      <c r="AL29" s="45"/>
      <c r="AM29" s="45">
        <f>+'Gen rev'!U29-'Gen exp'!AC29-AG29+'Gen rev'!W29+AI29+AK29-'Gen Bal'!S29-'Gen exp'!AE29</f>
        <v>0</v>
      </c>
      <c r="AN29" s="44"/>
      <c r="AO29" s="44"/>
      <c r="AP29" s="44"/>
      <c r="AQ29" s="44"/>
    </row>
    <row r="30" spans="1:45" s="49" customFormat="1" ht="12.75" customHeight="1">
      <c r="A30" s="28" t="s">
        <v>42</v>
      </c>
      <c r="C30" s="28" t="s">
        <v>43</v>
      </c>
      <c r="E30" s="45">
        <v>3209984</v>
      </c>
      <c r="F30" s="45"/>
      <c r="G30" s="45">
        <v>4666809</v>
      </c>
      <c r="H30" s="45"/>
      <c r="I30" s="45">
        <v>484539</v>
      </c>
      <c r="J30" s="45"/>
      <c r="K30" s="45">
        <v>81713</v>
      </c>
      <c r="L30" s="45"/>
      <c r="M30" s="45">
        <v>0</v>
      </c>
      <c r="N30" s="45"/>
      <c r="O30" s="45">
        <v>230448</v>
      </c>
      <c r="P30" s="45"/>
      <c r="Q30" s="45">
        <v>0</v>
      </c>
      <c r="R30" s="45"/>
      <c r="S30" s="45">
        <v>7864520</v>
      </c>
      <c r="T30" s="45"/>
      <c r="U30" s="45">
        <v>0</v>
      </c>
      <c r="V30" s="45"/>
      <c r="W30" s="45">
        <v>62132</v>
      </c>
      <c r="X30" s="45"/>
      <c r="Y30" s="45">
        <v>8280</v>
      </c>
      <c r="Z30" s="44"/>
      <c r="AA30" s="45">
        <v>0</v>
      </c>
      <c r="AB30" s="44"/>
      <c r="AC30" s="45">
        <f t="shared" si="1"/>
        <v>16608425</v>
      </c>
      <c r="AD30" s="45"/>
      <c r="AE30" s="48">
        <v>0</v>
      </c>
      <c r="AF30" s="48"/>
      <c r="AG30" s="45">
        <v>1853072</v>
      </c>
      <c r="AH30" s="45"/>
      <c r="AI30" s="45">
        <v>4691070</v>
      </c>
      <c r="AJ30" s="45"/>
      <c r="AK30" s="45">
        <v>0</v>
      </c>
      <c r="AL30" s="45"/>
      <c r="AM30" s="45">
        <f>+'Gen rev'!U30-'Gen exp'!AC30-AG30+'Gen rev'!W30+AI30+AK30-'Gen Bal'!S30-'Gen exp'!AE30</f>
        <v>0</v>
      </c>
      <c r="AN30" s="44"/>
      <c r="AO30" s="44"/>
      <c r="AP30" s="44"/>
      <c r="AQ30" s="44"/>
    </row>
    <row r="31" spans="1:45" s="49" customFormat="1" ht="12.75" customHeight="1">
      <c r="A31" s="28" t="s">
        <v>44</v>
      </c>
      <c r="C31" s="28" t="s">
        <v>45</v>
      </c>
      <c r="E31" s="45">
        <v>6566020</v>
      </c>
      <c r="F31" s="45"/>
      <c r="G31" s="45">
        <v>10686972</v>
      </c>
      <c r="H31" s="45"/>
      <c r="I31" s="45">
        <v>782176</v>
      </c>
      <c r="J31" s="45"/>
      <c r="K31" s="45">
        <v>0</v>
      </c>
      <c r="L31" s="45"/>
      <c r="M31" s="45">
        <v>0</v>
      </c>
      <c r="N31" s="45"/>
      <c r="O31" s="45">
        <v>0</v>
      </c>
      <c r="P31" s="45"/>
      <c r="Q31" s="45">
        <v>2406148</v>
      </c>
      <c r="R31" s="45"/>
      <c r="S31" s="45">
        <v>0</v>
      </c>
      <c r="T31" s="45"/>
      <c r="U31" s="45">
        <v>0</v>
      </c>
      <c r="V31" s="45"/>
      <c r="W31" s="45">
        <v>0</v>
      </c>
      <c r="X31" s="45"/>
      <c r="Y31" s="45">
        <v>0</v>
      </c>
      <c r="Z31" s="44"/>
      <c r="AA31" s="45">
        <v>0</v>
      </c>
      <c r="AB31" s="44"/>
      <c r="AC31" s="45">
        <f t="shared" si="1"/>
        <v>20441316</v>
      </c>
      <c r="AD31" s="45"/>
      <c r="AE31" s="48">
        <v>0</v>
      </c>
      <c r="AF31" s="48"/>
      <c r="AG31" s="45">
        <v>11724148</v>
      </c>
      <c r="AH31" s="45"/>
      <c r="AI31" s="45">
        <v>15810681</v>
      </c>
      <c r="AJ31" s="45"/>
      <c r="AK31" s="45">
        <v>6679</v>
      </c>
      <c r="AL31" s="45"/>
      <c r="AM31" s="45">
        <f>+'Gen rev'!U31-'Gen exp'!AC31-AG31+'Gen rev'!W31+AI31+AK31-'Gen Bal'!S31-'Gen exp'!AE31</f>
        <v>0</v>
      </c>
      <c r="AN31" s="44"/>
      <c r="AO31" s="44"/>
      <c r="AP31" s="44"/>
      <c r="AQ31" s="44"/>
    </row>
    <row r="32" spans="1:45" s="49" customFormat="1" ht="12.75" customHeight="1">
      <c r="A32" s="28" t="s">
        <v>46</v>
      </c>
      <c r="C32" s="28" t="s">
        <v>47</v>
      </c>
      <c r="E32" s="45">
        <f>1446226+2823990</f>
        <v>4270216</v>
      </c>
      <c r="F32" s="45"/>
      <c r="G32" s="45">
        <f>4114135+2760722+91395</f>
        <v>6966252</v>
      </c>
      <c r="H32" s="45"/>
      <c r="I32" s="45">
        <v>705005</v>
      </c>
      <c r="J32" s="45"/>
      <c r="K32" s="45">
        <v>71811</v>
      </c>
      <c r="L32" s="45"/>
      <c r="M32" s="45">
        <v>2164093</v>
      </c>
      <c r="N32" s="45"/>
      <c r="O32" s="45">
        <v>0</v>
      </c>
      <c r="P32" s="45"/>
      <c r="Q32" s="45">
        <v>628939</v>
      </c>
      <c r="R32" s="45"/>
      <c r="S32" s="45">
        <v>0</v>
      </c>
      <c r="T32" s="45"/>
      <c r="U32" s="45">
        <v>0</v>
      </c>
      <c r="V32" s="45"/>
      <c r="W32" s="45">
        <v>0</v>
      </c>
      <c r="X32" s="45"/>
      <c r="Y32" s="45">
        <v>0</v>
      </c>
      <c r="Z32" s="44"/>
      <c r="AA32" s="45">
        <v>0</v>
      </c>
      <c r="AB32" s="44"/>
      <c r="AC32" s="45">
        <f t="shared" si="1"/>
        <v>14806316</v>
      </c>
      <c r="AD32" s="45"/>
      <c r="AE32" s="48">
        <v>0</v>
      </c>
      <c r="AF32" s="48"/>
      <c r="AG32" s="45">
        <v>546640</v>
      </c>
      <c r="AH32" s="45"/>
      <c r="AI32" s="45">
        <v>2422800</v>
      </c>
      <c r="AJ32" s="45"/>
      <c r="AK32" s="45">
        <v>0</v>
      </c>
      <c r="AL32" s="45"/>
      <c r="AM32" s="45">
        <f>+'Gen rev'!U32-'Gen exp'!AC32-AG32+'Gen rev'!W32+AI32+AK32-'Gen Bal'!S32-'Gen exp'!AE32</f>
        <v>0</v>
      </c>
      <c r="AN32" s="45"/>
      <c r="AO32" s="45"/>
      <c r="AP32" s="45"/>
      <c r="AQ32" s="45"/>
      <c r="AR32" s="52"/>
      <c r="AS32" s="50"/>
    </row>
    <row r="33" spans="1:45" s="49" customFormat="1" ht="12.75" customHeight="1">
      <c r="A33" s="28" t="s">
        <v>48</v>
      </c>
      <c r="C33" s="28" t="s">
        <v>27</v>
      </c>
      <c r="E33" s="45">
        <f>5819602+162232</f>
        <v>5981834</v>
      </c>
      <c r="F33" s="45"/>
      <c r="G33" s="45">
        <f>4283791+19288</f>
        <v>4303079</v>
      </c>
      <c r="H33" s="45"/>
      <c r="I33" s="45">
        <v>880807</v>
      </c>
      <c r="J33" s="45"/>
      <c r="K33" s="45">
        <v>910160</v>
      </c>
      <c r="L33" s="45"/>
      <c r="M33" s="45">
        <v>1765043</v>
      </c>
      <c r="N33" s="45"/>
      <c r="O33" s="45">
        <v>0</v>
      </c>
      <c r="P33" s="45"/>
      <c r="Q33" s="45">
        <v>2253344</v>
      </c>
      <c r="R33" s="45"/>
      <c r="S33" s="45">
        <v>0</v>
      </c>
      <c r="T33" s="45"/>
      <c r="U33" s="45">
        <v>0</v>
      </c>
      <c r="V33" s="45"/>
      <c r="W33" s="45">
        <v>0</v>
      </c>
      <c r="X33" s="45"/>
      <c r="Y33" s="45">
        <v>0</v>
      </c>
      <c r="Z33" s="44"/>
      <c r="AA33" s="45">
        <v>0</v>
      </c>
      <c r="AB33" s="44"/>
      <c r="AC33" s="45">
        <f t="shared" si="1"/>
        <v>16094267</v>
      </c>
      <c r="AD33" s="45"/>
      <c r="AE33" s="48">
        <v>0</v>
      </c>
      <c r="AF33" s="48"/>
      <c r="AG33" s="45">
        <v>1025000</v>
      </c>
      <c r="AH33" s="45"/>
      <c r="AI33" s="45">
        <v>8135943</v>
      </c>
      <c r="AJ33" s="45"/>
      <c r="AK33" s="45">
        <v>0</v>
      </c>
      <c r="AL33" s="45"/>
      <c r="AM33" s="45">
        <f>+'Gen rev'!U33-'Gen exp'!AC33-AG33+'Gen rev'!W33+AI33+AK33-'Gen Bal'!S33-'Gen exp'!AE33</f>
        <v>0</v>
      </c>
      <c r="AN33" s="45"/>
      <c r="AO33" s="45"/>
      <c r="AP33" s="45"/>
      <c r="AQ33" s="45"/>
      <c r="AR33" s="52"/>
      <c r="AS33" s="50"/>
    </row>
    <row r="34" spans="1:45" s="49" customFormat="1" ht="12.75" customHeight="1">
      <c r="A34" s="28" t="s">
        <v>49</v>
      </c>
      <c r="C34" s="28" t="s">
        <v>27</v>
      </c>
      <c r="E34" s="45">
        <v>4151747</v>
      </c>
      <c r="F34" s="45"/>
      <c r="G34" s="45">
        <v>3922873</v>
      </c>
      <c r="H34" s="45"/>
      <c r="I34" s="45">
        <v>336282</v>
      </c>
      <c r="J34" s="45"/>
      <c r="K34" s="45">
        <v>306623</v>
      </c>
      <c r="L34" s="45"/>
      <c r="M34" s="45">
        <v>543350</v>
      </c>
      <c r="N34" s="45"/>
      <c r="O34" s="45">
        <v>111402</v>
      </c>
      <c r="P34" s="45"/>
      <c r="Q34" s="45">
        <v>904650</v>
      </c>
      <c r="R34" s="45"/>
      <c r="S34" s="45">
        <v>0</v>
      </c>
      <c r="T34" s="45"/>
      <c r="U34" s="45">
        <v>0</v>
      </c>
      <c r="V34" s="45"/>
      <c r="W34" s="45">
        <v>310000</v>
      </c>
      <c r="X34" s="45"/>
      <c r="Y34" s="45">
        <v>192593</v>
      </c>
      <c r="Z34" s="44"/>
      <c r="AA34" s="45">
        <v>0</v>
      </c>
      <c r="AB34" s="44"/>
      <c r="AC34" s="45">
        <f t="shared" si="1"/>
        <v>10779520</v>
      </c>
      <c r="AD34" s="45"/>
      <c r="AE34" s="48">
        <v>0</v>
      </c>
      <c r="AF34" s="48"/>
      <c r="AG34" s="45">
        <v>50000</v>
      </c>
      <c r="AH34" s="45"/>
      <c r="AI34" s="45">
        <v>1953193</v>
      </c>
      <c r="AJ34" s="45"/>
      <c r="AK34" s="45">
        <v>0</v>
      </c>
      <c r="AL34" s="45"/>
      <c r="AM34" s="45">
        <f>+'Gen rev'!U34-'Gen exp'!AC34-AG34+'Gen rev'!W34+AI34+AK34-'Gen Bal'!S34-'Gen exp'!AE34</f>
        <v>0</v>
      </c>
      <c r="AN34" s="44"/>
      <c r="AO34" s="44"/>
      <c r="AP34" s="44"/>
      <c r="AQ34" s="44"/>
    </row>
    <row r="35" spans="1:45" s="49" customFormat="1" ht="12.75" customHeight="1">
      <c r="A35" s="28" t="s">
        <v>50</v>
      </c>
      <c r="C35" s="28" t="s">
        <v>27</v>
      </c>
      <c r="E35" s="45">
        <v>5016078</v>
      </c>
      <c r="F35" s="45"/>
      <c r="G35" s="45">
        <f>6234097+4195149</f>
        <v>10429246</v>
      </c>
      <c r="H35" s="45"/>
      <c r="I35" s="45">
        <v>1094449</v>
      </c>
      <c r="J35" s="45"/>
      <c r="K35" s="45">
        <v>236665</v>
      </c>
      <c r="L35" s="45"/>
      <c r="M35" s="45">
        <v>631484</v>
      </c>
      <c r="N35" s="45"/>
      <c r="O35" s="45">
        <v>2265639</v>
      </c>
      <c r="P35" s="45"/>
      <c r="Q35" s="45">
        <v>3412089</v>
      </c>
      <c r="R35" s="45"/>
      <c r="S35" s="45">
        <v>0</v>
      </c>
      <c r="T35" s="45"/>
      <c r="U35" s="45">
        <v>0</v>
      </c>
      <c r="V35" s="45"/>
      <c r="W35" s="45">
        <v>0</v>
      </c>
      <c r="X35" s="45"/>
      <c r="Y35" s="45">
        <v>0</v>
      </c>
      <c r="Z35" s="44"/>
      <c r="AA35" s="45">
        <v>0</v>
      </c>
      <c r="AB35" s="44"/>
      <c r="AC35" s="45">
        <f t="shared" si="1"/>
        <v>23085650</v>
      </c>
      <c r="AD35" s="45"/>
      <c r="AE35" s="48">
        <v>0</v>
      </c>
      <c r="AF35" s="48"/>
      <c r="AG35" s="45">
        <v>1760000</v>
      </c>
      <c r="AH35" s="45"/>
      <c r="AI35" s="45">
        <v>5467624</v>
      </c>
      <c r="AJ35" s="45"/>
      <c r="AK35" s="45">
        <v>0</v>
      </c>
      <c r="AL35" s="45"/>
      <c r="AM35" s="45">
        <f>+'Gen rev'!U35-'Gen exp'!AC35-AG35+'Gen rev'!W35+AI35+AK35-'Gen Bal'!S35-'Gen exp'!AE35</f>
        <v>0</v>
      </c>
      <c r="AN35" s="45"/>
      <c r="AO35" s="45"/>
      <c r="AP35" s="45"/>
      <c r="AQ35" s="45"/>
      <c r="AR35" s="52"/>
      <c r="AS35" s="50"/>
    </row>
    <row r="36" spans="1:45" s="49" customFormat="1" ht="12.75" customHeight="1">
      <c r="A36" s="28" t="s">
        <v>51</v>
      </c>
      <c r="C36" s="28" t="s">
        <v>27</v>
      </c>
      <c r="E36" s="45">
        <v>2102939</v>
      </c>
      <c r="F36" s="45"/>
      <c r="G36" s="45">
        <v>6598452</v>
      </c>
      <c r="H36" s="45"/>
      <c r="I36" s="45">
        <v>2228195</v>
      </c>
      <c r="J36" s="45"/>
      <c r="K36" s="45">
        <v>0</v>
      </c>
      <c r="L36" s="45"/>
      <c r="M36" s="45">
        <v>0</v>
      </c>
      <c r="N36" s="45"/>
      <c r="O36" s="45">
        <v>1827384</v>
      </c>
      <c r="P36" s="45"/>
      <c r="Q36" s="45">
        <v>2026854</v>
      </c>
      <c r="R36" s="45"/>
      <c r="S36" s="45">
        <v>0</v>
      </c>
      <c r="T36" s="45"/>
      <c r="U36" s="45">
        <v>0</v>
      </c>
      <c r="V36" s="45"/>
      <c r="W36" s="45">
        <v>1323</v>
      </c>
      <c r="X36" s="45"/>
      <c r="Y36" s="45">
        <v>55</v>
      </c>
      <c r="Z36" s="44"/>
      <c r="AA36" s="45">
        <v>0</v>
      </c>
      <c r="AB36" s="44"/>
      <c r="AC36" s="45">
        <f t="shared" si="1"/>
        <v>14785202</v>
      </c>
      <c r="AD36" s="45"/>
      <c r="AE36" s="48">
        <v>0</v>
      </c>
      <c r="AF36" s="48"/>
      <c r="AG36" s="45">
        <v>807145</v>
      </c>
      <c r="AH36" s="45"/>
      <c r="AI36" s="45">
        <v>5761994</v>
      </c>
      <c r="AJ36" s="45"/>
      <c r="AK36" s="45">
        <v>0</v>
      </c>
      <c r="AL36" s="45"/>
      <c r="AM36" s="45">
        <f>+'Gen rev'!U36-'Gen exp'!AC36-AG36+'Gen rev'!W36+AI36+AK36-'Gen Bal'!S36-'Gen exp'!AE36</f>
        <v>0</v>
      </c>
      <c r="AN36" s="45"/>
      <c r="AO36" s="45"/>
      <c r="AP36" s="45"/>
      <c r="AQ36" s="45"/>
      <c r="AR36" s="52"/>
      <c r="AS36" s="50"/>
    </row>
    <row r="37" spans="1:45" s="49" customFormat="1" ht="12.75" customHeight="1">
      <c r="A37" s="64" t="s">
        <v>462</v>
      </c>
      <c r="B37" s="46"/>
      <c r="C37" s="64" t="s">
        <v>66</v>
      </c>
      <c r="D37" s="46"/>
      <c r="E37" s="45">
        <v>831073</v>
      </c>
      <c r="F37" s="45"/>
      <c r="G37" s="45">
        <v>1794938</v>
      </c>
      <c r="H37" s="45"/>
      <c r="I37" s="45">
        <v>0</v>
      </c>
      <c r="J37" s="45"/>
      <c r="K37" s="45">
        <v>0</v>
      </c>
      <c r="L37" s="45"/>
      <c r="M37" s="45">
        <v>0</v>
      </c>
      <c r="N37" s="45"/>
      <c r="O37" s="45">
        <v>0</v>
      </c>
      <c r="P37" s="45"/>
      <c r="Q37" s="45">
        <v>0</v>
      </c>
      <c r="R37" s="45"/>
      <c r="S37" s="45">
        <v>61624</v>
      </c>
      <c r="T37" s="45"/>
      <c r="U37" s="45">
        <v>0</v>
      </c>
      <c r="V37" s="45"/>
      <c r="W37" s="45">
        <v>84586</v>
      </c>
      <c r="X37" s="45"/>
      <c r="Y37" s="45">
        <v>1655</v>
      </c>
      <c r="Z37" s="44"/>
      <c r="AA37" s="45">
        <v>0</v>
      </c>
      <c r="AB37" s="44"/>
      <c r="AC37" s="45">
        <f t="shared" si="1"/>
        <v>2773876</v>
      </c>
      <c r="AD37" s="45"/>
      <c r="AE37" s="48">
        <v>0</v>
      </c>
      <c r="AF37" s="48"/>
      <c r="AG37" s="45">
        <v>789101</v>
      </c>
      <c r="AH37" s="45"/>
      <c r="AI37" s="45">
        <v>1228562</v>
      </c>
      <c r="AJ37" s="45"/>
      <c r="AK37" s="45">
        <v>0</v>
      </c>
      <c r="AL37" s="45"/>
      <c r="AM37" s="45">
        <f>+'Gen rev'!U37-'Gen exp'!AC37-AG37+'Gen rev'!W37+AI37+AK37-'Gen Bal'!S37-'Gen exp'!AE37</f>
        <v>0</v>
      </c>
      <c r="AN37" s="45"/>
      <c r="AO37" s="45"/>
      <c r="AP37" s="45"/>
      <c r="AQ37" s="45"/>
      <c r="AR37" s="52"/>
      <c r="AS37" s="50"/>
    </row>
    <row r="38" spans="1:45" s="49" customFormat="1" ht="12.75" customHeight="1">
      <c r="A38" s="28" t="s">
        <v>52</v>
      </c>
      <c r="C38" s="28" t="s">
        <v>53</v>
      </c>
      <c r="E38" s="45">
        <v>2775405</v>
      </c>
      <c r="F38" s="45"/>
      <c r="G38" s="45">
        <v>3953936</v>
      </c>
      <c r="H38" s="45"/>
      <c r="I38" s="45">
        <v>981664</v>
      </c>
      <c r="J38" s="45"/>
      <c r="K38" s="45">
        <v>8331</v>
      </c>
      <c r="L38" s="45"/>
      <c r="M38" s="45">
        <v>0</v>
      </c>
      <c r="N38" s="45"/>
      <c r="O38" s="45">
        <v>180210</v>
      </c>
      <c r="P38" s="45"/>
      <c r="Q38" s="45">
        <v>0</v>
      </c>
      <c r="R38" s="45"/>
      <c r="S38" s="45">
        <v>0</v>
      </c>
      <c r="T38" s="45"/>
      <c r="U38" s="45">
        <v>0</v>
      </c>
      <c r="V38" s="45"/>
      <c r="W38" s="45">
        <v>0</v>
      </c>
      <c r="X38" s="45"/>
      <c r="Y38" s="45">
        <v>0</v>
      </c>
      <c r="Z38" s="44"/>
      <c r="AA38" s="45">
        <v>0</v>
      </c>
      <c r="AB38" s="44"/>
      <c r="AC38" s="45">
        <f t="shared" si="1"/>
        <v>7899546</v>
      </c>
      <c r="AD38" s="45"/>
      <c r="AE38" s="48">
        <v>0</v>
      </c>
      <c r="AF38" s="48"/>
      <c r="AG38" s="45">
        <v>48693</v>
      </c>
      <c r="AH38" s="45"/>
      <c r="AI38" s="45">
        <v>3111245</v>
      </c>
      <c r="AJ38" s="45"/>
      <c r="AK38" s="45">
        <v>0</v>
      </c>
      <c r="AL38" s="45"/>
      <c r="AM38" s="45">
        <f>+'Gen rev'!U38-'Gen exp'!AC38-AG38+'Gen rev'!W38+AI38+AK38-'Gen Bal'!S38-'Gen exp'!AE38</f>
        <v>0</v>
      </c>
      <c r="AN38" s="45"/>
      <c r="AO38" s="45"/>
      <c r="AP38" s="45"/>
      <c r="AQ38" s="45"/>
      <c r="AR38" s="52"/>
      <c r="AS38" s="50"/>
    </row>
    <row r="39" spans="1:45" s="49" customFormat="1" ht="12.75" customHeight="1">
      <c r="A39" s="28" t="s">
        <v>54</v>
      </c>
      <c r="C39" s="28" t="s">
        <v>55</v>
      </c>
      <c r="E39" s="45">
        <v>2490933</v>
      </c>
      <c r="F39" s="45"/>
      <c r="G39" s="45">
        <v>1731777</v>
      </c>
      <c r="H39" s="45"/>
      <c r="I39" s="45">
        <v>0</v>
      </c>
      <c r="J39" s="45"/>
      <c r="K39" s="45">
        <v>95144</v>
      </c>
      <c r="L39" s="45"/>
      <c r="M39" s="45">
        <v>0</v>
      </c>
      <c r="N39" s="45"/>
      <c r="O39" s="45">
        <v>866830</v>
      </c>
      <c r="P39" s="45"/>
      <c r="Q39" s="45">
        <v>0</v>
      </c>
      <c r="R39" s="45"/>
      <c r="S39" s="45">
        <v>0</v>
      </c>
      <c r="T39" s="45"/>
      <c r="U39" s="45">
        <v>0</v>
      </c>
      <c r="V39" s="45"/>
      <c r="W39" s="45">
        <v>0</v>
      </c>
      <c r="X39" s="45"/>
      <c r="Y39" s="45">
        <v>0</v>
      </c>
      <c r="Z39" s="44"/>
      <c r="AA39" s="45">
        <v>0</v>
      </c>
      <c r="AB39" s="44"/>
      <c r="AC39" s="45">
        <f t="shared" si="1"/>
        <v>5184684</v>
      </c>
      <c r="AD39" s="45"/>
      <c r="AE39" s="48">
        <v>0</v>
      </c>
      <c r="AF39" s="48"/>
      <c r="AG39" s="45">
        <v>0</v>
      </c>
      <c r="AH39" s="45"/>
      <c r="AI39" s="45">
        <v>1264586</v>
      </c>
      <c r="AJ39" s="45"/>
      <c r="AK39" s="45">
        <v>0</v>
      </c>
      <c r="AL39" s="45"/>
      <c r="AM39" s="45">
        <f>+'Gen rev'!U39-'Gen exp'!AC39-AG39+'Gen rev'!W39+AI39+AK39-'Gen Bal'!S39-'Gen exp'!AE39</f>
        <v>0</v>
      </c>
      <c r="AN39" s="45"/>
      <c r="AO39" s="45"/>
      <c r="AP39" s="45"/>
      <c r="AQ39" s="45"/>
      <c r="AR39" s="52"/>
      <c r="AS39" s="50"/>
    </row>
    <row r="40" spans="1:45" s="49" customFormat="1" ht="12.75" customHeight="1">
      <c r="A40" s="28" t="s">
        <v>56</v>
      </c>
      <c r="C40" s="28" t="s">
        <v>57</v>
      </c>
      <c r="E40" s="45">
        <v>1200862</v>
      </c>
      <c r="F40" s="45"/>
      <c r="G40" s="45">
        <f>1793357+1134552+145062</f>
        <v>3072971</v>
      </c>
      <c r="H40" s="45"/>
      <c r="I40" s="45">
        <v>0</v>
      </c>
      <c r="J40" s="45"/>
      <c r="K40" s="45">
        <v>232548</v>
      </c>
      <c r="L40" s="45"/>
      <c r="M40" s="45">
        <v>35323</v>
      </c>
      <c r="N40" s="45"/>
      <c r="O40" s="45">
        <v>50740</v>
      </c>
      <c r="P40" s="45"/>
      <c r="Q40" s="45">
        <v>0</v>
      </c>
      <c r="R40" s="45"/>
      <c r="S40" s="45">
        <v>0</v>
      </c>
      <c r="T40" s="45"/>
      <c r="U40" s="45">
        <v>0</v>
      </c>
      <c r="V40" s="45"/>
      <c r="W40" s="45">
        <v>27914</v>
      </c>
      <c r="X40" s="45"/>
      <c r="Y40" s="45">
        <v>15393</v>
      </c>
      <c r="Z40" s="44"/>
      <c r="AA40" s="45">
        <v>0</v>
      </c>
      <c r="AB40" s="44"/>
      <c r="AC40" s="45">
        <f t="shared" si="1"/>
        <v>4635751</v>
      </c>
      <c r="AD40" s="45"/>
      <c r="AE40" s="48">
        <v>0</v>
      </c>
      <c r="AF40" s="48"/>
      <c r="AG40" s="45">
        <v>259897</v>
      </c>
      <c r="AH40" s="45"/>
      <c r="AI40" s="45">
        <v>2330673</v>
      </c>
      <c r="AJ40" s="45"/>
      <c r="AK40" s="45">
        <v>0</v>
      </c>
      <c r="AL40" s="45"/>
      <c r="AM40" s="45">
        <f>+'Gen rev'!U40-'Gen exp'!AC40-AG40+'Gen rev'!W40+AI40+AK40-'Gen Bal'!S40-'Gen exp'!AE40</f>
        <v>0</v>
      </c>
      <c r="AN40" s="45"/>
      <c r="AO40" s="45"/>
      <c r="AP40" s="45"/>
      <c r="AQ40" s="45"/>
      <c r="AR40" s="52"/>
      <c r="AS40" s="50"/>
    </row>
    <row r="41" spans="1:45" s="49" customFormat="1" ht="12.75" customHeight="1">
      <c r="A41" s="28" t="s">
        <v>58</v>
      </c>
      <c r="C41" s="28" t="s">
        <v>59</v>
      </c>
      <c r="E41" s="45">
        <v>2368929</v>
      </c>
      <c r="F41" s="45"/>
      <c r="G41" s="45">
        <v>2067281</v>
      </c>
      <c r="H41" s="45"/>
      <c r="I41" s="45">
        <v>181440</v>
      </c>
      <c r="J41" s="45"/>
      <c r="K41" s="45">
        <v>0</v>
      </c>
      <c r="L41" s="45"/>
      <c r="M41" s="45">
        <v>0</v>
      </c>
      <c r="N41" s="45"/>
      <c r="O41" s="45">
        <v>508707</v>
      </c>
      <c r="P41" s="45"/>
      <c r="Q41" s="45">
        <v>0</v>
      </c>
      <c r="R41" s="45"/>
      <c r="S41" s="45">
        <v>0</v>
      </c>
      <c r="T41" s="45"/>
      <c r="U41" s="45">
        <v>0</v>
      </c>
      <c r="V41" s="45"/>
      <c r="W41" s="45">
        <v>22559</v>
      </c>
      <c r="X41" s="45"/>
      <c r="Y41" s="45">
        <v>2276</v>
      </c>
      <c r="Z41" s="44"/>
      <c r="AA41" s="45">
        <v>0</v>
      </c>
      <c r="AB41" s="44"/>
      <c r="AC41" s="45">
        <f t="shared" si="1"/>
        <v>5151192</v>
      </c>
      <c r="AD41" s="45"/>
      <c r="AE41" s="48">
        <v>0</v>
      </c>
      <c r="AF41" s="48"/>
      <c r="AG41" s="45">
        <v>432853</v>
      </c>
      <c r="AH41" s="45"/>
      <c r="AI41" s="45">
        <v>1124843</v>
      </c>
      <c r="AJ41" s="45"/>
      <c r="AK41" s="45">
        <v>0</v>
      </c>
      <c r="AL41" s="45"/>
      <c r="AM41" s="45">
        <f>+'Gen rev'!U41-'Gen exp'!AC41-AG41+'Gen rev'!W41+AI41+AK41-'Gen Bal'!S41-'Gen exp'!AE41</f>
        <v>0</v>
      </c>
      <c r="AN41" s="45"/>
      <c r="AO41" s="45"/>
      <c r="AP41" s="45"/>
      <c r="AQ41" s="45"/>
      <c r="AR41" s="52"/>
      <c r="AS41" s="50"/>
    </row>
    <row r="42" spans="1:45" s="49" customFormat="1" ht="12.75" customHeight="1">
      <c r="A42" s="46" t="s">
        <v>476</v>
      </c>
      <c r="B42" s="46"/>
      <c r="C42" s="64" t="s">
        <v>15</v>
      </c>
      <c r="D42" s="46"/>
      <c r="E42" s="45">
        <v>628755</v>
      </c>
      <c r="F42" s="45"/>
      <c r="G42" s="45">
        <v>0</v>
      </c>
      <c r="H42" s="45"/>
      <c r="I42" s="45">
        <v>0</v>
      </c>
      <c r="J42" s="45"/>
      <c r="K42" s="45">
        <v>0</v>
      </c>
      <c r="L42" s="45"/>
      <c r="M42" s="45">
        <v>14232</v>
      </c>
      <c r="N42" s="45"/>
      <c r="O42" s="45">
        <v>43158</v>
      </c>
      <c r="P42" s="45"/>
      <c r="Q42" s="45">
        <v>0</v>
      </c>
      <c r="R42" s="45"/>
      <c r="S42" s="45">
        <v>0</v>
      </c>
      <c r="T42" s="45"/>
      <c r="U42" s="45">
        <v>0</v>
      </c>
      <c r="V42" s="45"/>
      <c r="W42" s="45">
        <v>0</v>
      </c>
      <c r="X42" s="45"/>
      <c r="Y42" s="45">
        <v>22914</v>
      </c>
      <c r="Z42" s="44"/>
      <c r="AA42" s="45">
        <v>0</v>
      </c>
      <c r="AB42" s="44"/>
      <c r="AC42" s="45">
        <f>SUM(E42:AA42)</f>
        <v>709059</v>
      </c>
      <c r="AD42" s="45"/>
      <c r="AE42" s="48">
        <v>0</v>
      </c>
      <c r="AF42" s="48"/>
      <c r="AG42" s="45">
        <v>1489207</v>
      </c>
      <c r="AH42" s="45"/>
      <c r="AI42" s="45">
        <v>-54095</v>
      </c>
      <c r="AJ42" s="45"/>
      <c r="AK42" s="45">
        <v>0</v>
      </c>
      <c r="AL42" s="45"/>
      <c r="AM42" s="45">
        <f>+'Gen rev'!U42-'Gen exp'!AC42-AG42+'Gen rev'!W42+AI42+AK42-'Gen Bal'!S42-'Gen exp'!AE42</f>
        <v>0</v>
      </c>
      <c r="AN42" s="45"/>
      <c r="AO42" s="45"/>
      <c r="AP42" s="45"/>
      <c r="AQ42" s="45"/>
      <c r="AR42" s="52"/>
      <c r="AS42" s="50"/>
    </row>
    <row r="43" spans="1:45" s="49" customFormat="1" ht="12.75" customHeight="1">
      <c r="A43" s="28" t="s">
        <v>60</v>
      </c>
      <c r="C43" s="28" t="s">
        <v>61</v>
      </c>
      <c r="E43" s="45">
        <v>813572</v>
      </c>
      <c r="F43" s="45"/>
      <c r="G43" s="45">
        <v>2099808</v>
      </c>
      <c r="H43" s="45"/>
      <c r="I43" s="45">
        <v>86958</v>
      </c>
      <c r="J43" s="45"/>
      <c r="K43" s="45">
        <v>30099</v>
      </c>
      <c r="L43" s="45"/>
      <c r="M43" s="45">
        <v>265</v>
      </c>
      <c r="N43" s="45"/>
      <c r="O43" s="45">
        <v>0</v>
      </c>
      <c r="P43" s="45"/>
      <c r="Q43" s="45">
        <v>8285</v>
      </c>
      <c r="R43" s="45"/>
      <c r="S43" s="45">
        <v>105979</v>
      </c>
      <c r="T43" s="45"/>
      <c r="U43" s="45">
        <v>0</v>
      </c>
      <c r="V43" s="45"/>
      <c r="W43" s="45">
        <v>0</v>
      </c>
      <c r="X43" s="45"/>
      <c r="Y43" s="45">
        <v>0</v>
      </c>
      <c r="Z43" s="44"/>
      <c r="AA43" s="45">
        <v>0</v>
      </c>
      <c r="AB43" s="44"/>
      <c r="AC43" s="45">
        <f t="shared" si="1"/>
        <v>3144966</v>
      </c>
      <c r="AD43" s="45"/>
      <c r="AE43" s="48">
        <v>0</v>
      </c>
      <c r="AF43" s="48"/>
      <c r="AG43" s="45">
        <v>188713</v>
      </c>
      <c r="AH43" s="45"/>
      <c r="AI43" s="45">
        <v>2235177</v>
      </c>
      <c r="AJ43" s="45"/>
      <c r="AK43" s="45">
        <v>0</v>
      </c>
      <c r="AL43" s="45"/>
      <c r="AM43" s="45">
        <f>+'Gen rev'!U43-'Gen exp'!AC43-AG43+'Gen rev'!W43+AI43+AK43-'Gen Bal'!S43-'Gen exp'!AE43</f>
        <v>0</v>
      </c>
      <c r="AN43" s="45"/>
      <c r="AO43" s="45"/>
      <c r="AP43" s="45"/>
      <c r="AQ43" s="45"/>
      <c r="AR43" s="52"/>
      <c r="AS43" s="50"/>
    </row>
    <row r="44" spans="1:45" s="49" customFormat="1" ht="12.75" customHeight="1">
      <c r="A44" s="46" t="s">
        <v>62</v>
      </c>
      <c r="B44" s="46"/>
      <c r="C44" s="64" t="s">
        <v>15</v>
      </c>
      <c r="D44" s="46"/>
      <c r="E44" s="45">
        <v>17785110</v>
      </c>
      <c r="F44" s="45"/>
      <c r="G44" s="45">
        <v>33503646</v>
      </c>
      <c r="H44" s="45"/>
      <c r="I44" s="45">
        <v>0</v>
      </c>
      <c r="J44" s="45"/>
      <c r="K44" s="45">
        <v>2673323</v>
      </c>
      <c r="L44" s="45"/>
      <c r="M44" s="45">
        <v>1446763</v>
      </c>
      <c r="N44" s="45"/>
      <c r="O44" s="45">
        <v>2193155</v>
      </c>
      <c r="P44" s="45"/>
      <c r="Q44" s="45">
        <v>0</v>
      </c>
      <c r="R44" s="45"/>
      <c r="S44" s="45">
        <v>0</v>
      </c>
      <c r="T44" s="45"/>
      <c r="U44" s="45">
        <v>0</v>
      </c>
      <c r="V44" s="45"/>
      <c r="W44" s="45">
        <v>4245000</v>
      </c>
      <c r="X44" s="45"/>
      <c r="Y44" s="45">
        <v>127267</v>
      </c>
      <c r="Z44" s="44"/>
      <c r="AA44" s="45">
        <v>0</v>
      </c>
      <c r="AB44" s="44"/>
      <c r="AC44" s="45">
        <f t="shared" si="1"/>
        <v>61974264</v>
      </c>
      <c r="AD44" s="45"/>
      <c r="AE44" s="48">
        <v>0</v>
      </c>
      <c r="AF44" s="48"/>
      <c r="AG44" s="45">
        <f>206933+40000</f>
        <v>246933</v>
      </c>
      <c r="AH44" s="45"/>
      <c r="AI44" s="45">
        <v>7695889</v>
      </c>
      <c r="AJ44" s="45"/>
      <c r="AK44" s="45">
        <v>-27673</v>
      </c>
      <c r="AL44" s="45"/>
      <c r="AM44" s="45">
        <f>+'Gen rev'!U44-'Gen exp'!AC44-AG44+'Gen rev'!W44+AI44+AK44-'Gen Bal'!S44-'Gen exp'!AE44</f>
        <v>0</v>
      </c>
      <c r="AN44" s="45"/>
      <c r="AO44" s="45"/>
      <c r="AP44" s="45"/>
      <c r="AQ44" s="45"/>
      <c r="AR44" s="52"/>
      <c r="AS44" s="50"/>
    </row>
    <row r="45" spans="1:45" s="49" customFormat="1" ht="12.75" customHeight="1">
      <c r="A45" s="28" t="s">
        <v>485</v>
      </c>
      <c r="C45" s="28" t="s">
        <v>111</v>
      </c>
      <c r="E45" s="45">
        <v>514989</v>
      </c>
      <c r="F45" s="45"/>
      <c r="G45" s="45">
        <v>284922</v>
      </c>
      <c r="H45" s="45"/>
      <c r="I45" s="45">
        <v>133719</v>
      </c>
      <c r="J45" s="45"/>
      <c r="K45" s="45">
        <v>0</v>
      </c>
      <c r="L45" s="45"/>
      <c r="M45" s="45">
        <v>0</v>
      </c>
      <c r="N45" s="45"/>
      <c r="O45" s="45">
        <v>16203</v>
      </c>
      <c r="P45" s="45"/>
      <c r="Q45" s="45">
        <v>0</v>
      </c>
      <c r="R45" s="45"/>
      <c r="S45" s="45">
        <v>0</v>
      </c>
      <c r="T45" s="45"/>
      <c r="U45" s="45">
        <v>0</v>
      </c>
      <c r="V45" s="45"/>
      <c r="W45" s="45">
        <v>0</v>
      </c>
      <c r="X45" s="45"/>
      <c r="Y45" s="45">
        <v>0</v>
      </c>
      <c r="Z45" s="44"/>
      <c r="AA45" s="45">
        <v>0</v>
      </c>
      <c r="AB45" s="44"/>
      <c r="AC45" s="45">
        <f>SUM(E45:AA45)</f>
        <v>949833</v>
      </c>
      <c r="AD45" s="45"/>
      <c r="AE45" s="48">
        <v>0</v>
      </c>
      <c r="AF45" s="48"/>
      <c r="AG45" s="45">
        <v>357300</v>
      </c>
      <c r="AH45" s="45"/>
      <c r="AI45" s="45">
        <v>875510</v>
      </c>
      <c r="AJ45" s="45"/>
      <c r="AK45" s="45">
        <v>0</v>
      </c>
      <c r="AL45" s="45"/>
      <c r="AM45" s="45">
        <f>+'Gen rev'!U45-'Gen exp'!AC45-AG45+'Gen rev'!W45+AI45+AK45-'Gen Bal'!S45-'Gen exp'!AE45</f>
        <v>0</v>
      </c>
      <c r="AN45" s="48"/>
      <c r="AO45" s="48"/>
      <c r="AP45" s="48"/>
      <c r="AQ45" s="48"/>
      <c r="AR45" s="52"/>
      <c r="AS45" s="50"/>
    </row>
    <row r="46" spans="1:45" s="49" customFormat="1" ht="12.75" customHeight="1">
      <c r="A46" s="28" t="s">
        <v>63</v>
      </c>
      <c r="C46" s="28" t="s">
        <v>64</v>
      </c>
      <c r="E46" s="45">
        <v>1356890</v>
      </c>
      <c r="F46" s="45"/>
      <c r="G46" s="45">
        <v>2710028</v>
      </c>
      <c r="H46" s="45"/>
      <c r="I46" s="45">
        <v>48105</v>
      </c>
      <c r="J46" s="45"/>
      <c r="K46" s="45">
        <v>79768</v>
      </c>
      <c r="L46" s="45"/>
      <c r="M46" s="45">
        <v>173994</v>
      </c>
      <c r="N46" s="45"/>
      <c r="O46" s="45">
        <v>89822</v>
      </c>
      <c r="P46" s="45"/>
      <c r="Q46" s="45">
        <v>204342</v>
      </c>
      <c r="R46" s="45"/>
      <c r="S46" s="45">
        <v>0</v>
      </c>
      <c r="T46" s="45"/>
      <c r="U46" s="45">
        <v>0</v>
      </c>
      <c r="V46" s="45"/>
      <c r="W46" s="45">
        <v>0</v>
      </c>
      <c r="X46" s="45"/>
      <c r="Y46" s="45">
        <v>0</v>
      </c>
      <c r="Z46" s="44"/>
      <c r="AA46" s="45">
        <v>0</v>
      </c>
      <c r="AB46" s="44"/>
      <c r="AC46" s="45">
        <f t="shared" si="1"/>
        <v>4662949</v>
      </c>
      <c r="AD46" s="45"/>
      <c r="AE46" s="48">
        <v>0</v>
      </c>
      <c r="AF46" s="48"/>
      <c r="AG46" s="45">
        <v>920304</v>
      </c>
      <c r="AH46" s="45"/>
      <c r="AI46" s="45">
        <v>1252360</v>
      </c>
      <c r="AJ46" s="45"/>
      <c r="AK46" s="45">
        <v>0</v>
      </c>
      <c r="AL46" s="45"/>
      <c r="AM46" s="45">
        <f>+'Gen rev'!U46-'Gen exp'!AC46-AG46+'Gen rev'!W46+AI46+AK46-'Gen Bal'!S46-'Gen exp'!AE46</f>
        <v>0</v>
      </c>
      <c r="AN46" s="48"/>
      <c r="AO46" s="48"/>
      <c r="AP46" s="48"/>
      <c r="AQ46" s="48"/>
      <c r="AR46" s="52"/>
      <c r="AS46" s="50"/>
    </row>
    <row r="47" spans="1:45" s="49" customFormat="1" ht="12.75" customHeight="1">
      <c r="A47" s="28" t="s">
        <v>65</v>
      </c>
      <c r="C47" s="28" t="s">
        <v>66</v>
      </c>
      <c r="E47" s="45">
        <v>4935892</v>
      </c>
      <c r="F47" s="45"/>
      <c r="G47" s="45">
        <v>5973177</v>
      </c>
      <c r="H47" s="45"/>
      <c r="I47" s="45">
        <v>311352</v>
      </c>
      <c r="J47" s="45"/>
      <c r="K47" s="45">
        <v>0</v>
      </c>
      <c r="L47" s="45"/>
      <c r="M47" s="45">
        <v>0</v>
      </c>
      <c r="N47" s="45"/>
      <c r="O47" s="45">
        <v>398661</v>
      </c>
      <c r="P47" s="45"/>
      <c r="Q47" s="45">
        <v>0</v>
      </c>
      <c r="R47" s="45"/>
      <c r="S47" s="45">
        <v>193783</v>
      </c>
      <c r="T47" s="45"/>
      <c r="U47" s="45">
        <v>0</v>
      </c>
      <c r="V47" s="45"/>
      <c r="W47" s="45">
        <v>0</v>
      </c>
      <c r="X47" s="45"/>
      <c r="Y47" s="45">
        <v>0</v>
      </c>
      <c r="Z47" s="44"/>
      <c r="AA47" s="45">
        <v>0</v>
      </c>
      <c r="AB47" s="44"/>
      <c r="AC47" s="45">
        <f t="shared" si="1"/>
        <v>11812865</v>
      </c>
      <c r="AD47" s="45"/>
      <c r="AE47" s="48">
        <v>0</v>
      </c>
      <c r="AF47" s="48"/>
      <c r="AG47" s="45">
        <v>3055000</v>
      </c>
      <c r="AH47" s="45"/>
      <c r="AI47" s="45">
        <v>10580679</v>
      </c>
      <c r="AJ47" s="45"/>
      <c r="AK47" s="45">
        <v>-3136</v>
      </c>
      <c r="AL47" s="45"/>
      <c r="AM47" s="45">
        <f>+'Gen rev'!U47-'Gen exp'!AC47-AG47+'Gen rev'!W47+AI47+AK47-'Gen Bal'!S47-'Gen exp'!AE47</f>
        <v>0</v>
      </c>
      <c r="AN47" s="45"/>
      <c r="AO47" s="45"/>
      <c r="AP47" s="45"/>
      <c r="AQ47" s="45"/>
      <c r="AR47" s="52"/>
      <c r="AS47" s="50"/>
    </row>
    <row r="48" spans="1:45" s="49" customFormat="1" ht="12.75" customHeight="1">
      <c r="A48" s="28" t="s">
        <v>67</v>
      </c>
      <c r="C48" s="28" t="s">
        <v>375</v>
      </c>
      <c r="E48" s="45">
        <v>2707532</v>
      </c>
      <c r="F48" s="45"/>
      <c r="G48" s="45">
        <v>1423015</v>
      </c>
      <c r="H48" s="45"/>
      <c r="I48" s="45">
        <v>240389</v>
      </c>
      <c r="J48" s="45"/>
      <c r="K48" s="45">
        <v>12350</v>
      </c>
      <c r="L48" s="45"/>
      <c r="M48" s="45">
        <v>1122309</v>
      </c>
      <c r="N48" s="45"/>
      <c r="O48" s="45">
        <v>0</v>
      </c>
      <c r="P48" s="45"/>
      <c r="Q48" s="45">
        <v>0</v>
      </c>
      <c r="R48" s="45"/>
      <c r="S48" s="45">
        <v>61833</v>
      </c>
      <c r="T48" s="45"/>
      <c r="U48" s="45">
        <v>0</v>
      </c>
      <c r="V48" s="45"/>
      <c r="W48" s="45">
        <v>66304</v>
      </c>
      <c r="X48" s="45"/>
      <c r="Y48" s="45">
        <v>0</v>
      </c>
      <c r="Z48" s="44"/>
      <c r="AA48" s="45">
        <v>0</v>
      </c>
      <c r="AB48" s="44"/>
      <c r="AC48" s="45">
        <f t="shared" si="1"/>
        <v>5633732</v>
      </c>
      <c r="AD48" s="45"/>
      <c r="AE48" s="48">
        <v>0</v>
      </c>
      <c r="AF48" s="48"/>
      <c r="AG48" s="45">
        <v>2032300</v>
      </c>
      <c r="AH48" s="45"/>
      <c r="AI48" s="45">
        <v>2955007</v>
      </c>
      <c r="AJ48" s="45"/>
      <c r="AK48" s="45">
        <v>0</v>
      </c>
      <c r="AL48" s="45"/>
      <c r="AM48" s="45">
        <f>+'Gen rev'!U48-'Gen exp'!AC48-AG48+'Gen rev'!W48+AI48+AK48-'Gen Bal'!S48-'Gen exp'!AE48</f>
        <v>0</v>
      </c>
      <c r="AN48" s="45"/>
      <c r="AO48" s="45"/>
      <c r="AP48" s="45"/>
      <c r="AQ48" s="45"/>
      <c r="AR48" s="52"/>
      <c r="AS48" s="50"/>
    </row>
    <row r="49" spans="1:45" s="49" customFormat="1" ht="12.75" customHeight="1">
      <c r="A49" s="28" t="s">
        <v>68</v>
      </c>
      <c r="C49" s="28" t="s">
        <v>45</v>
      </c>
      <c r="E49" s="45">
        <v>1367618</v>
      </c>
      <c r="F49" s="45"/>
      <c r="G49" s="45">
        <v>2055984</v>
      </c>
      <c r="H49" s="45"/>
      <c r="I49" s="45">
        <v>0</v>
      </c>
      <c r="J49" s="45"/>
      <c r="K49" s="45">
        <v>7318</v>
      </c>
      <c r="L49" s="45"/>
      <c r="M49" s="45">
        <v>110996</v>
      </c>
      <c r="N49" s="45"/>
      <c r="O49" s="45">
        <v>108159</v>
      </c>
      <c r="P49" s="45"/>
      <c r="Q49" s="45">
        <v>367300</v>
      </c>
      <c r="R49" s="45"/>
      <c r="S49" s="45">
        <v>0</v>
      </c>
      <c r="T49" s="45"/>
      <c r="U49" s="45">
        <v>0</v>
      </c>
      <c r="V49" s="45"/>
      <c r="W49" s="45">
        <v>0</v>
      </c>
      <c r="X49" s="45"/>
      <c r="Y49" s="45">
        <v>0</v>
      </c>
      <c r="Z49" s="44"/>
      <c r="AA49" s="45">
        <v>0</v>
      </c>
      <c r="AB49" s="44"/>
      <c r="AC49" s="45">
        <f t="shared" si="1"/>
        <v>4017375</v>
      </c>
      <c r="AD49" s="45"/>
      <c r="AE49" s="48">
        <v>0</v>
      </c>
      <c r="AF49" s="48"/>
      <c r="AG49" s="45">
        <v>53693</v>
      </c>
      <c r="AH49" s="45"/>
      <c r="AI49" s="45">
        <v>412787</v>
      </c>
      <c r="AJ49" s="45"/>
      <c r="AK49" s="45">
        <v>-1745</v>
      </c>
      <c r="AL49" s="45"/>
      <c r="AM49" s="45">
        <f>+'Gen rev'!U49-'Gen exp'!AC49-AG49+'Gen rev'!W49+AI49+AK49-'Gen Bal'!S49-'Gen exp'!AE49</f>
        <v>0</v>
      </c>
      <c r="AN49" s="45"/>
      <c r="AO49" s="45"/>
      <c r="AP49" s="45"/>
      <c r="AQ49" s="45"/>
      <c r="AR49" s="52"/>
      <c r="AS49" s="50"/>
    </row>
    <row r="50" spans="1:45" s="49" customFormat="1" ht="12.75" customHeight="1">
      <c r="A50" s="28" t="s">
        <v>69</v>
      </c>
      <c r="C50" s="28" t="s">
        <v>70</v>
      </c>
      <c r="E50" s="45">
        <v>6366060</v>
      </c>
      <c r="F50" s="45"/>
      <c r="G50" s="45">
        <f>5119633+4220065</f>
        <v>9339698</v>
      </c>
      <c r="H50" s="45"/>
      <c r="I50" s="45">
        <v>154</v>
      </c>
      <c r="J50" s="45"/>
      <c r="K50" s="45">
        <v>0</v>
      </c>
      <c r="L50" s="45"/>
      <c r="M50" s="45">
        <v>233780</v>
      </c>
      <c r="N50" s="45"/>
      <c r="O50" s="45">
        <v>155759</v>
      </c>
      <c r="P50" s="45"/>
      <c r="Q50" s="45">
        <v>880792</v>
      </c>
      <c r="R50" s="45"/>
      <c r="S50" s="45">
        <v>0</v>
      </c>
      <c r="T50" s="45"/>
      <c r="U50" s="45">
        <v>0</v>
      </c>
      <c r="V50" s="45"/>
      <c r="W50" s="45">
        <v>40536</v>
      </c>
      <c r="X50" s="45"/>
      <c r="Y50" s="45">
        <v>10969</v>
      </c>
      <c r="Z50" s="44"/>
      <c r="AA50" s="45">
        <v>0</v>
      </c>
      <c r="AB50" s="44"/>
      <c r="AC50" s="45">
        <f t="shared" si="1"/>
        <v>17027748</v>
      </c>
      <c r="AD50" s="45"/>
      <c r="AE50" s="48">
        <v>0</v>
      </c>
      <c r="AF50" s="48"/>
      <c r="AG50" s="45">
        <v>2381774</v>
      </c>
      <c r="AH50" s="45"/>
      <c r="AI50" s="45">
        <v>4575110</v>
      </c>
      <c r="AJ50" s="45"/>
      <c r="AK50" s="45">
        <v>0</v>
      </c>
      <c r="AL50" s="45"/>
      <c r="AM50" s="45">
        <f>+'Gen rev'!U50-'Gen exp'!AC50-AG50+'Gen rev'!W50+AI50+AK50-'Gen Bal'!S50-'Gen exp'!AE50</f>
        <v>0</v>
      </c>
      <c r="AN50" s="45"/>
      <c r="AO50" s="45"/>
      <c r="AP50" s="45"/>
      <c r="AQ50" s="45"/>
      <c r="AR50" s="52"/>
      <c r="AS50" s="50"/>
    </row>
    <row r="51" spans="1:45" s="49" customFormat="1" ht="12.75" customHeight="1">
      <c r="A51" s="28" t="s">
        <v>71</v>
      </c>
      <c r="C51" s="28" t="s">
        <v>45</v>
      </c>
      <c r="E51" s="45">
        <v>39359000</v>
      </c>
      <c r="F51" s="45"/>
      <c r="G51" s="45">
        <v>169598000</v>
      </c>
      <c r="H51" s="45"/>
      <c r="I51" s="45">
        <v>6676000</v>
      </c>
      <c r="J51" s="45"/>
      <c r="K51" s="45">
        <v>18051000</v>
      </c>
      <c r="L51" s="45"/>
      <c r="M51" s="45">
        <v>3485000</v>
      </c>
      <c r="N51" s="45"/>
      <c r="O51" s="45">
        <v>19522000</v>
      </c>
      <c r="P51" s="45"/>
      <c r="Q51" s="45">
        <f>18543000+74064000</f>
        <v>92607000</v>
      </c>
      <c r="R51" s="45"/>
      <c r="S51" s="45">
        <v>0</v>
      </c>
      <c r="T51" s="45"/>
      <c r="U51" s="45">
        <v>0</v>
      </c>
      <c r="V51" s="45"/>
      <c r="W51" s="45">
        <v>0</v>
      </c>
      <c r="X51" s="45"/>
      <c r="Y51" s="45">
        <v>0</v>
      </c>
      <c r="Z51" s="44"/>
      <c r="AA51" s="45">
        <v>0</v>
      </c>
      <c r="AB51" s="44"/>
      <c r="AC51" s="45">
        <f t="shared" si="1"/>
        <v>349298000</v>
      </c>
      <c r="AD51" s="45"/>
      <c r="AE51" s="48">
        <v>0</v>
      </c>
      <c r="AF51" s="48"/>
      <c r="AG51" s="45">
        <v>3293000</v>
      </c>
      <c r="AH51" s="45"/>
      <c r="AI51" s="45">
        <v>92009000</v>
      </c>
      <c r="AJ51" s="45"/>
      <c r="AK51" s="45">
        <v>0</v>
      </c>
      <c r="AL51" s="45"/>
      <c r="AM51" s="45">
        <f>+'Gen rev'!U51-'Gen exp'!AC51-AG51+'Gen rev'!W51+AI51+AK51-'Gen Bal'!S51-'Gen exp'!AE51</f>
        <v>0</v>
      </c>
      <c r="AN51" s="45"/>
      <c r="AO51" s="45"/>
      <c r="AP51" s="45"/>
      <c r="AQ51" s="45"/>
      <c r="AR51" s="52"/>
      <c r="AS51" s="50"/>
    </row>
    <row r="52" spans="1:45" s="49" customFormat="1" ht="12.75" customHeight="1">
      <c r="A52" s="47" t="s">
        <v>463</v>
      </c>
      <c r="C52" s="47" t="s">
        <v>464</v>
      </c>
      <c r="E52" s="45">
        <v>2163389</v>
      </c>
      <c r="F52" s="45"/>
      <c r="G52" s="45">
        <f>1413601+627482+95105</f>
        <v>2136188</v>
      </c>
      <c r="H52" s="45"/>
      <c r="I52" s="45">
        <v>8986</v>
      </c>
      <c r="J52" s="45"/>
      <c r="K52" s="45">
        <v>177630</v>
      </c>
      <c r="L52" s="45"/>
      <c r="M52" s="45">
        <v>317262</v>
      </c>
      <c r="N52" s="45"/>
      <c r="O52" s="45">
        <f>109445+30024+26657</f>
        <v>166126</v>
      </c>
      <c r="P52" s="45"/>
      <c r="Q52" s="45">
        <v>2700</v>
      </c>
      <c r="R52" s="45"/>
      <c r="S52" s="45">
        <v>4671</v>
      </c>
      <c r="T52" s="45"/>
      <c r="U52" s="45">
        <v>0</v>
      </c>
      <c r="V52" s="45"/>
      <c r="W52" s="45">
        <v>36579</v>
      </c>
      <c r="X52" s="45"/>
      <c r="Y52" s="45">
        <v>4636</v>
      </c>
      <c r="Z52" s="44"/>
      <c r="AA52" s="45">
        <v>0</v>
      </c>
      <c r="AB52" s="44"/>
      <c r="AC52" s="45">
        <f t="shared" si="1"/>
        <v>5018167</v>
      </c>
      <c r="AD52" s="45"/>
      <c r="AE52" s="48">
        <v>0</v>
      </c>
      <c r="AF52" s="48"/>
      <c r="AG52" s="45">
        <v>10000</v>
      </c>
      <c r="AH52" s="45"/>
      <c r="AI52" s="45">
        <v>1185263</v>
      </c>
      <c r="AJ52" s="45"/>
      <c r="AK52" s="45">
        <v>0</v>
      </c>
      <c r="AL52" s="45"/>
      <c r="AM52" s="45">
        <f>+'Gen rev'!U52-'Gen exp'!AC52-AG52+'Gen rev'!W52+AI52+AK52-'Gen Bal'!S52-'Gen exp'!AE52</f>
        <v>0</v>
      </c>
      <c r="AN52" s="45"/>
      <c r="AO52" s="45"/>
      <c r="AP52" s="45"/>
      <c r="AQ52" s="45"/>
      <c r="AR52" s="52"/>
      <c r="AS52" s="50"/>
    </row>
    <row r="53" spans="1:45" s="49" customFormat="1" ht="12.75" customHeight="1">
      <c r="A53" s="28" t="s">
        <v>72</v>
      </c>
      <c r="C53" s="28" t="s">
        <v>66</v>
      </c>
      <c r="E53" s="45">
        <v>1556858</v>
      </c>
      <c r="F53" s="45"/>
      <c r="G53" s="45">
        <v>0</v>
      </c>
      <c r="H53" s="45"/>
      <c r="I53" s="45">
        <v>0</v>
      </c>
      <c r="J53" s="45"/>
      <c r="K53" s="45">
        <v>0</v>
      </c>
      <c r="L53" s="45"/>
      <c r="M53" s="45">
        <v>0</v>
      </c>
      <c r="N53" s="45"/>
      <c r="O53" s="45">
        <v>0</v>
      </c>
      <c r="P53" s="45"/>
      <c r="Q53" s="45">
        <v>0</v>
      </c>
      <c r="R53" s="45"/>
      <c r="S53" s="45">
        <v>0</v>
      </c>
      <c r="T53" s="45"/>
      <c r="U53" s="45">
        <v>0</v>
      </c>
      <c r="V53" s="45"/>
      <c r="W53" s="45">
        <v>0</v>
      </c>
      <c r="X53" s="45"/>
      <c r="Y53" s="45">
        <v>0</v>
      </c>
      <c r="Z53" s="44"/>
      <c r="AA53" s="45">
        <v>0</v>
      </c>
      <c r="AB53" s="44"/>
      <c r="AC53" s="45">
        <f t="shared" si="1"/>
        <v>1556858</v>
      </c>
      <c r="AD53" s="45"/>
      <c r="AE53" s="48">
        <v>0</v>
      </c>
      <c r="AF53" s="48"/>
      <c r="AG53" s="45">
        <v>971205</v>
      </c>
      <c r="AH53" s="45"/>
      <c r="AI53" s="45">
        <v>1564699</v>
      </c>
      <c r="AJ53" s="45"/>
      <c r="AK53" s="45">
        <v>0</v>
      </c>
      <c r="AL53" s="45"/>
      <c r="AM53" s="45">
        <f>+'Gen rev'!U53-'Gen exp'!AC53-AG53+'Gen rev'!W53+AI53+AK53-'Gen Bal'!S53-'Gen exp'!AE53</f>
        <v>0</v>
      </c>
      <c r="AN53" s="45"/>
      <c r="AO53" s="45"/>
      <c r="AP53" s="45"/>
      <c r="AQ53" s="45"/>
      <c r="AR53" s="52"/>
      <c r="AS53" s="50"/>
    </row>
    <row r="54" spans="1:45" s="49" customFormat="1" ht="12.75" customHeight="1">
      <c r="A54" s="28" t="s">
        <v>73</v>
      </c>
      <c r="C54" s="28" t="s">
        <v>27</v>
      </c>
      <c r="E54" s="45">
        <v>77690000</v>
      </c>
      <c r="F54" s="45"/>
      <c r="G54" s="45">
        <v>306294000</v>
      </c>
      <c r="H54" s="45"/>
      <c r="I54" s="45">
        <f>1860000+1317000</f>
        <v>3177000</v>
      </c>
      <c r="J54" s="45"/>
      <c r="K54" s="45">
        <v>5645000</v>
      </c>
      <c r="L54" s="45"/>
      <c r="M54" s="45">
        <v>35823000</v>
      </c>
      <c r="N54" s="45"/>
      <c r="O54" s="45">
        <v>35363000</v>
      </c>
      <c r="P54" s="45"/>
      <c r="Q54" s="45">
        <f>8984000+10446000</f>
        <v>19430000</v>
      </c>
      <c r="R54" s="45"/>
      <c r="S54" s="45">
        <v>0</v>
      </c>
      <c r="T54" s="45"/>
      <c r="U54" s="45">
        <v>0</v>
      </c>
      <c r="V54" s="45"/>
      <c r="W54" s="45">
        <v>0</v>
      </c>
      <c r="X54" s="45"/>
      <c r="Y54" s="45">
        <v>0</v>
      </c>
      <c r="Z54" s="44"/>
      <c r="AA54" s="45">
        <v>0</v>
      </c>
      <c r="AB54" s="44"/>
      <c r="AC54" s="45">
        <f t="shared" ref="AC54:AC65" si="2">SUM(E54:AA54)</f>
        <v>483422000</v>
      </c>
      <c r="AD54" s="45"/>
      <c r="AE54" s="48">
        <v>0</v>
      </c>
      <c r="AF54" s="48"/>
      <c r="AG54" s="45">
        <v>18391000</v>
      </c>
      <c r="AH54" s="45"/>
      <c r="AI54" s="45">
        <v>31545000</v>
      </c>
      <c r="AJ54" s="45"/>
      <c r="AK54" s="45">
        <v>0</v>
      </c>
      <c r="AL54" s="45"/>
      <c r="AM54" s="45">
        <f>+'Gen rev'!U54-'Gen exp'!AC54-AG54+'Gen rev'!W54+AI54+AK54-'Gen Bal'!S54-'Gen exp'!AE54</f>
        <v>0</v>
      </c>
      <c r="AN54" s="45"/>
      <c r="AO54" s="45"/>
      <c r="AP54" s="45"/>
      <c r="AQ54" s="45"/>
      <c r="AR54" s="52"/>
      <c r="AS54" s="50"/>
    </row>
    <row r="55" spans="1:45" s="49" customFormat="1" ht="12.75" customHeight="1">
      <c r="A55" s="28" t="s">
        <v>74</v>
      </c>
      <c r="C55" s="28" t="s">
        <v>27</v>
      </c>
      <c r="E55" s="45">
        <v>12155681</v>
      </c>
      <c r="F55" s="45"/>
      <c r="G55" s="45">
        <v>14494753</v>
      </c>
      <c r="H55" s="45"/>
      <c r="I55" s="45">
        <v>2012666</v>
      </c>
      <c r="J55" s="45"/>
      <c r="K55" s="45">
        <v>384294</v>
      </c>
      <c r="L55" s="45"/>
      <c r="M55" s="45">
        <v>2889596</v>
      </c>
      <c r="N55" s="45"/>
      <c r="O55" s="45">
        <v>2095695</v>
      </c>
      <c r="P55" s="45"/>
      <c r="Q55" s="45">
        <v>2085603</v>
      </c>
      <c r="R55" s="45"/>
      <c r="S55" s="45">
        <v>355228</v>
      </c>
      <c r="T55" s="45"/>
      <c r="U55" s="45">
        <v>0</v>
      </c>
      <c r="V55" s="45"/>
      <c r="W55" s="45">
        <v>17706</v>
      </c>
      <c r="X55" s="45"/>
      <c r="Y55" s="45">
        <v>0</v>
      </c>
      <c r="Z55" s="44"/>
      <c r="AA55" s="45">
        <v>0</v>
      </c>
      <c r="AB55" s="44"/>
      <c r="AC55" s="45">
        <f t="shared" si="2"/>
        <v>36491222</v>
      </c>
      <c r="AD55" s="45"/>
      <c r="AE55" s="48">
        <v>0</v>
      </c>
      <c r="AF55" s="48"/>
      <c r="AG55" s="45">
        <v>2729589</v>
      </c>
      <c r="AH55" s="45"/>
      <c r="AI55" s="45">
        <v>3935469</v>
      </c>
      <c r="AJ55" s="45"/>
      <c r="AK55" s="45">
        <v>0</v>
      </c>
      <c r="AL55" s="45"/>
      <c r="AM55" s="45">
        <f>+'Gen rev'!U55-'Gen exp'!AC55-AG55+'Gen rev'!W55+AI55+AK55-'Gen Bal'!S55-'Gen exp'!AE55</f>
        <v>0</v>
      </c>
      <c r="AN55" s="48"/>
      <c r="AO55" s="48"/>
      <c r="AP55" s="48"/>
      <c r="AQ55" s="48"/>
      <c r="AR55" s="52"/>
      <c r="AS55" s="50"/>
    </row>
    <row r="56" spans="1:45" s="49" customFormat="1" ht="12.75" customHeight="1">
      <c r="A56" s="28" t="s">
        <v>75</v>
      </c>
      <c r="C56" s="28" t="s">
        <v>76</v>
      </c>
      <c r="E56" s="45">
        <v>1041221</v>
      </c>
      <c r="F56" s="45"/>
      <c r="G56" s="45">
        <v>1950692</v>
      </c>
      <c r="H56" s="45"/>
      <c r="I56" s="45">
        <v>265556</v>
      </c>
      <c r="J56" s="45"/>
      <c r="K56" s="45">
        <v>438207</v>
      </c>
      <c r="L56" s="45"/>
      <c r="M56" s="45">
        <v>0</v>
      </c>
      <c r="N56" s="45"/>
      <c r="O56" s="45">
        <v>0</v>
      </c>
      <c r="P56" s="45"/>
      <c r="Q56" s="45">
        <v>0</v>
      </c>
      <c r="R56" s="45"/>
      <c r="S56" s="45">
        <v>0</v>
      </c>
      <c r="T56" s="45"/>
      <c r="U56" s="45">
        <v>0</v>
      </c>
      <c r="V56" s="45"/>
      <c r="W56" s="45">
        <v>1705046</v>
      </c>
      <c r="X56" s="45"/>
      <c r="Y56" s="45">
        <v>20584</v>
      </c>
      <c r="Z56" s="44"/>
      <c r="AA56" s="45">
        <v>0</v>
      </c>
      <c r="AB56" s="44"/>
      <c r="AC56" s="45">
        <f t="shared" si="2"/>
        <v>5421306</v>
      </c>
      <c r="AD56" s="45"/>
      <c r="AE56" s="48">
        <v>0</v>
      </c>
      <c r="AF56" s="48"/>
      <c r="AG56" s="45">
        <v>446694</v>
      </c>
      <c r="AH56" s="45"/>
      <c r="AI56" s="45">
        <v>615660</v>
      </c>
      <c r="AJ56" s="45"/>
      <c r="AK56" s="45">
        <v>0</v>
      </c>
      <c r="AL56" s="45"/>
      <c r="AM56" s="45">
        <f>+'Gen rev'!U56-'Gen exp'!AC56-AG56+'Gen rev'!W56+AI56+AK56-'Gen Bal'!S56-'Gen exp'!AE56</f>
        <v>0</v>
      </c>
      <c r="AN56" s="45"/>
      <c r="AO56" s="45"/>
      <c r="AP56" s="45"/>
      <c r="AQ56" s="45"/>
      <c r="AR56" s="52"/>
      <c r="AS56" s="50"/>
    </row>
    <row r="57" spans="1:45" s="49" customFormat="1" ht="12.75" customHeight="1">
      <c r="A57" s="28" t="s">
        <v>77</v>
      </c>
      <c r="C57" s="28" t="s">
        <v>43</v>
      </c>
      <c r="E57" s="45">
        <v>89147000</v>
      </c>
      <c r="F57" s="45"/>
      <c r="G57" s="45">
        <v>444922000</v>
      </c>
      <c r="H57" s="45"/>
      <c r="I57" s="45">
        <v>18720000</v>
      </c>
      <c r="J57" s="45"/>
      <c r="K57" s="45">
        <v>0</v>
      </c>
      <c r="L57" s="45"/>
      <c r="M57" s="45">
        <v>35846000</v>
      </c>
      <c r="N57" s="45"/>
      <c r="O57" s="45">
        <v>0</v>
      </c>
      <c r="P57" s="45"/>
      <c r="Q57" s="45">
        <v>0</v>
      </c>
      <c r="R57" s="45"/>
      <c r="S57" s="45">
        <v>1565000</v>
      </c>
      <c r="T57" s="45"/>
      <c r="U57" s="45">
        <v>0</v>
      </c>
      <c r="V57" s="45"/>
      <c r="W57" s="45">
        <v>0</v>
      </c>
      <c r="X57" s="45"/>
      <c r="Y57" s="45">
        <v>0</v>
      </c>
      <c r="Z57" s="44"/>
      <c r="AA57" s="45">
        <v>0</v>
      </c>
      <c r="AB57" s="44"/>
      <c r="AC57" s="45">
        <f t="shared" si="2"/>
        <v>590200000</v>
      </c>
      <c r="AD57" s="45"/>
      <c r="AE57" s="48">
        <v>0</v>
      </c>
      <c r="AF57" s="48"/>
      <c r="AG57" s="45">
        <v>37305000</v>
      </c>
      <c r="AH57" s="45"/>
      <c r="AI57" s="45">
        <v>64560000</v>
      </c>
      <c r="AJ57" s="45"/>
      <c r="AK57" s="45">
        <v>0</v>
      </c>
      <c r="AL57" s="45"/>
      <c r="AM57" s="45">
        <f>+'Gen rev'!U57-'Gen exp'!AC57-AG57+'Gen rev'!W57+AI57+AK57-'Gen Bal'!S57-'Gen exp'!AE57</f>
        <v>0</v>
      </c>
      <c r="AN57" s="35"/>
      <c r="AO57" s="35"/>
      <c r="AP57" s="35"/>
      <c r="AQ57" s="35"/>
      <c r="AR57" s="50"/>
      <c r="AS57" s="50"/>
    </row>
    <row r="58" spans="1:45" s="49" customFormat="1" ht="12.75" customHeight="1">
      <c r="A58" s="28" t="s">
        <v>94</v>
      </c>
      <c r="C58" s="28" t="s">
        <v>94</v>
      </c>
      <c r="E58" s="45">
        <v>412153</v>
      </c>
      <c r="F58" s="45"/>
      <c r="G58" s="45">
        <v>1463730</v>
      </c>
      <c r="H58" s="45"/>
      <c r="I58" s="45">
        <v>0</v>
      </c>
      <c r="J58" s="45"/>
      <c r="K58" s="45">
        <v>6953</v>
      </c>
      <c r="L58" s="45"/>
      <c r="M58" s="45">
        <v>0</v>
      </c>
      <c r="N58" s="45"/>
      <c r="O58" s="45">
        <v>0</v>
      </c>
      <c r="P58" s="45"/>
      <c r="Q58" s="45">
        <v>0</v>
      </c>
      <c r="R58" s="45"/>
      <c r="S58" s="45">
        <v>0</v>
      </c>
      <c r="T58" s="45"/>
      <c r="U58" s="45">
        <v>0</v>
      </c>
      <c r="V58" s="45"/>
      <c r="W58" s="45">
        <v>0</v>
      </c>
      <c r="X58" s="45"/>
      <c r="Y58" s="45">
        <v>0</v>
      </c>
      <c r="Z58" s="44"/>
      <c r="AA58" s="45">
        <v>0</v>
      </c>
      <c r="AB58" s="44"/>
      <c r="AC58" s="45">
        <f>SUM(E58:AA58)</f>
        <v>1882836</v>
      </c>
      <c r="AD58" s="45"/>
      <c r="AE58" s="48">
        <v>0</v>
      </c>
      <c r="AF58" s="48"/>
      <c r="AG58" s="45">
        <v>423000</v>
      </c>
      <c r="AH58" s="45"/>
      <c r="AI58" s="45">
        <v>333413</v>
      </c>
      <c r="AJ58" s="45"/>
      <c r="AK58" s="45">
        <v>0</v>
      </c>
      <c r="AL58" s="45"/>
      <c r="AM58" s="45">
        <f>+'Gen rev'!U58-'Gen exp'!AC58-AG58+'Gen rev'!W58+AI58+AK58-'Gen Bal'!S59-'Gen exp'!AE58</f>
        <v>0</v>
      </c>
      <c r="AN58" s="44"/>
      <c r="AO58" s="44"/>
      <c r="AP58" s="44"/>
      <c r="AQ58" s="44"/>
    </row>
    <row r="59" spans="1:45" s="49" customFormat="1" ht="12.75" customHeight="1">
      <c r="A59" s="28" t="s">
        <v>78</v>
      </c>
      <c r="C59" s="28" t="s">
        <v>19</v>
      </c>
      <c r="E59" s="45">
        <v>1094010</v>
      </c>
      <c r="F59" s="45"/>
      <c r="G59" s="45">
        <v>2345457</v>
      </c>
      <c r="H59" s="45"/>
      <c r="I59" s="45">
        <v>74077</v>
      </c>
      <c r="J59" s="45"/>
      <c r="K59" s="45">
        <v>192405</v>
      </c>
      <c r="L59" s="45"/>
      <c r="M59" s="45">
        <v>0</v>
      </c>
      <c r="N59" s="45"/>
      <c r="O59" s="45">
        <v>42190</v>
      </c>
      <c r="P59" s="45"/>
      <c r="Q59" s="45">
        <v>0</v>
      </c>
      <c r="R59" s="45"/>
      <c r="S59" s="45">
        <v>0</v>
      </c>
      <c r="T59" s="45"/>
      <c r="U59" s="45">
        <v>0</v>
      </c>
      <c r="V59" s="45"/>
      <c r="W59" s="45">
        <v>129667</v>
      </c>
      <c r="X59" s="45"/>
      <c r="Y59" s="45">
        <v>14055</v>
      </c>
      <c r="Z59" s="44"/>
      <c r="AA59" s="45">
        <v>0</v>
      </c>
      <c r="AB59" s="44"/>
      <c r="AC59" s="45">
        <f t="shared" si="2"/>
        <v>3891861</v>
      </c>
      <c r="AD59" s="45"/>
      <c r="AE59" s="48">
        <v>0</v>
      </c>
      <c r="AF59" s="48"/>
      <c r="AG59" s="45">
        <v>77265</v>
      </c>
      <c r="AH59" s="45"/>
      <c r="AI59" s="45">
        <v>215243</v>
      </c>
      <c r="AJ59" s="45"/>
      <c r="AK59" s="45">
        <v>0</v>
      </c>
      <c r="AL59" s="45"/>
      <c r="AM59" s="45">
        <f>+'Gen rev'!U59-'Gen exp'!AC59-AG59+'Gen rev'!W59+AI59+AK59-'Gen Bal'!S60-'Gen exp'!AE59</f>
        <v>0</v>
      </c>
      <c r="AN59" s="44"/>
      <c r="AO59" s="44"/>
      <c r="AP59" s="44"/>
      <c r="AQ59" s="44"/>
    </row>
    <row r="60" spans="1:45" s="49" customFormat="1" ht="12.75" customHeight="1">
      <c r="A60" s="28" t="s">
        <v>79</v>
      </c>
      <c r="C60" s="28" t="s">
        <v>80</v>
      </c>
      <c r="E60" s="45">
        <v>804551</v>
      </c>
      <c r="F60" s="45"/>
      <c r="G60" s="45">
        <v>46531</v>
      </c>
      <c r="H60" s="45"/>
      <c r="I60" s="45">
        <v>39298</v>
      </c>
      <c r="J60" s="45"/>
      <c r="K60" s="45">
        <v>11667</v>
      </c>
      <c r="L60" s="45"/>
      <c r="M60" s="45">
        <v>0</v>
      </c>
      <c r="N60" s="45"/>
      <c r="O60" s="45">
        <v>28667</v>
      </c>
      <c r="P60" s="45"/>
      <c r="Q60" s="45">
        <v>25724</v>
      </c>
      <c r="R60" s="45"/>
      <c r="S60" s="45">
        <v>0</v>
      </c>
      <c r="T60" s="45"/>
      <c r="U60" s="45">
        <v>0</v>
      </c>
      <c r="V60" s="45"/>
      <c r="W60" s="45">
        <v>0</v>
      </c>
      <c r="X60" s="45"/>
      <c r="Y60" s="45">
        <v>0</v>
      </c>
      <c r="Z60" s="44"/>
      <c r="AA60" s="45">
        <v>0</v>
      </c>
      <c r="AB60" s="44"/>
      <c r="AC60" s="45">
        <f t="shared" si="2"/>
        <v>956438</v>
      </c>
      <c r="AD60" s="45"/>
      <c r="AE60" s="48">
        <v>0</v>
      </c>
      <c r="AF60" s="48"/>
      <c r="AG60" s="45">
        <v>0</v>
      </c>
      <c r="AH60" s="45"/>
      <c r="AI60" s="45">
        <v>565186</v>
      </c>
      <c r="AJ60" s="45"/>
      <c r="AK60" s="45">
        <v>0</v>
      </c>
      <c r="AL60" s="45"/>
      <c r="AM60" s="45">
        <f>+'Gen rev'!U60-'Gen exp'!AC60-AG60+'Gen rev'!W60+AI60+AK60-'Gen Bal'!S61-'Gen exp'!AE60</f>
        <v>0</v>
      </c>
      <c r="AN60" s="44"/>
      <c r="AO60" s="44"/>
      <c r="AP60" s="44"/>
      <c r="AQ60" s="44"/>
    </row>
    <row r="61" spans="1:45" s="49" customFormat="1" ht="12.75" customHeight="1">
      <c r="A61" s="28" t="s">
        <v>81</v>
      </c>
      <c r="C61" s="28" t="s">
        <v>81</v>
      </c>
      <c r="E61" s="45">
        <v>1958422</v>
      </c>
      <c r="F61" s="45"/>
      <c r="G61" s="45">
        <v>2044036</v>
      </c>
      <c r="H61" s="45"/>
      <c r="I61" s="45">
        <v>13789</v>
      </c>
      <c r="J61" s="45"/>
      <c r="K61" s="45">
        <v>445744</v>
      </c>
      <c r="L61" s="45"/>
      <c r="M61" s="45">
        <v>0</v>
      </c>
      <c r="N61" s="45"/>
      <c r="O61" s="45">
        <v>101452</v>
      </c>
      <c r="P61" s="45"/>
      <c r="Q61" s="45">
        <v>0</v>
      </c>
      <c r="R61" s="45"/>
      <c r="S61" s="45">
        <v>0</v>
      </c>
      <c r="T61" s="45"/>
      <c r="U61" s="45">
        <v>0</v>
      </c>
      <c r="V61" s="45"/>
      <c r="W61" s="45">
        <v>0</v>
      </c>
      <c r="X61" s="45"/>
      <c r="Y61" s="45">
        <v>0</v>
      </c>
      <c r="Z61" s="44"/>
      <c r="AA61" s="45">
        <v>0</v>
      </c>
      <c r="AB61" s="44"/>
      <c r="AC61" s="45">
        <f t="shared" si="2"/>
        <v>4563443</v>
      </c>
      <c r="AD61" s="45"/>
      <c r="AE61" s="48">
        <v>0</v>
      </c>
      <c r="AF61" s="48"/>
      <c r="AG61" s="45">
        <v>0</v>
      </c>
      <c r="AH61" s="45"/>
      <c r="AI61" s="45">
        <v>-361561</v>
      </c>
      <c r="AJ61" s="45"/>
      <c r="AK61" s="45">
        <v>0</v>
      </c>
      <c r="AL61" s="45"/>
      <c r="AM61" s="45">
        <f>+'Gen rev'!U61-'Gen exp'!AC61-AG61+'Gen rev'!W61+AI61+AK61-'Gen Bal'!S62-'Gen exp'!AE61</f>
        <v>0</v>
      </c>
      <c r="AN61" s="44"/>
      <c r="AO61" s="44"/>
      <c r="AP61" s="44"/>
      <c r="AQ61" s="44"/>
    </row>
    <row r="62" spans="1:45" s="46" customFormat="1" ht="12.75" customHeight="1">
      <c r="A62" s="47" t="s">
        <v>465</v>
      </c>
      <c r="B62" s="47"/>
      <c r="C62" s="47" t="s">
        <v>57</v>
      </c>
      <c r="D62" s="49"/>
      <c r="E62" s="45">
        <v>350016</v>
      </c>
      <c r="F62" s="45"/>
      <c r="G62" s="45">
        <v>1262395</v>
      </c>
      <c r="H62" s="45"/>
      <c r="I62" s="45">
        <v>30993</v>
      </c>
      <c r="J62" s="45"/>
      <c r="K62" s="45">
        <v>0</v>
      </c>
      <c r="L62" s="45"/>
      <c r="M62" s="45">
        <v>0</v>
      </c>
      <c r="N62" s="45"/>
      <c r="O62" s="45">
        <v>37317</v>
      </c>
      <c r="P62" s="45"/>
      <c r="Q62" s="45">
        <v>0</v>
      </c>
      <c r="R62" s="45"/>
      <c r="S62" s="45">
        <v>1381</v>
      </c>
      <c r="T62" s="45"/>
      <c r="U62" s="45">
        <v>0</v>
      </c>
      <c r="V62" s="45"/>
      <c r="W62" s="45">
        <v>2229</v>
      </c>
      <c r="X62" s="45"/>
      <c r="Y62" s="45">
        <v>4572</v>
      </c>
      <c r="Z62" s="44"/>
      <c r="AA62" s="45">
        <v>0</v>
      </c>
      <c r="AB62" s="44"/>
      <c r="AC62" s="45">
        <f t="shared" si="2"/>
        <v>1688903</v>
      </c>
      <c r="AD62" s="45"/>
      <c r="AE62" s="48">
        <v>0</v>
      </c>
      <c r="AF62" s="48"/>
      <c r="AG62" s="45">
        <v>0</v>
      </c>
      <c r="AH62" s="45"/>
      <c r="AI62" s="45">
        <v>465262</v>
      </c>
      <c r="AJ62" s="45"/>
      <c r="AK62" s="45">
        <v>0</v>
      </c>
      <c r="AL62" s="45"/>
      <c r="AM62" s="45">
        <f>+'Gen rev'!U62-'Gen exp'!AC62-AG62+'Gen rev'!W62+AI62+AK62-'Gen Bal'!S63-'Gen exp'!AE62</f>
        <v>0</v>
      </c>
    </row>
    <row r="63" spans="1:45" s="49" customFormat="1" ht="12.75" customHeight="1">
      <c r="A63" s="28" t="s">
        <v>82</v>
      </c>
      <c r="C63" s="28" t="s">
        <v>13</v>
      </c>
      <c r="E63" s="45">
        <v>6151444</v>
      </c>
      <c r="F63" s="45"/>
      <c r="G63" s="45">
        <v>18941782</v>
      </c>
      <c r="H63" s="45"/>
      <c r="I63" s="45">
        <v>1396795</v>
      </c>
      <c r="J63" s="45"/>
      <c r="K63" s="45">
        <v>0</v>
      </c>
      <c r="L63" s="45"/>
      <c r="M63" s="45">
        <v>0</v>
      </c>
      <c r="N63" s="45"/>
      <c r="O63" s="45">
        <v>2178546</v>
      </c>
      <c r="P63" s="45"/>
      <c r="Q63" s="45">
        <v>0</v>
      </c>
      <c r="R63" s="45"/>
      <c r="S63" s="45">
        <v>0</v>
      </c>
      <c r="T63" s="45"/>
      <c r="U63" s="45">
        <v>0</v>
      </c>
      <c r="V63" s="45"/>
      <c r="W63" s="45">
        <v>0</v>
      </c>
      <c r="X63" s="45"/>
      <c r="Y63" s="45">
        <v>0</v>
      </c>
      <c r="Z63" s="44"/>
      <c r="AA63" s="45">
        <v>0</v>
      </c>
      <c r="AB63" s="44"/>
      <c r="AC63" s="45">
        <f t="shared" si="2"/>
        <v>28668567</v>
      </c>
      <c r="AD63" s="45"/>
      <c r="AE63" s="48">
        <v>0</v>
      </c>
      <c r="AF63" s="48"/>
      <c r="AG63" s="45">
        <v>4749068</v>
      </c>
      <c r="AH63" s="45"/>
      <c r="AI63" s="45">
        <v>8044312</v>
      </c>
      <c r="AJ63" s="45"/>
      <c r="AK63" s="45">
        <f>-21515+4031</f>
        <v>-17484</v>
      </c>
      <c r="AL63" s="45"/>
      <c r="AM63" s="45">
        <f>+'Gen rev'!U63-'Gen exp'!AC63-AG63+'Gen rev'!W63+AI63+AK63-'Gen Bal'!S64-'Gen exp'!AE63</f>
        <v>0</v>
      </c>
      <c r="AN63" s="44"/>
      <c r="AO63" s="44"/>
      <c r="AP63" s="44"/>
      <c r="AQ63" s="44"/>
    </row>
    <row r="64" spans="1:45" s="49" customFormat="1" ht="12.75" customHeight="1">
      <c r="A64" s="64" t="s">
        <v>83</v>
      </c>
      <c r="B64" s="46"/>
      <c r="C64" s="64" t="s">
        <v>66</v>
      </c>
      <c r="D64" s="46"/>
      <c r="E64" s="45">
        <v>14648932</v>
      </c>
      <c r="F64" s="45"/>
      <c r="G64" s="45">
        <v>90866260</v>
      </c>
      <c r="H64" s="45"/>
      <c r="I64" s="45">
        <f>12982602+3823697</f>
        <v>16806299</v>
      </c>
      <c r="J64" s="45"/>
      <c r="K64" s="45">
        <v>34129</v>
      </c>
      <c r="L64" s="45"/>
      <c r="M64" s="45">
        <v>0</v>
      </c>
      <c r="N64" s="45"/>
      <c r="O64" s="45">
        <v>24215492</v>
      </c>
      <c r="P64" s="45"/>
      <c r="Q64" s="45">
        <v>3537383</v>
      </c>
      <c r="R64" s="45"/>
      <c r="S64" s="45">
        <v>0</v>
      </c>
      <c r="T64" s="45"/>
      <c r="U64" s="45">
        <v>0</v>
      </c>
      <c r="V64" s="45"/>
      <c r="W64" s="45">
        <v>0</v>
      </c>
      <c r="X64" s="45"/>
      <c r="Y64" s="45">
        <v>0</v>
      </c>
      <c r="Z64" s="44"/>
      <c r="AA64" s="45">
        <v>0</v>
      </c>
      <c r="AB64" s="44"/>
      <c r="AC64" s="45">
        <f t="shared" si="2"/>
        <v>150108495</v>
      </c>
      <c r="AD64" s="45"/>
      <c r="AE64" s="48">
        <v>0</v>
      </c>
      <c r="AF64" s="48"/>
      <c r="AG64" s="45">
        <v>11114668</v>
      </c>
      <c r="AH64" s="45"/>
      <c r="AI64" s="45">
        <v>43594304</v>
      </c>
      <c r="AJ64" s="45"/>
      <c r="AK64" s="45">
        <v>0</v>
      </c>
      <c r="AL64" s="45"/>
      <c r="AM64" s="45">
        <f>+'Gen rev'!U64-'Gen exp'!AC64-AG64+'Gen rev'!W64+AI64+AK64-'Gen Bal'!S65-'Gen exp'!AE64</f>
        <v>0</v>
      </c>
      <c r="AN64" s="44"/>
      <c r="AO64" s="44"/>
      <c r="AP64" s="44"/>
      <c r="AQ64" s="44"/>
    </row>
    <row r="65" spans="1:45" s="49" customFormat="1" ht="12.75" customHeight="1">
      <c r="A65" s="64" t="s">
        <v>84</v>
      </c>
      <c r="B65" s="46"/>
      <c r="C65" s="64" t="s">
        <v>45</v>
      </c>
      <c r="D65" s="46"/>
      <c r="E65" s="45">
        <v>1065435</v>
      </c>
      <c r="F65" s="45"/>
      <c r="G65" s="45">
        <v>1175351</v>
      </c>
      <c r="H65" s="45"/>
      <c r="I65" s="45">
        <v>2791</v>
      </c>
      <c r="J65" s="45"/>
      <c r="K65" s="45">
        <v>0</v>
      </c>
      <c r="L65" s="45"/>
      <c r="M65" s="45">
        <v>132942</v>
      </c>
      <c r="N65" s="45"/>
      <c r="O65" s="45">
        <v>37632</v>
      </c>
      <c r="P65" s="45"/>
      <c r="Q65" s="45">
        <v>0</v>
      </c>
      <c r="R65" s="45"/>
      <c r="S65" s="45">
        <v>194</v>
      </c>
      <c r="T65" s="45"/>
      <c r="U65" s="45">
        <v>0</v>
      </c>
      <c r="V65" s="45"/>
      <c r="W65" s="45">
        <v>20368</v>
      </c>
      <c r="X65" s="45"/>
      <c r="Y65" s="45">
        <v>2814</v>
      </c>
      <c r="Z65" s="44"/>
      <c r="AA65" s="45">
        <v>0</v>
      </c>
      <c r="AB65" s="44"/>
      <c r="AC65" s="45">
        <f t="shared" si="2"/>
        <v>2437527</v>
      </c>
      <c r="AD65" s="45"/>
      <c r="AE65" s="48">
        <v>0</v>
      </c>
      <c r="AF65" s="48"/>
      <c r="AG65" s="45">
        <v>191594</v>
      </c>
      <c r="AH65" s="45"/>
      <c r="AI65" s="45">
        <v>1250136</v>
      </c>
      <c r="AJ65" s="45"/>
      <c r="AK65" s="45">
        <v>0</v>
      </c>
      <c r="AL65" s="45"/>
      <c r="AM65" s="45">
        <f>+'Gen rev'!U65-'Gen exp'!AC65-AG65+'Gen rev'!W65+AI65+AK65-'Gen Bal'!S66-'Gen exp'!AE65</f>
        <v>0</v>
      </c>
      <c r="AN65" s="44"/>
      <c r="AO65" s="44"/>
      <c r="AP65" s="44"/>
      <c r="AQ65" s="44"/>
    </row>
    <row r="66" spans="1:45" s="46" customFormat="1" ht="12.75" customHeight="1">
      <c r="A66" s="28" t="s">
        <v>85</v>
      </c>
      <c r="B66" s="49"/>
      <c r="C66" s="28" t="s">
        <v>85</v>
      </c>
      <c r="D66" s="49"/>
      <c r="E66" s="45">
        <v>2709744</v>
      </c>
      <c r="F66" s="45"/>
      <c r="G66" s="45">
        <v>4746814</v>
      </c>
      <c r="H66" s="45"/>
      <c r="I66" s="45">
        <v>499783</v>
      </c>
      <c r="J66" s="45"/>
      <c r="K66" s="45">
        <v>195960</v>
      </c>
      <c r="L66" s="45"/>
      <c r="M66" s="45">
        <v>0</v>
      </c>
      <c r="N66" s="45"/>
      <c r="O66" s="45">
        <v>565067</v>
      </c>
      <c r="P66" s="45"/>
      <c r="Q66" s="45">
        <v>73958</v>
      </c>
      <c r="R66" s="45"/>
      <c r="S66" s="45">
        <v>0</v>
      </c>
      <c r="T66" s="45"/>
      <c r="U66" s="45">
        <v>0</v>
      </c>
      <c r="V66" s="45"/>
      <c r="W66" s="45">
        <v>4765</v>
      </c>
      <c r="X66" s="45"/>
      <c r="Y66" s="45">
        <v>775</v>
      </c>
      <c r="Z66" s="44"/>
      <c r="AA66" s="45">
        <v>0</v>
      </c>
      <c r="AB66" s="44"/>
      <c r="AC66" s="45">
        <f t="shared" si="0"/>
        <v>8796866</v>
      </c>
      <c r="AD66" s="45"/>
      <c r="AE66" s="48">
        <v>0</v>
      </c>
      <c r="AF66" s="48"/>
      <c r="AG66" s="45">
        <v>456000</v>
      </c>
      <c r="AH66" s="45"/>
      <c r="AI66" s="45">
        <v>3590580</v>
      </c>
      <c r="AJ66" s="45"/>
      <c r="AK66" s="45">
        <v>0</v>
      </c>
      <c r="AL66" s="45"/>
      <c r="AM66" s="45">
        <f>+'Gen rev'!U67-'Gen exp'!AC66-AG66+'Gen rev'!W67+AI66+AK66-'Gen Bal'!S67-'Gen exp'!AE66</f>
        <v>0</v>
      </c>
    </row>
    <row r="67" spans="1:45" s="46" customFormat="1" ht="12.75" customHeight="1">
      <c r="A67" s="28" t="s">
        <v>86</v>
      </c>
      <c r="B67" s="49"/>
      <c r="C67" s="28" t="s">
        <v>86</v>
      </c>
      <c r="D67" s="49"/>
      <c r="E67" s="45">
        <v>4027036</v>
      </c>
      <c r="F67" s="45"/>
      <c r="G67" s="45">
        <f>6448621+874635+647593</f>
        <v>7970849</v>
      </c>
      <c r="H67" s="45"/>
      <c r="I67" s="45">
        <v>31593</v>
      </c>
      <c r="J67" s="45"/>
      <c r="K67" s="45">
        <v>0</v>
      </c>
      <c r="L67" s="45"/>
      <c r="M67" s="45">
        <v>0</v>
      </c>
      <c r="N67" s="45"/>
      <c r="O67" s="45">
        <v>0</v>
      </c>
      <c r="P67" s="45"/>
      <c r="Q67" s="45">
        <v>0</v>
      </c>
      <c r="R67" s="45"/>
      <c r="S67" s="45">
        <v>0</v>
      </c>
      <c r="T67" s="45"/>
      <c r="U67" s="45">
        <v>0</v>
      </c>
      <c r="V67" s="45"/>
      <c r="W67" s="45">
        <v>0</v>
      </c>
      <c r="X67" s="45"/>
      <c r="Y67" s="45">
        <v>0</v>
      </c>
      <c r="Z67" s="44"/>
      <c r="AA67" s="45">
        <v>0</v>
      </c>
      <c r="AB67" s="44"/>
      <c r="AC67" s="45">
        <f t="shared" si="0"/>
        <v>12029478</v>
      </c>
      <c r="AD67" s="45"/>
      <c r="AE67" s="48">
        <v>0</v>
      </c>
      <c r="AF67" s="48"/>
      <c r="AG67" s="45">
        <v>3741000</v>
      </c>
      <c r="AH67" s="45"/>
      <c r="AI67" s="45">
        <v>4476032</v>
      </c>
      <c r="AJ67" s="45"/>
      <c r="AK67" s="45">
        <v>0</v>
      </c>
      <c r="AL67" s="45"/>
      <c r="AM67" s="45">
        <f>+'Gen rev'!U68-'Gen exp'!AC67-AG67+'Gen rev'!W68+AI67+AK67-'Gen Bal'!S68-'Gen exp'!AE67</f>
        <v>0</v>
      </c>
    </row>
    <row r="68" spans="1:45" s="46" customFormat="1" ht="12.75" customHeight="1">
      <c r="A68" s="64" t="s">
        <v>87</v>
      </c>
      <c r="C68" s="64" t="s">
        <v>88</v>
      </c>
      <c r="E68" s="45">
        <v>192568</v>
      </c>
      <c r="F68" s="45"/>
      <c r="G68" s="45">
        <v>2209474</v>
      </c>
      <c r="H68" s="45"/>
      <c r="I68" s="45">
        <v>0</v>
      </c>
      <c r="J68" s="45"/>
      <c r="K68" s="45">
        <v>73351</v>
      </c>
      <c r="L68" s="45"/>
      <c r="M68" s="45">
        <v>25075</v>
      </c>
      <c r="N68" s="45"/>
      <c r="O68" s="45">
        <v>448644</v>
      </c>
      <c r="P68" s="45"/>
      <c r="Q68" s="45">
        <v>0</v>
      </c>
      <c r="R68" s="45"/>
      <c r="S68" s="45">
        <v>532919</v>
      </c>
      <c r="T68" s="45"/>
      <c r="U68" s="45">
        <v>0</v>
      </c>
      <c r="V68" s="45"/>
      <c r="W68" s="45">
        <v>0</v>
      </c>
      <c r="X68" s="45"/>
      <c r="Y68" s="45">
        <v>0</v>
      </c>
      <c r="Z68" s="44"/>
      <c r="AA68" s="45">
        <v>0</v>
      </c>
      <c r="AB68" s="44"/>
      <c r="AC68" s="45">
        <f t="shared" si="0"/>
        <v>3482031</v>
      </c>
      <c r="AD68" s="45"/>
      <c r="AE68" s="48">
        <v>0</v>
      </c>
      <c r="AF68" s="48"/>
      <c r="AG68" s="45">
        <v>185000</v>
      </c>
      <c r="AH68" s="45"/>
      <c r="AI68" s="45">
        <v>661259</v>
      </c>
      <c r="AJ68" s="45"/>
      <c r="AK68" s="45">
        <v>0</v>
      </c>
      <c r="AL68" s="45"/>
      <c r="AM68" s="45">
        <f>+'Gen rev'!U69-'Gen exp'!AC68-AG68+'Gen rev'!W69+AI68+AK68-'Gen Bal'!S69-'Gen exp'!AE68</f>
        <v>0</v>
      </c>
    </row>
    <row r="69" spans="1:45" s="49" customFormat="1" ht="12.75" customHeight="1">
      <c r="A69" s="64" t="s">
        <v>394</v>
      </c>
      <c r="B69" s="46"/>
      <c r="C69" s="64" t="s">
        <v>89</v>
      </c>
      <c r="D69" s="46"/>
      <c r="E69" s="45">
        <v>1218905</v>
      </c>
      <c r="F69" s="45"/>
      <c r="G69" s="45">
        <v>3556982</v>
      </c>
      <c r="H69" s="45"/>
      <c r="I69" s="45">
        <v>98389</v>
      </c>
      <c r="J69" s="45"/>
      <c r="K69" s="45">
        <v>8774</v>
      </c>
      <c r="L69" s="45"/>
      <c r="M69" s="45">
        <v>0</v>
      </c>
      <c r="N69" s="45"/>
      <c r="O69" s="45">
        <v>837296</v>
      </c>
      <c r="P69" s="45"/>
      <c r="Q69" s="45">
        <v>532610</v>
      </c>
      <c r="R69" s="45"/>
      <c r="S69" s="45">
        <v>0</v>
      </c>
      <c r="T69" s="45"/>
      <c r="U69" s="45">
        <v>0</v>
      </c>
      <c r="V69" s="45"/>
      <c r="W69" s="45">
        <v>0</v>
      </c>
      <c r="X69" s="45"/>
      <c r="Y69" s="45">
        <v>0</v>
      </c>
      <c r="Z69" s="44"/>
      <c r="AA69" s="45">
        <v>0</v>
      </c>
      <c r="AB69" s="44"/>
      <c r="AC69" s="45">
        <f t="shared" si="0"/>
        <v>6252956</v>
      </c>
      <c r="AD69" s="45"/>
      <c r="AE69" s="48">
        <v>0</v>
      </c>
      <c r="AF69" s="48"/>
      <c r="AG69" s="45">
        <v>0</v>
      </c>
      <c r="AH69" s="94"/>
      <c r="AI69" s="94">
        <v>1161245</v>
      </c>
      <c r="AJ69" s="94"/>
      <c r="AK69" s="94">
        <v>0</v>
      </c>
      <c r="AL69" s="94"/>
      <c r="AM69" s="94">
        <f>+'Gen rev'!U70-'Gen exp'!AC69-AG69+'Gen rev'!W70+AI69+AK69-'Gen Bal'!S70-'Gen exp'!AE69</f>
        <v>0</v>
      </c>
      <c r="AN69" s="46"/>
      <c r="AO69" s="46"/>
      <c r="AP69" s="44"/>
      <c r="AQ69" s="44"/>
    </row>
    <row r="70" spans="1:45" s="49" customFormat="1" ht="12.75" customHeight="1">
      <c r="A70" s="28" t="s">
        <v>90</v>
      </c>
      <c r="C70" s="28" t="s">
        <v>43</v>
      </c>
      <c r="E70" s="45">
        <v>20639784</v>
      </c>
      <c r="F70" s="45"/>
      <c r="G70" s="45">
        <v>313589</v>
      </c>
      <c r="H70" s="45"/>
      <c r="I70" s="45">
        <v>6364682</v>
      </c>
      <c r="J70" s="45"/>
      <c r="K70" s="45">
        <v>241194</v>
      </c>
      <c r="L70" s="45"/>
      <c r="M70" s="45">
        <v>0</v>
      </c>
      <c r="N70" s="45"/>
      <c r="O70" s="45">
        <v>5918847</v>
      </c>
      <c r="P70" s="45"/>
      <c r="Q70" s="45">
        <v>3052385</v>
      </c>
      <c r="R70" s="45"/>
      <c r="S70" s="45">
        <v>350248</v>
      </c>
      <c r="T70" s="45"/>
      <c r="U70" s="45">
        <v>0</v>
      </c>
      <c r="V70" s="45"/>
      <c r="W70" s="45">
        <v>0</v>
      </c>
      <c r="X70" s="45"/>
      <c r="Y70" s="45">
        <v>0</v>
      </c>
      <c r="Z70" s="44"/>
      <c r="AA70" s="45">
        <v>0</v>
      </c>
      <c r="AB70" s="44"/>
      <c r="AC70" s="45">
        <f t="shared" si="0"/>
        <v>36880729</v>
      </c>
      <c r="AD70" s="45"/>
      <c r="AE70" s="48">
        <v>0</v>
      </c>
      <c r="AF70" s="48"/>
      <c r="AG70" s="45">
        <v>13250000</v>
      </c>
      <c r="AH70" s="45"/>
      <c r="AI70" s="45">
        <v>32159801</v>
      </c>
      <c r="AJ70" s="45"/>
      <c r="AK70" s="45">
        <v>0</v>
      </c>
      <c r="AL70" s="45"/>
      <c r="AM70" s="45">
        <f>+'Gen rev'!U71-'Gen exp'!AC70-AG70+'Gen rev'!W71+AI70+AK70-'Gen Bal'!S71-'Gen exp'!AE70</f>
        <v>0</v>
      </c>
      <c r="AN70" s="44"/>
      <c r="AO70" s="44"/>
      <c r="AP70" s="44"/>
      <c r="AQ70" s="44"/>
    </row>
    <row r="71" spans="1:45" s="46" customFormat="1" ht="12.75" customHeight="1">
      <c r="A71" s="64"/>
      <c r="C71" s="64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4"/>
      <c r="AA71" s="45"/>
      <c r="AB71" s="44"/>
      <c r="AC71" s="45"/>
      <c r="AD71" s="45"/>
      <c r="AE71" s="48"/>
      <c r="AF71" s="48"/>
      <c r="AG71" s="48" t="s">
        <v>484</v>
      </c>
      <c r="AH71" s="45"/>
      <c r="AI71" s="45"/>
      <c r="AJ71" s="45"/>
      <c r="AK71" s="48"/>
      <c r="AL71" s="45"/>
      <c r="AM71" s="45"/>
    </row>
    <row r="72" spans="1:45" s="49" customFormat="1" ht="12.75" customHeight="1">
      <c r="A72" s="47" t="s">
        <v>488</v>
      </c>
      <c r="B72" s="47"/>
      <c r="C72" s="47" t="s">
        <v>27</v>
      </c>
      <c r="E72" s="94">
        <v>4699900</v>
      </c>
      <c r="F72" s="94"/>
      <c r="G72" s="94">
        <v>8953226</v>
      </c>
      <c r="H72" s="94"/>
      <c r="I72" s="94">
        <v>309120</v>
      </c>
      <c r="J72" s="94"/>
      <c r="K72" s="94">
        <v>0</v>
      </c>
      <c r="L72" s="94"/>
      <c r="M72" s="94">
        <v>1274106</v>
      </c>
      <c r="N72" s="94"/>
      <c r="O72" s="94">
        <v>225136</v>
      </c>
      <c r="P72" s="94"/>
      <c r="Q72" s="94">
        <v>1017997</v>
      </c>
      <c r="R72" s="94"/>
      <c r="S72" s="94">
        <v>29094</v>
      </c>
      <c r="T72" s="94"/>
      <c r="U72" s="94">
        <v>0</v>
      </c>
      <c r="V72" s="94"/>
      <c r="W72" s="94">
        <v>23875</v>
      </c>
      <c r="X72" s="94"/>
      <c r="Y72" s="94">
        <v>89762</v>
      </c>
      <c r="Z72" s="46"/>
      <c r="AA72" s="94">
        <v>0</v>
      </c>
      <c r="AB72" s="46"/>
      <c r="AC72" s="94">
        <f t="shared" ref="AC72:AC129" si="3">SUM(E72:AA72)</f>
        <v>16622216</v>
      </c>
      <c r="AD72" s="94"/>
      <c r="AE72" s="68">
        <v>0</v>
      </c>
      <c r="AF72" s="68"/>
      <c r="AG72" s="94">
        <v>0</v>
      </c>
      <c r="AH72" s="45"/>
      <c r="AI72" s="45">
        <v>-734420</v>
      </c>
      <c r="AJ72" s="45"/>
      <c r="AK72" s="45">
        <v>0</v>
      </c>
      <c r="AL72" s="45"/>
      <c r="AM72" s="45">
        <f>+'Gen rev'!U72-'Gen exp'!AC72-AG72+'Gen rev'!W72+AI72+AK72-'Gen Bal'!S72-'Gen exp'!AE72</f>
        <v>0</v>
      </c>
      <c r="AN72" s="44"/>
      <c r="AO72" s="44"/>
      <c r="AP72" s="44"/>
      <c r="AQ72" s="44"/>
    </row>
    <row r="73" spans="1:45" s="49" customFormat="1" ht="12.75" customHeight="1">
      <c r="A73" s="44" t="s">
        <v>93</v>
      </c>
      <c r="B73" s="47"/>
      <c r="C73" s="44" t="s">
        <v>94</v>
      </c>
      <c r="E73" s="45">
        <v>1352775</v>
      </c>
      <c r="F73" s="45"/>
      <c r="G73" s="45">
        <v>0</v>
      </c>
      <c r="H73" s="45"/>
      <c r="I73" s="45">
        <v>121089</v>
      </c>
      <c r="J73" s="45"/>
      <c r="K73" s="45">
        <v>145781</v>
      </c>
      <c r="L73" s="45"/>
      <c r="M73" s="45">
        <v>0</v>
      </c>
      <c r="N73" s="45"/>
      <c r="O73" s="45">
        <v>119260</v>
      </c>
      <c r="P73" s="45"/>
      <c r="Q73" s="45">
        <v>0</v>
      </c>
      <c r="R73" s="45"/>
      <c r="S73" s="45">
        <v>4880</v>
      </c>
      <c r="T73" s="45"/>
      <c r="U73" s="45">
        <v>0</v>
      </c>
      <c r="V73" s="45"/>
      <c r="W73" s="45">
        <v>17492</v>
      </c>
      <c r="X73" s="45"/>
      <c r="Y73" s="45">
        <v>315</v>
      </c>
      <c r="Z73" s="44"/>
      <c r="AA73" s="45">
        <v>0</v>
      </c>
      <c r="AB73" s="44"/>
      <c r="AC73" s="45">
        <f t="shared" si="3"/>
        <v>1761592</v>
      </c>
      <c r="AD73" s="45"/>
      <c r="AE73" s="48">
        <v>0</v>
      </c>
      <c r="AF73" s="48"/>
      <c r="AG73" s="45">
        <v>2340334</v>
      </c>
      <c r="AH73" s="45"/>
      <c r="AI73" s="45">
        <v>647534</v>
      </c>
      <c r="AJ73" s="45"/>
      <c r="AK73" s="45">
        <v>0</v>
      </c>
      <c r="AL73" s="45"/>
      <c r="AM73" s="45">
        <f>+'Gen rev'!U73-'Gen exp'!AC73-AG73+'Gen rev'!W73+AI73+AK73-'Gen Bal'!S73-'Gen exp'!AE73</f>
        <v>0</v>
      </c>
      <c r="AN73" s="44"/>
      <c r="AO73" s="44"/>
      <c r="AP73" s="44"/>
      <c r="AQ73" s="44"/>
    </row>
    <row r="74" spans="1:45" s="46" customFormat="1" ht="12.75" customHeight="1">
      <c r="A74" s="64" t="s">
        <v>95</v>
      </c>
      <c r="C74" s="64" t="s">
        <v>94</v>
      </c>
      <c r="E74" s="45">
        <v>499256</v>
      </c>
      <c r="F74" s="45"/>
      <c r="G74" s="45">
        <v>938378</v>
      </c>
      <c r="H74" s="45"/>
      <c r="I74" s="45">
        <v>0</v>
      </c>
      <c r="J74" s="45"/>
      <c r="K74" s="45">
        <v>33814</v>
      </c>
      <c r="L74" s="45"/>
      <c r="M74" s="45">
        <v>0</v>
      </c>
      <c r="N74" s="45"/>
      <c r="O74" s="45">
        <v>0</v>
      </c>
      <c r="P74" s="45"/>
      <c r="Q74" s="45">
        <v>0</v>
      </c>
      <c r="R74" s="45"/>
      <c r="S74" s="45">
        <v>0</v>
      </c>
      <c r="T74" s="45"/>
      <c r="U74" s="45">
        <v>0</v>
      </c>
      <c r="V74" s="45"/>
      <c r="W74" s="45">
        <v>2340</v>
      </c>
      <c r="X74" s="45"/>
      <c r="Y74" s="45">
        <v>2856</v>
      </c>
      <c r="Z74" s="44"/>
      <c r="AA74" s="45">
        <v>0</v>
      </c>
      <c r="AB74" s="44"/>
      <c r="AC74" s="45">
        <f t="shared" si="3"/>
        <v>1476644</v>
      </c>
      <c r="AD74" s="45"/>
      <c r="AE74" s="48">
        <v>0</v>
      </c>
      <c r="AF74" s="48"/>
      <c r="AG74" s="45">
        <v>85997</v>
      </c>
      <c r="AH74" s="45"/>
      <c r="AI74" s="45">
        <v>-563773</v>
      </c>
      <c r="AJ74" s="45"/>
      <c r="AK74" s="45">
        <v>0</v>
      </c>
      <c r="AL74" s="45"/>
      <c r="AM74" s="45">
        <f>+'Gen rev'!U74-'Gen exp'!AC74-AG74+'Gen rev'!W74+AI74+AK74-'Gen Bal'!S74-'Gen exp'!AE74</f>
        <v>0</v>
      </c>
    </row>
    <row r="75" spans="1:45" s="49" customFormat="1" ht="12.75" customHeight="1">
      <c r="A75" s="28" t="s">
        <v>91</v>
      </c>
      <c r="C75" s="28" t="s">
        <v>92</v>
      </c>
      <c r="E75" s="45">
        <v>4282236</v>
      </c>
      <c r="F75" s="45"/>
      <c r="G75" s="45">
        <v>6983197</v>
      </c>
      <c r="H75" s="45"/>
      <c r="I75" s="45">
        <v>315271</v>
      </c>
      <c r="J75" s="45"/>
      <c r="K75" s="45">
        <v>189449</v>
      </c>
      <c r="L75" s="45"/>
      <c r="M75" s="45">
        <v>259095</v>
      </c>
      <c r="N75" s="45"/>
      <c r="O75" s="45">
        <v>1086161</v>
      </c>
      <c r="P75" s="45"/>
      <c r="Q75" s="45">
        <v>971682</v>
      </c>
      <c r="R75" s="45"/>
      <c r="S75" s="45">
        <v>0</v>
      </c>
      <c r="T75" s="45"/>
      <c r="U75" s="45">
        <v>0</v>
      </c>
      <c r="V75" s="45"/>
      <c r="W75" s="45">
        <v>10876</v>
      </c>
      <c r="X75" s="45"/>
      <c r="Y75" s="45">
        <v>2129</v>
      </c>
      <c r="Z75" s="44"/>
      <c r="AA75" s="45">
        <v>0</v>
      </c>
      <c r="AB75" s="44"/>
      <c r="AC75" s="45">
        <f t="shared" si="3"/>
        <v>14100096</v>
      </c>
      <c r="AD75" s="45"/>
      <c r="AE75" s="48">
        <v>0</v>
      </c>
      <c r="AF75" s="48"/>
      <c r="AG75" s="45">
        <f>93564+1508000</f>
        <v>1601564</v>
      </c>
      <c r="AH75" s="45"/>
      <c r="AI75" s="45">
        <v>4069143</v>
      </c>
      <c r="AJ75" s="45"/>
      <c r="AK75" s="45">
        <v>0</v>
      </c>
      <c r="AL75" s="45"/>
      <c r="AM75" s="45">
        <f>+'Gen rev'!U75-'Gen exp'!AC75-AG75+'Gen rev'!W75+AI75+AK75-'Gen Bal'!S75-'Gen exp'!AE75</f>
        <v>0</v>
      </c>
      <c r="AN75" s="44"/>
      <c r="AO75" s="44"/>
      <c r="AP75" s="44"/>
      <c r="AQ75" s="44"/>
    </row>
    <row r="76" spans="1:45" s="49" customFormat="1" ht="12.75" customHeight="1">
      <c r="A76" s="28" t="s">
        <v>96</v>
      </c>
      <c r="C76" s="28" t="s">
        <v>97</v>
      </c>
      <c r="E76" s="45">
        <v>1328641</v>
      </c>
      <c r="F76" s="45"/>
      <c r="G76" s="45">
        <v>1070133</v>
      </c>
      <c r="H76" s="45"/>
      <c r="I76" s="45">
        <v>203977</v>
      </c>
      <c r="J76" s="45"/>
      <c r="K76" s="45">
        <v>27129</v>
      </c>
      <c r="L76" s="45"/>
      <c r="M76" s="45">
        <v>354384</v>
      </c>
      <c r="N76" s="45"/>
      <c r="O76" s="45">
        <v>0</v>
      </c>
      <c r="P76" s="45"/>
      <c r="Q76" s="45">
        <v>0</v>
      </c>
      <c r="R76" s="45"/>
      <c r="S76" s="45">
        <v>22399</v>
      </c>
      <c r="T76" s="45"/>
      <c r="U76" s="45">
        <v>0</v>
      </c>
      <c r="V76" s="45"/>
      <c r="W76" s="45">
        <v>0</v>
      </c>
      <c r="X76" s="45"/>
      <c r="Y76" s="45">
        <v>0</v>
      </c>
      <c r="Z76" s="44"/>
      <c r="AA76" s="45">
        <v>0</v>
      </c>
      <c r="AB76" s="44"/>
      <c r="AC76" s="45">
        <f t="shared" si="3"/>
        <v>3006663</v>
      </c>
      <c r="AD76" s="45"/>
      <c r="AE76" s="48">
        <v>0</v>
      </c>
      <c r="AF76" s="48"/>
      <c r="AG76" s="45">
        <v>148409</v>
      </c>
      <c r="AH76" s="45"/>
      <c r="AI76" s="45">
        <v>2666277</v>
      </c>
      <c r="AJ76" s="45"/>
      <c r="AK76" s="45">
        <v>0</v>
      </c>
      <c r="AL76" s="45"/>
      <c r="AM76" s="45">
        <f>+'Gen rev'!U76-'Gen exp'!AC76-AG76+'Gen rev'!W76+AI76+AK76-'Gen Bal'!S76-'Gen exp'!AE76</f>
        <v>0</v>
      </c>
      <c r="AN76" s="44"/>
      <c r="AO76" s="44"/>
      <c r="AP76" s="44"/>
      <c r="AQ76" s="44"/>
    </row>
    <row r="77" spans="1:45" s="49" customFormat="1" ht="12.75" customHeight="1">
      <c r="A77" s="28" t="s">
        <v>98</v>
      </c>
      <c r="C77" s="28" t="s">
        <v>17</v>
      </c>
      <c r="E77" s="45">
        <v>6489021</v>
      </c>
      <c r="F77" s="45"/>
      <c r="G77" s="45">
        <v>15765939</v>
      </c>
      <c r="H77" s="45"/>
      <c r="I77" s="45">
        <v>802499</v>
      </c>
      <c r="J77" s="45"/>
      <c r="K77" s="45">
        <v>1601596</v>
      </c>
      <c r="L77" s="45"/>
      <c r="M77" s="45">
        <v>0</v>
      </c>
      <c r="N77" s="45"/>
      <c r="O77" s="45">
        <v>1107491</v>
      </c>
      <c r="P77" s="45"/>
      <c r="Q77" s="45">
        <v>0</v>
      </c>
      <c r="R77" s="45"/>
      <c r="S77" s="45">
        <v>736369</v>
      </c>
      <c r="T77" s="45"/>
      <c r="U77" s="45">
        <v>0</v>
      </c>
      <c r="V77" s="45"/>
      <c r="W77" s="45">
        <v>0</v>
      </c>
      <c r="X77" s="45"/>
      <c r="Y77" s="45">
        <v>0</v>
      </c>
      <c r="Z77" s="44"/>
      <c r="AA77" s="45">
        <v>0</v>
      </c>
      <c r="AB77" s="44"/>
      <c r="AC77" s="45">
        <f t="shared" si="3"/>
        <v>26502915</v>
      </c>
      <c r="AD77" s="45"/>
      <c r="AE77" s="48">
        <v>0</v>
      </c>
      <c r="AF77" s="48"/>
      <c r="AG77" s="45">
        <v>250000</v>
      </c>
      <c r="AH77" s="45"/>
      <c r="AI77" s="45">
        <v>2041431</v>
      </c>
      <c r="AJ77" s="45"/>
      <c r="AK77" s="45">
        <v>0</v>
      </c>
      <c r="AL77" s="45"/>
      <c r="AM77" s="45">
        <f>+'Gen rev'!U77-'Gen exp'!AC77-AG77+'Gen rev'!W77+AI77+AK77-'Gen Bal'!S77-'Gen exp'!AE77</f>
        <v>0</v>
      </c>
      <c r="AN77" s="44"/>
      <c r="AO77" s="44"/>
      <c r="AP77" s="44"/>
      <c r="AQ77" s="44"/>
    </row>
    <row r="78" spans="1:45" s="49" customFormat="1" ht="12.75" customHeight="1">
      <c r="A78" s="28" t="s">
        <v>99</v>
      </c>
      <c r="C78" s="28" t="s">
        <v>66</v>
      </c>
      <c r="E78" s="45">
        <v>1173214</v>
      </c>
      <c r="F78" s="45"/>
      <c r="G78" s="45">
        <v>0</v>
      </c>
      <c r="H78" s="45"/>
      <c r="I78" s="45">
        <v>487821</v>
      </c>
      <c r="J78" s="45"/>
      <c r="K78" s="45">
        <v>6033</v>
      </c>
      <c r="L78" s="45"/>
      <c r="M78" s="45">
        <v>0</v>
      </c>
      <c r="N78" s="45"/>
      <c r="O78" s="45">
        <v>222587</v>
      </c>
      <c r="P78" s="45"/>
      <c r="Q78" s="45">
        <v>0</v>
      </c>
      <c r="R78" s="45"/>
      <c r="S78" s="45">
        <v>0</v>
      </c>
      <c r="T78" s="45"/>
      <c r="U78" s="45">
        <v>0</v>
      </c>
      <c r="V78" s="45"/>
      <c r="W78" s="45">
        <v>0</v>
      </c>
      <c r="X78" s="45"/>
      <c r="Y78" s="45">
        <v>0</v>
      </c>
      <c r="Z78" s="44"/>
      <c r="AA78" s="45">
        <v>0</v>
      </c>
      <c r="AB78" s="44"/>
      <c r="AC78" s="45">
        <f t="shared" si="3"/>
        <v>1889655</v>
      </c>
      <c r="AD78" s="45"/>
      <c r="AE78" s="48">
        <v>0</v>
      </c>
      <c r="AF78" s="48"/>
      <c r="AG78" s="45">
        <v>6736000</v>
      </c>
      <c r="AH78" s="45"/>
      <c r="AI78" s="45">
        <v>3870499</v>
      </c>
      <c r="AJ78" s="45"/>
      <c r="AK78" s="45">
        <v>0</v>
      </c>
      <c r="AL78" s="45"/>
      <c r="AM78" s="45">
        <f>+'Gen rev'!U78-'Gen exp'!AC78-AG78+'Gen rev'!W78+AI78+AK78-'Gen Bal'!S78-'Gen exp'!AE78</f>
        <v>0</v>
      </c>
      <c r="AN78" s="44"/>
      <c r="AO78" s="44"/>
      <c r="AP78" s="44"/>
      <c r="AQ78" s="44"/>
    </row>
    <row r="79" spans="1:45" s="49" customFormat="1" ht="12.75" customHeight="1">
      <c r="A79" s="28" t="s">
        <v>100</v>
      </c>
      <c r="C79" s="28" t="s">
        <v>27</v>
      </c>
      <c r="E79" s="45">
        <v>12337357</v>
      </c>
      <c r="F79" s="45"/>
      <c r="G79" s="45">
        <v>20146174</v>
      </c>
      <c r="H79" s="45"/>
      <c r="I79" s="45">
        <v>1376242</v>
      </c>
      <c r="J79" s="45"/>
      <c r="K79" s="45">
        <v>272496</v>
      </c>
      <c r="L79" s="45"/>
      <c r="M79" s="45">
        <v>0</v>
      </c>
      <c r="N79" s="45"/>
      <c r="O79" s="45">
        <v>466395</v>
      </c>
      <c r="P79" s="45"/>
      <c r="Q79" s="45">
        <v>2251317</v>
      </c>
      <c r="R79" s="45"/>
      <c r="S79" s="45">
        <v>0</v>
      </c>
      <c r="T79" s="45"/>
      <c r="U79" s="45">
        <v>0</v>
      </c>
      <c r="V79" s="45"/>
      <c r="W79" s="45">
        <v>216765</v>
      </c>
      <c r="X79" s="45"/>
      <c r="Y79" s="45">
        <v>125071</v>
      </c>
      <c r="Z79" s="44"/>
      <c r="AA79" s="45">
        <v>0</v>
      </c>
      <c r="AB79" s="44"/>
      <c r="AC79" s="45">
        <f t="shared" si="3"/>
        <v>37191817</v>
      </c>
      <c r="AD79" s="45"/>
      <c r="AE79" s="48">
        <v>0</v>
      </c>
      <c r="AF79" s="48"/>
      <c r="AG79" s="45">
        <v>561859</v>
      </c>
      <c r="AH79" s="45"/>
      <c r="AI79" s="45">
        <v>7750793</v>
      </c>
      <c r="AJ79" s="45"/>
      <c r="AK79" s="45">
        <v>0</v>
      </c>
      <c r="AL79" s="45"/>
      <c r="AM79" s="45">
        <f>+'Gen rev'!U79-'Gen exp'!AC79-AG79+'Gen rev'!W79+AI79+AK79-'Gen Bal'!S79-'Gen exp'!AE79</f>
        <v>0</v>
      </c>
      <c r="AN79" s="44"/>
      <c r="AO79" s="44"/>
      <c r="AP79" s="44"/>
      <c r="AQ79" s="44"/>
    </row>
    <row r="80" spans="1:45" s="49" customFormat="1" ht="12.75" customHeight="1">
      <c r="A80" s="28" t="s">
        <v>101</v>
      </c>
      <c r="C80" s="28" t="s">
        <v>30</v>
      </c>
      <c r="E80" s="45">
        <v>6211543</v>
      </c>
      <c r="F80" s="45"/>
      <c r="G80" s="45">
        <v>46438</v>
      </c>
      <c r="H80" s="45"/>
      <c r="I80" s="45">
        <v>723601</v>
      </c>
      <c r="J80" s="45"/>
      <c r="K80" s="45">
        <v>53747</v>
      </c>
      <c r="L80" s="45"/>
      <c r="M80" s="45">
        <v>0</v>
      </c>
      <c r="N80" s="45"/>
      <c r="O80" s="45">
        <v>223252</v>
      </c>
      <c r="P80" s="45"/>
      <c r="Q80" s="45">
        <v>0</v>
      </c>
      <c r="R80" s="45"/>
      <c r="S80" s="45">
        <v>0</v>
      </c>
      <c r="T80" s="45"/>
      <c r="U80" s="45">
        <v>0</v>
      </c>
      <c r="V80" s="45"/>
      <c r="W80" s="45">
        <v>9988</v>
      </c>
      <c r="X80" s="45"/>
      <c r="Y80" s="45">
        <v>3825</v>
      </c>
      <c r="Z80" s="44"/>
      <c r="AA80" s="45">
        <v>0</v>
      </c>
      <c r="AB80" s="44"/>
      <c r="AC80" s="45">
        <f t="shared" si="3"/>
        <v>7272394</v>
      </c>
      <c r="AD80" s="45"/>
      <c r="AE80" s="48">
        <v>0</v>
      </c>
      <c r="AF80" s="48"/>
      <c r="AG80" s="45">
        <v>10344207</v>
      </c>
      <c r="AH80" s="45"/>
      <c r="AI80" s="45">
        <v>5128555</v>
      </c>
      <c r="AJ80" s="45"/>
      <c r="AK80" s="45">
        <v>0</v>
      </c>
      <c r="AL80" s="45"/>
      <c r="AM80" s="45">
        <f>+'Gen rev'!U80-'Gen exp'!AC80-AG80+'Gen rev'!W80+AI80+AK80-'Gen Bal'!S80-'Gen exp'!AE80</f>
        <v>0</v>
      </c>
      <c r="AN80" s="45"/>
      <c r="AO80" s="45"/>
      <c r="AP80" s="45"/>
      <c r="AQ80" s="45"/>
      <c r="AR80" s="52"/>
      <c r="AS80" s="50"/>
    </row>
    <row r="81" spans="1:45" s="49" customFormat="1" ht="12.75" customHeight="1">
      <c r="A81" s="28" t="s">
        <v>102</v>
      </c>
      <c r="C81" s="28" t="s">
        <v>103</v>
      </c>
      <c r="E81" s="45">
        <v>7565258</v>
      </c>
      <c r="F81" s="45"/>
      <c r="G81" s="45">
        <v>9745023</v>
      </c>
      <c r="H81" s="45"/>
      <c r="I81" s="45">
        <v>1439439</v>
      </c>
      <c r="J81" s="45"/>
      <c r="K81" s="45">
        <v>23074</v>
      </c>
      <c r="L81" s="45"/>
      <c r="M81" s="45">
        <v>0</v>
      </c>
      <c r="N81" s="45"/>
      <c r="O81" s="45">
        <v>2600220</v>
      </c>
      <c r="P81" s="45"/>
      <c r="Q81" s="45">
        <v>524491</v>
      </c>
      <c r="R81" s="45"/>
      <c r="S81" s="45">
        <v>1361232</v>
      </c>
      <c r="T81" s="45"/>
      <c r="U81" s="45">
        <v>0</v>
      </c>
      <c r="V81" s="45"/>
      <c r="W81" s="45">
        <v>29515</v>
      </c>
      <c r="X81" s="45"/>
      <c r="Y81" s="45">
        <v>0</v>
      </c>
      <c r="Z81" s="44"/>
      <c r="AA81" s="45">
        <v>0</v>
      </c>
      <c r="AB81" s="44"/>
      <c r="AC81" s="45">
        <f t="shared" si="3"/>
        <v>23288252</v>
      </c>
      <c r="AD81" s="45"/>
      <c r="AE81" s="48">
        <v>0</v>
      </c>
      <c r="AF81" s="48"/>
      <c r="AG81" s="45">
        <v>2543000</v>
      </c>
      <c r="AH81" s="45"/>
      <c r="AI81" s="45">
        <v>13124989</v>
      </c>
      <c r="AJ81" s="45"/>
      <c r="AK81" s="45">
        <v>0</v>
      </c>
      <c r="AL81" s="45"/>
      <c r="AM81" s="45">
        <f>+'Gen rev'!U81-'Gen exp'!AC81-AG81+'Gen rev'!W81+AI81+AK81-'Gen Bal'!S81-'Gen exp'!AE81</f>
        <v>0</v>
      </c>
      <c r="AN81" s="45"/>
      <c r="AO81" s="45"/>
      <c r="AP81" s="45"/>
      <c r="AQ81" s="45"/>
      <c r="AR81" s="52"/>
      <c r="AS81" s="50"/>
    </row>
    <row r="82" spans="1:45" s="49" customFormat="1" ht="12.75" customHeight="1">
      <c r="A82" s="28" t="s">
        <v>104</v>
      </c>
      <c r="C82" s="28" t="s">
        <v>13</v>
      </c>
      <c r="E82" s="45">
        <v>2639835</v>
      </c>
      <c r="F82" s="45"/>
      <c r="G82" s="45">
        <v>5736067</v>
      </c>
      <c r="H82" s="45"/>
      <c r="I82" s="45">
        <v>71674</v>
      </c>
      <c r="J82" s="45"/>
      <c r="K82" s="45">
        <v>116288</v>
      </c>
      <c r="L82" s="45"/>
      <c r="M82" s="45">
        <v>1857902</v>
      </c>
      <c r="N82" s="45"/>
      <c r="O82" s="45">
        <v>112781</v>
      </c>
      <c r="P82" s="45"/>
      <c r="Q82" s="45">
        <v>151955</v>
      </c>
      <c r="R82" s="45"/>
      <c r="S82" s="45">
        <v>0</v>
      </c>
      <c r="T82" s="45"/>
      <c r="U82" s="45">
        <v>0</v>
      </c>
      <c r="V82" s="45"/>
      <c r="W82" s="45">
        <v>0</v>
      </c>
      <c r="X82" s="45"/>
      <c r="Y82" s="45">
        <v>0</v>
      </c>
      <c r="Z82" s="44"/>
      <c r="AA82" s="45">
        <v>0</v>
      </c>
      <c r="AB82" s="44"/>
      <c r="AC82" s="45">
        <f t="shared" si="3"/>
        <v>10686502</v>
      </c>
      <c r="AD82" s="45"/>
      <c r="AE82" s="48">
        <v>0</v>
      </c>
      <c r="AF82" s="48"/>
      <c r="AG82" s="45">
        <v>512469</v>
      </c>
      <c r="AH82" s="45"/>
      <c r="AI82" s="45">
        <v>6520332</v>
      </c>
      <c r="AJ82" s="45"/>
      <c r="AK82" s="45">
        <v>89317</v>
      </c>
      <c r="AL82" s="45"/>
      <c r="AM82" s="45">
        <f>+'Gen rev'!U82-'Gen exp'!AC82-AG82+'Gen rev'!W82+AI82+AK82-'Gen Bal'!S82-'Gen exp'!AE82</f>
        <v>0</v>
      </c>
      <c r="AN82" s="45"/>
      <c r="AO82" s="45"/>
      <c r="AP82" s="45"/>
      <c r="AQ82" s="45"/>
      <c r="AR82" s="52"/>
      <c r="AS82" s="50"/>
    </row>
    <row r="83" spans="1:45" s="49" customFormat="1" ht="12.75" customHeight="1">
      <c r="A83" s="28" t="s">
        <v>105</v>
      </c>
      <c r="C83" s="28" t="s">
        <v>27</v>
      </c>
      <c r="E83" s="45">
        <v>1807490</v>
      </c>
      <c r="F83" s="45"/>
      <c r="G83" s="45">
        <v>5198586</v>
      </c>
      <c r="H83" s="45"/>
      <c r="I83" s="45">
        <v>283406</v>
      </c>
      <c r="J83" s="45"/>
      <c r="K83" s="45">
        <v>1625</v>
      </c>
      <c r="L83" s="45"/>
      <c r="M83" s="45">
        <v>701432</v>
      </c>
      <c r="N83" s="45"/>
      <c r="O83" s="45">
        <v>944325</v>
      </c>
      <c r="P83" s="45"/>
      <c r="Q83" s="45">
        <v>1006478</v>
      </c>
      <c r="R83" s="45"/>
      <c r="S83" s="45">
        <v>0</v>
      </c>
      <c r="T83" s="45"/>
      <c r="U83" s="45">
        <v>0</v>
      </c>
      <c r="V83" s="45"/>
      <c r="W83" s="45">
        <v>10731</v>
      </c>
      <c r="X83" s="45"/>
      <c r="Y83" s="45">
        <v>109</v>
      </c>
      <c r="Z83" s="44"/>
      <c r="AA83" s="45">
        <v>0</v>
      </c>
      <c r="AB83" s="44"/>
      <c r="AC83" s="45">
        <f t="shared" si="3"/>
        <v>9954182</v>
      </c>
      <c r="AD83" s="45"/>
      <c r="AE83" s="48">
        <v>0</v>
      </c>
      <c r="AF83" s="48"/>
      <c r="AG83" s="45">
        <v>878500</v>
      </c>
      <c r="AH83" s="45"/>
      <c r="AI83" s="45">
        <v>2458803</v>
      </c>
      <c r="AJ83" s="45"/>
      <c r="AK83" s="45">
        <v>0</v>
      </c>
      <c r="AL83" s="45"/>
      <c r="AM83" s="45">
        <f>+'Gen rev'!U83-'Gen exp'!AC83-AG83+'Gen rev'!W83+AI83+AK83-'Gen Bal'!S83-'Gen exp'!AE83</f>
        <v>0</v>
      </c>
      <c r="AN83" s="44"/>
      <c r="AO83" s="44"/>
      <c r="AP83" s="44"/>
      <c r="AQ83" s="44"/>
    </row>
    <row r="84" spans="1:45" s="49" customFormat="1" ht="12.75" customHeight="1">
      <c r="A84" s="28" t="s">
        <v>106</v>
      </c>
      <c r="C84" s="28" t="s">
        <v>107</v>
      </c>
      <c r="E84" s="45">
        <v>5723474</v>
      </c>
      <c r="F84" s="45"/>
      <c r="G84" s="45">
        <v>14416411</v>
      </c>
      <c r="H84" s="45"/>
      <c r="I84" s="45">
        <v>0</v>
      </c>
      <c r="J84" s="45"/>
      <c r="K84" s="45">
        <v>1669723</v>
      </c>
      <c r="L84" s="45"/>
      <c r="M84" s="45">
        <v>0</v>
      </c>
      <c r="N84" s="45"/>
      <c r="O84" s="45">
        <v>1635959</v>
      </c>
      <c r="P84" s="45"/>
      <c r="Q84" s="45">
        <v>0</v>
      </c>
      <c r="R84" s="45"/>
      <c r="S84" s="45">
        <v>3177334</v>
      </c>
      <c r="T84" s="45"/>
      <c r="U84" s="45">
        <v>0</v>
      </c>
      <c r="V84" s="45"/>
      <c r="W84" s="45">
        <v>0</v>
      </c>
      <c r="X84" s="45"/>
      <c r="Y84" s="45">
        <v>0</v>
      </c>
      <c r="Z84" s="44"/>
      <c r="AA84" s="45">
        <v>0</v>
      </c>
      <c r="AB84" s="44"/>
      <c r="AC84" s="45">
        <f t="shared" si="3"/>
        <v>26622901</v>
      </c>
      <c r="AD84" s="45"/>
      <c r="AE84" s="48">
        <v>0</v>
      </c>
      <c r="AF84" s="48"/>
      <c r="AG84" s="45">
        <v>900303</v>
      </c>
      <c r="AH84" s="45"/>
      <c r="AI84" s="45">
        <v>5863694</v>
      </c>
      <c r="AJ84" s="45"/>
      <c r="AK84" s="45">
        <v>8933</v>
      </c>
      <c r="AL84" s="45"/>
      <c r="AM84" s="45">
        <f>+'Gen rev'!U84-'Gen exp'!AC84-AG84+'Gen rev'!W84+AI84+AK84-'Gen Bal'!S84-'Gen exp'!AE84</f>
        <v>0</v>
      </c>
      <c r="AN84" s="48"/>
      <c r="AO84" s="48"/>
      <c r="AP84" s="48"/>
      <c r="AQ84" s="48"/>
      <c r="AR84" s="52"/>
      <c r="AS84" s="50"/>
    </row>
    <row r="85" spans="1:45" s="49" customFormat="1" ht="12.75" customHeight="1">
      <c r="A85" s="28" t="s">
        <v>108</v>
      </c>
      <c r="C85" s="28" t="s">
        <v>45</v>
      </c>
      <c r="E85" s="45">
        <v>2377283</v>
      </c>
      <c r="F85" s="45"/>
      <c r="G85" s="45">
        <v>5421467</v>
      </c>
      <c r="H85" s="45"/>
      <c r="I85" s="45">
        <v>624124</v>
      </c>
      <c r="J85" s="45"/>
      <c r="K85" s="45">
        <v>22189</v>
      </c>
      <c r="L85" s="45"/>
      <c r="M85" s="45">
        <v>1289547</v>
      </c>
      <c r="N85" s="45"/>
      <c r="O85" s="45">
        <v>303812</v>
      </c>
      <c r="P85" s="45"/>
      <c r="Q85" s="45">
        <v>0</v>
      </c>
      <c r="R85" s="45"/>
      <c r="S85" s="45">
        <v>40271</v>
      </c>
      <c r="T85" s="45"/>
      <c r="U85" s="45">
        <v>0</v>
      </c>
      <c r="V85" s="45"/>
      <c r="W85" s="45">
        <v>0</v>
      </c>
      <c r="X85" s="45"/>
      <c r="Y85" s="45">
        <v>0</v>
      </c>
      <c r="Z85" s="44"/>
      <c r="AA85" s="45">
        <v>0</v>
      </c>
      <c r="AB85" s="44"/>
      <c r="AC85" s="45">
        <f t="shared" si="3"/>
        <v>10078693</v>
      </c>
      <c r="AD85" s="45"/>
      <c r="AE85" s="48">
        <v>0</v>
      </c>
      <c r="AF85" s="48"/>
      <c r="AG85" s="45">
        <v>426383</v>
      </c>
      <c r="AH85" s="45"/>
      <c r="AI85" s="45">
        <v>3632560</v>
      </c>
      <c r="AJ85" s="45"/>
      <c r="AK85" s="45">
        <v>0</v>
      </c>
      <c r="AL85" s="45"/>
      <c r="AM85" s="45">
        <f>+'Gen rev'!U85-'Gen exp'!AC85-AG85+'Gen rev'!W85+AI85+AK85-'Gen Bal'!S85-'Gen exp'!AE85</f>
        <v>0</v>
      </c>
      <c r="AN85" s="44"/>
      <c r="AO85" s="44"/>
      <c r="AP85" s="44"/>
      <c r="AQ85" s="44"/>
    </row>
    <row r="86" spans="1:45" s="44" customFormat="1" ht="12.75" customHeight="1">
      <c r="A86" s="35" t="s">
        <v>109</v>
      </c>
      <c r="C86" s="35" t="s">
        <v>110</v>
      </c>
      <c r="E86" s="45">
        <v>1617585</v>
      </c>
      <c r="F86" s="45"/>
      <c r="G86" s="45">
        <v>4789370</v>
      </c>
      <c r="H86" s="45"/>
      <c r="I86" s="45">
        <v>69913</v>
      </c>
      <c r="J86" s="45"/>
      <c r="K86" s="45">
        <v>250651</v>
      </c>
      <c r="L86" s="45"/>
      <c r="M86" s="45">
        <v>54263</v>
      </c>
      <c r="N86" s="45"/>
      <c r="O86" s="45">
        <v>2521</v>
      </c>
      <c r="P86" s="45"/>
      <c r="Q86" s="45">
        <v>133</v>
      </c>
      <c r="R86" s="45"/>
      <c r="S86" s="45">
        <v>0</v>
      </c>
      <c r="T86" s="45"/>
      <c r="U86" s="45">
        <v>0</v>
      </c>
      <c r="V86" s="45"/>
      <c r="W86" s="45">
        <v>0</v>
      </c>
      <c r="X86" s="45"/>
      <c r="Y86" s="45">
        <v>0</v>
      </c>
      <c r="AA86" s="45">
        <v>0</v>
      </c>
      <c r="AC86" s="45">
        <f t="shared" si="3"/>
        <v>6784436</v>
      </c>
      <c r="AD86" s="45"/>
      <c r="AE86" s="48">
        <v>0</v>
      </c>
      <c r="AF86" s="48"/>
      <c r="AG86" s="45">
        <v>1349423</v>
      </c>
      <c r="AH86" s="45"/>
      <c r="AI86" s="45">
        <v>1315397</v>
      </c>
      <c r="AJ86" s="45"/>
      <c r="AK86" s="45">
        <v>0</v>
      </c>
      <c r="AL86" s="45"/>
      <c r="AM86" s="45">
        <f>+'Gen rev'!U86-'Gen exp'!AC86-AG86+'Gen rev'!W86+AI86+AK86-'Gen Bal'!S86-'Gen exp'!AE86</f>
        <v>0</v>
      </c>
    </row>
    <row r="87" spans="1:45" s="49" customFormat="1" ht="12.75" customHeight="1">
      <c r="A87" s="28" t="s">
        <v>43</v>
      </c>
      <c r="C87" s="28" t="s">
        <v>111</v>
      </c>
      <c r="E87" s="45">
        <v>2217414</v>
      </c>
      <c r="F87" s="45"/>
      <c r="G87" s="45">
        <f>2752148+167928</f>
        <v>2920076</v>
      </c>
      <c r="H87" s="45"/>
      <c r="I87" s="45">
        <v>0</v>
      </c>
      <c r="J87" s="45"/>
      <c r="K87" s="45">
        <v>0</v>
      </c>
      <c r="L87" s="45"/>
      <c r="M87" s="45">
        <v>67</v>
      </c>
      <c r="N87" s="45"/>
      <c r="O87" s="45">
        <v>41268</v>
      </c>
      <c r="P87" s="45"/>
      <c r="Q87" s="45">
        <v>0</v>
      </c>
      <c r="R87" s="45"/>
      <c r="S87" s="45">
        <v>0</v>
      </c>
      <c r="T87" s="45"/>
      <c r="U87" s="45">
        <v>0</v>
      </c>
      <c r="V87" s="45"/>
      <c r="W87" s="45">
        <v>0</v>
      </c>
      <c r="X87" s="45"/>
      <c r="Y87" s="45">
        <v>323</v>
      </c>
      <c r="Z87" s="44"/>
      <c r="AA87" s="45">
        <v>0</v>
      </c>
      <c r="AB87" s="44"/>
      <c r="AC87" s="45">
        <f t="shared" si="3"/>
        <v>5179148</v>
      </c>
      <c r="AD87" s="45"/>
      <c r="AE87" s="48">
        <v>0</v>
      </c>
      <c r="AF87" s="48"/>
      <c r="AG87" s="45">
        <v>2359744</v>
      </c>
      <c r="AH87" s="45"/>
      <c r="AI87" s="45">
        <v>1960724</v>
      </c>
      <c r="AJ87" s="45"/>
      <c r="AK87" s="45">
        <v>0</v>
      </c>
      <c r="AL87" s="45"/>
      <c r="AM87" s="45">
        <f>+'Gen rev'!U87-'Gen exp'!AC87-AG87+'Gen rev'!W87+AI87+AK87-'Gen Bal'!S87-'Gen exp'!AE87</f>
        <v>0</v>
      </c>
      <c r="AN87" s="45"/>
      <c r="AO87" s="45"/>
      <c r="AP87" s="45"/>
      <c r="AQ87" s="45"/>
      <c r="AR87" s="52"/>
      <c r="AS87" s="50"/>
    </row>
    <row r="88" spans="1:45" s="49" customFormat="1" ht="12.75" customHeight="1">
      <c r="A88" s="28" t="s">
        <v>112</v>
      </c>
      <c r="C88" s="28" t="s">
        <v>76</v>
      </c>
      <c r="E88" s="45">
        <v>1730674</v>
      </c>
      <c r="F88" s="45"/>
      <c r="G88" s="45">
        <v>4996048</v>
      </c>
      <c r="H88" s="45"/>
      <c r="I88" s="45">
        <f>126374+109752</f>
        <v>236126</v>
      </c>
      <c r="J88" s="45"/>
      <c r="K88" s="45">
        <v>10615</v>
      </c>
      <c r="L88" s="45"/>
      <c r="M88" s="45">
        <v>0</v>
      </c>
      <c r="N88" s="45"/>
      <c r="O88" s="45">
        <v>646320</v>
      </c>
      <c r="P88" s="45"/>
      <c r="Q88" s="45">
        <v>0</v>
      </c>
      <c r="R88" s="45"/>
      <c r="S88" s="45">
        <v>0</v>
      </c>
      <c r="T88" s="45"/>
      <c r="U88" s="45">
        <v>0</v>
      </c>
      <c r="V88" s="45"/>
      <c r="W88" s="45">
        <v>0</v>
      </c>
      <c r="X88" s="45"/>
      <c r="Y88" s="45">
        <v>0</v>
      </c>
      <c r="Z88" s="44"/>
      <c r="AA88" s="45">
        <v>0</v>
      </c>
      <c r="AB88" s="44"/>
      <c r="AC88" s="45">
        <f t="shared" si="3"/>
        <v>7619783</v>
      </c>
      <c r="AD88" s="45"/>
      <c r="AE88" s="48">
        <v>0</v>
      </c>
      <c r="AF88" s="48"/>
      <c r="AG88" s="45">
        <v>610000</v>
      </c>
      <c r="AH88" s="45"/>
      <c r="AI88" s="45">
        <v>2290016</v>
      </c>
      <c r="AJ88" s="45"/>
      <c r="AK88" s="45">
        <v>0</v>
      </c>
      <c r="AL88" s="45"/>
      <c r="AM88" s="45">
        <f>+'Gen rev'!U88-'Gen exp'!AC88-AG88+'Gen rev'!W88+AI88+AK88-'Gen Bal'!S88-'Gen exp'!AE88</f>
        <v>0</v>
      </c>
      <c r="AN88" s="44"/>
      <c r="AO88" s="44"/>
      <c r="AP88" s="44"/>
      <c r="AQ88" s="44"/>
    </row>
    <row r="89" spans="1:45" s="49" customFormat="1" ht="12.75" customHeight="1">
      <c r="A89" s="28" t="s">
        <v>113</v>
      </c>
      <c r="C89" s="28" t="s">
        <v>43</v>
      </c>
      <c r="E89" s="45">
        <v>3758322</v>
      </c>
      <c r="F89" s="45"/>
      <c r="G89" s="45">
        <v>7389607</v>
      </c>
      <c r="H89" s="45"/>
      <c r="I89" s="45">
        <v>4206970</v>
      </c>
      <c r="J89" s="45"/>
      <c r="K89" s="45">
        <v>195382</v>
      </c>
      <c r="L89" s="45"/>
      <c r="M89" s="45">
        <v>1054665</v>
      </c>
      <c r="N89" s="45"/>
      <c r="O89" s="45">
        <v>2957090</v>
      </c>
      <c r="P89" s="45"/>
      <c r="Q89" s="45">
        <v>1970557</v>
      </c>
      <c r="R89" s="45"/>
      <c r="S89" s="45">
        <v>5264500</v>
      </c>
      <c r="T89" s="45"/>
      <c r="U89" s="45">
        <v>0</v>
      </c>
      <c r="V89" s="45"/>
      <c r="W89" s="45">
        <v>27172</v>
      </c>
      <c r="X89" s="45"/>
      <c r="Y89" s="45">
        <v>2009</v>
      </c>
      <c r="Z89" s="44"/>
      <c r="AA89" s="45">
        <v>0</v>
      </c>
      <c r="AB89" s="44"/>
      <c r="AC89" s="45">
        <f t="shared" si="3"/>
        <v>26826274</v>
      </c>
      <c r="AD89" s="45"/>
      <c r="AE89" s="48">
        <v>0</v>
      </c>
      <c r="AF89" s="48"/>
      <c r="AG89" s="45">
        <v>3529092</v>
      </c>
      <c r="AH89" s="45"/>
      <c r="AI89" s="45">
        <v>24394984</v>
      </c>
      <c r="AJ89" s="45"/>
      <c r="AK89" s="45">
        <v>0</v>
      </c>
      <c r="AL89" s="45"/>
      <c r="AM89" s="45">
        <f>+'Gen rev'!U89-'Gen exp'!AC89-AG89+'Gen rev'!W89+AI89+AK89-'Gen Bal'!S89-'Gen exp'!AE89</f>
        <v>0</v>
      </c>
      <c r="AN89" s="44"/>
      <c r="AO89" s="44"/>
      <c r="AP89" s="44"/>
      <c r="AQ89" s="44"/>
    </row>
    <row r="90" spans="1:45" s="49" customFormat="1" ht="12.75" customHeight="1">
      <c r="A90" s="64" t="s">
        <v>490</v>
      </c>
      <c r="B90" s="46"/>
      <c r="C90" s="64" t="s">
        <v>57</v>
      </c>
      <c r="D90" s="46"/>
      <c r="E90" s="45">
        <v>1319422</v>
      </c>
      <c r="F90" s="45"/>
      <c r="G90" s="45">
        <f>476382+423912</f>
        <v>900294</v>
      </c>
      <c r="H90" s="45"/>
      <c r="I90" s="45">
        <v>0</v>
      </c>
      <c r="J90" s="45"/>
      <c r="K90" s="45">
        <v>431782</v>
      </c>
      <c r="L90" s="45"/>
      <c r="M90" s="45">
        <v>0</v>
      </c>
      <c r="N90" s="45"/>
      <c r="O90" s="45">
        <v>0</v>
      </c>
      <c r="P90" s="45"/>
      <c r="Q90" s="45">
        <v>0</v>
      </c>
      <c r="R90" s="45"/>
      <c r="S90" s="45">
        <v>0</v>
      </c>
      <c r="T90" s="45"/>
      <c r="U90" s="45">
        <v>0</v>
      </c>
      <c r="V90" s="45"/>
      <c r="W90" s="45">
        <v>15570</v>
      </c>
      <c r="X90" s="45"/>
      <c r="Y90" s="45">
        <v>32010</v>
      </c>
      <c r="Z90" s="44"/>
      <c r="AA90" s="45">
        <v>0</v>
      </c>
      <c r="AB90" s="44"/>
      <c r="AC90" s="45">
        <f t="shared" si="3"/>
        <v>2699078</v>
      </c>
      <c r="AD90" s="45"/>
      <c r="AE90" s="48">
        <v>0</v>
      </c>
      <c r="AF90" s="48"/>
      <c r="AG90" s="45">
        <v>940076</v>
      </c>
      <c r="AH90" s="45"/>
      <c r="AI90" s="45">
        <v>3358901</v>
      </c>
      <c r="AJ90" s="45"/>
      <c r="AK90" s="45">
        <v>0</v>
      </c>
      <c r="AL90" s="45"/>
      <c r="AM90" s="45">
        <f>+'Gen rev'!U90-'Gen exp'!AC90-AG90+'Gen rev'!W90+AI90+AK90-'Gen Bal'!S90-'Gen exp'!AE90</f>
        <v>0</v>
      </c>
      <c r="AN90" s="45"/>
      <c r="AO90" s="45"/>
      <c r="AP90" s="45"/>
      <c r="AQ90" s="45"/>
      <c r="AR90" s="52"/>
      <c r="AS90" s="50"/>
    </row>
    <row r="91" spans="1:45" s="49" customFormat="1" ht="12.75" customHeight="1">
      <c r="A91" s="28" t="s">
        <v>114</v>
      </c>
      <c r="C91" s="28" t="s">
        <v>27</v>
      </c>
      <c r="E91" s="45">
        <v>9199870</v>
      </c>
      <c r="F91" s="45"/>
      <c r="G91" s="45">
        <v>10658994</v>
      </c>
      <c r="H91" s="45"/>
      <c r="I91" s="45">
        <v>164440</v>
      </c>
      <c r="J91" s="45"/>
      <c r="K91" s="45">
        <v>63992</v>
      </c>
      <c r="L91" s="45"/>
      <c r="M91" s="45">
        <v>1149</v>
      </c>
      <c r="N91" s="45"/>
      <c r="O91" s="45">
        <v>0</v>
      </c>
      <c r="P91" s="45"/>
      <c r="Q91" s="45">
        <v>1776877</v>
      </c>
      <c r="R91" s="45"/>
      <c r="S91" s="45">
        <v>0</v>
      </c>
      <c r="T91" s="45"/>
      <c r="U91" s="45">
        <v>0</v>
      </c>
      <c r="V91" s="45"/>
      <c r="W91" s="45">
        <v>0</v>
      </c>
      <c r="X91" s="45"/>
      <c r="Y91" s="45">
        <v>198867</v>
      </c>
      <c r="Z91" s="44"/>
      <c r="AA91" s="45">
        <v>0</v>
      </c>
      <c r="AB91" s="44"/>
      <c r="AC91" s="45">
        <f t="shared" si="3"/>
        <v>22064189</v>
      </c>
      <c r="AD91" s="45"/>
      <c r="AE91" s="48">
        <v>0</v>
      </c>
      <c r="AF91" s="48"/>
      <c r="AG91" s="45">
        <v>3617896</v>
      </c>
      <c r="AH91" s="45"/>
      <c r="AI91" s="45">
        <v>-1477864</v>
      </c>
      <c r="AJ91" s="45"/>
      <c r="AK91" s="45">
        <v>0</v>
      </c>
      <c r="AL91" s="45"/>
      <c r="AM91" s="45">
        <f>+'Gen rev'!U91-'Gen exp'!AC91-AG91+'Gen rev'!W91+AI91+AK91-'Gen Bal'!S91-'Gen exp'!AE91</f>
        <v>0</v>
      </c>
      <c r="AN91" s="45"/>
      <c r="AO91" s="45"/>
      <c r="AP91" s="45"/>
      <c r="AQ91" s="45"/>
      <c r="AR91" s="52"/>
      <c r="AS91" s="50"/>
    </row>
    <row r="92" spans="1:45" s="49" customFormat="1" ht="12.75" customHeight="1">
      <c r="A92" s="28" t="s">
        <v>115</v>
      </c>
      <c r="C92" s="28" t="s">
        <v>19</v>
      </c>
      <c r="E92" s="45">
        <v>826208</v>
      </c>
      <c r="F92" s="45"/>
      <c r="G92" s="45">
        <v>1882025</v>
      </c>
      <c r="H92" s="45"/>
      <c r="I92" s="45">
        <v>95798</v>
      </c>
      <c r="J92" s="45"/>
      <c r="K92" s="45">
        <v>0</v>
      </c>
      <c r="L92" s="45"/>
      <c r="M92" s="45">
        <v>0</v>
      </c>
      <c r="N92" s="45"/>
      <c r="O92" s="45">
        <v>169671</v>
      </c>
      <c r="P92" s="45"/>
      <c r="Q92" s="45">
        <v>0</v>
      </c>
      <c r="R92" s="45"/>
      <c r="S92" s="45">
        <v>0</v>
      </c>
      <c r="T92" s="45"/>
      <c r="U92" s="45">
        <v>0</v>
      </c>
      <c r="V92" s="45"/>
      <c r="W92" s="45">
        <v>1461</v>
      </c>
      <c r="X92" s="45"/>
      <c r="Y92" s="45">
        <v>528</v>
      </c>
      <c r="Z92" s="44"/>
      <c r="AA92" s="45">
        <v>0</v>
      </c>
      <c r="AB92" s="44"/>
      <c r="AC92" s="45">
        <f t="shared" si="3"/>
        <v>2975691</v>
      </c>
      <c r="AD92" s="45"/>
      <c r="AE92" s="48">
        <v>0</v>
      </c>
      <c r="AF92" s="48"/>
      <c r="AG92" s="45">
        <v>722577</v>
      </c>
      <c r="AH92" s="45"/>
      <c r="AI92" s="45">
        <v>1145210</v>
      </c>
      <c r="AJ92" s="45"/>
      <c r="AK92" s="45">
        <v>0</v>
      </c>
      <c r="AL92" s="45"/>
      <c r="AM92" s="45">
        <f>+'Gen rev'!U92-'Gen exp'!AC92-AG92+'Gen rev'!W92+AI92+AK92-'Gen Bal'!S92-'Gen exp'!AE92</f>
        <v>0</v>
      </c>
      <c r="AN92" s="45"/>
      <c r="AO92" s="45"/>
      <c r="AP92" s="45"/>
      <c r="AQ92" s="45"/>
      <c r="AR92" s="52"/>
      <c r="AS92" s="50"/>
    </row>
    <row r="93" spans="1:45" s="49" customFormat="1" ht="12.75" customHeight="1">
      <c r="A93" s="64" t="s">
        <v>116</v>
      </c>
      <c r="B93" s="46"/>
      <c r="C93" s="64" t="s">
        <v>80</v>
      </c>
      <c r="D93" s="46"/>
      <c r="E93" s="45">
        <v>2032655</v>
      </c>
      <c r="F93" s="45"/>
      <c r="G93" s="45">
        <v>2614748</v>
      </c>
      <c r="H93" s="45"/>
      <c r="I93" s="45">
        <v>0</v>
      </c>
      <c r="J93" s="45"/>
      <c r="K93" s="45">
        <v>60854</v>
      </c>
      <c r="L93" s="45"/>
      <c r="M93" s="45">
        <v>16279</v>
      </c>
      <c r="N93" s="45"/>
      <c r="O93" s="45">
        <v>0</v>
      </c>
      <c r="P93" s="45"/>
      <c r="Q93" s="45">
        <v>0</v>
      </c>
      <c r="R93" s="45"/>
      <c r="S93" s="45">
        <v>0</v>
      </c>
      <c r="T93" s="45"/>
      <c r="U93" s="45">
        <v>0</v>
      </c>
      <c r="V93" s="45"/>
      <c r="W93" s="45">
        <v>0</v>
      </c>
      <c r="X93" s="45"/>
      <c r="Y93" s="45">
        <v>0</v>
      </c>
      <c r="Z93" s="44"/>
      <c r="AA93" s="45">
        <v>0</v>
      </c>
      <c r="AB93" s="44"/>
      <c r="AC93" s="45">
        <f t="shared" si="3"/>
        <v>4724536</v>
      </c>
      <c r="AD93" s="45"/>
      <c r="AE93" s="48">
        <v>0</v>
      </c>
      <c r="AF93" s="48"/>
      <c r="AG93" s="45">
        <v>0</v>
      </c>
      <c r="AH93" s="45"/>
      <c r="AI93" s="45">
        <v>351834</v>
      </c>
      <c r="AJ93" s="45"/>
      <c r="AK93" s="45">
        <v>0</v>
      </c>
      <c r="AL93" s="45"/>
      <c r="AM93" s="45">
        <f>+'Gen rev'!U93-'Gen exp'!AC93-AG93+'Gen rev'!W93+AI93+AK93-'Gen Bal'!S93-'Gen exp'!AE93</f>
        <v>0</v>
      </c>
      <c r="AN93" s="45"/>
      <c r="AO93" s="45"/>
      <c r="AP93" s="45"/>
      <c r="AQ93" s="45"/>
      <c r="AR93" s="52"/>
      <c r="AS93" s="50"/>
    </row>
    <row r="94" spans="1:45" s="49" customFormat="1" ht="12.75" customHeight="1">
      <c r="A94" s="47" t="s">
        <v>117</v>
      </c>
      <c r="C94" s="28" t="s">
        <v>43</v>
      </c>
      <c r="E94" s="45">
        <v>1987291</v>
      </c>
      <c r="F94" s="45"/>
      <c r="G94" s="45">
        <v>4263186</v>
      </c>
      <c r="H94" s="45"/>
      <c r="I94" s="45">
        <v>0</v>
      </c>
      <c r="J94" s="45"/>
      <c r="K94" s="45">
        <v>0</v>
      </c>
      <c r="L94" s="45"/>
      <c r="M94" s="45">
        <v>1096950</v>
      </c>
      <c r="N94" s="45"/>
      <c r="O94" s="45">
        <v>711929</v>
      </c>
      <c r="P94" s="45"/>
      <c r="Q94" s="45">
        <v>109100</v>
      </c>
      <c r="R94" s="45"/>
      <c r="S94" s="45">
        <v>111193</v>
      </c>
      <c r="T94" s="45"/>
      <c r="U94" s="45">
        <v>0</v>
      </c>
      <c r="V94" s="45"/>
      <c r="W94" s="45">
        <v>10544</v>
      </c>
      <c r="X94" s="45"/>
      <c r="Y94" s="45">
        <v>1774</v>
      </c>
      <c r="Z94" s="44"/>
      <c r="AA94" s="45">
        <v>0</v>
      </c>
      <c r="AB94" s="44"/>
      <c r="AC94" s="45">
        <f t="shared" si="3"/>
        <v>8291967</v>
      </c>
      <c r="AD94" s="45"/>
      <c r="AE94" s="48">
        <v>0</v>
      </c>
      <c r="AF94" s="48"/>
      <c r="AG94" s="45">
        <v>642700</v>
      </c>
      <c r="AH94" s="45"/>
      <c r="AI94" s="45">
        <v>4371239</v>
      </c>
      <c r="AJ94" s="45"/>
      <c r="AK94" s="45">
        <v>0</v>
      </c>
      <c r="AL94" s="45"/>
      <c r="AM94" s="45">
        <f>+'Gen rev'!U94-'Gen exp'!AC94-AG94+'Gen rev'!W94+AI94+AK94-'Gen Bal'!S94-'Gen exp'!AE94</f>
        <v>0</v>
      </c>
      <c r="AN94" s="45"/>
      <c r="AO94" s="45"/>
      <c r="AP94" s="45"/>
      <c r="AQ94" s="45"/>
      <c r="AR94" s="52"/>
      <c r="AS94" s="50"/>
    </row>
    <row r="95" spans="1:45" s="49" customFormat="1" ht="12.75" customHeight="1">
      <c r="A95" s="28" t="s">
        <v>118</v>
      </c>
      <c r="C95" s="28" t="s">
        <v>13</v>
      </c>
      <c r="E95" s="45">
        <v>11256623</v>
      </c>
      <c r="F95" s="45"/>
      <c r="G95" s="45">
        <v>1606685</v>
      </c>
      <c r="H95" s="45"/>
      <c r="I95" s="45">
        <v>0</v>
      </c>
      <c r="J95" s="45"/>
      <c r="K95" s="45">
        <v>245328</v>
      </c>
      <c r="L95" s="45"/>
      <c r="M95" s="45">
        <v>0</v>
      </c>
      <c r="N95" s="45"/>
      <c r="O95" s="45">
        <v>0</v>
      </c>
      <c r="P95" s="45"/>
      <c r="Q95" s="45">
        <v>0</v>
      </c>
      <c r="R95" s="45"/>
      <c r="S95" s="45">
        <v>0</v>
      </c>
      <c r="T95" s="45"/>
      <c r="U95" s="45">
        <v>0</v>
      </c>
      <c r="V95" s="45"/>
      <c r="W95" s="45">
        <v>356097</v>
      </c>
      <c r="X95" s="45"/>
      <c r="Y95" s="45">
        <v>643903</v>
      </c>
      <c r="Z95" s="44"/>
      <c r="AA95" s="45">
        <v>0</v>
      </c>
      <c r="AB95" s="44"/>
      <c r="AC95" s="45">
        <f t="shared" si="3"/>
        <v>14108636</v>
      </c>
      <c r="AD95" s="45"/>
      <c r="AE95" s="48">
        <v>0</v>
      </c>
      <c r="AF95" s="48"/>
      <c r="AG95" s="45">
        <v>9450000</v>
      </c>
      <c r="AH95" s="45"/>
      <c r="AI95" s="45">
        <v>23720709</v>
      </c>
      <c r="AJ95" s="45"/>
      <c r="AK95" s="45">
        <v>0</v>
      </c>
      <c r="AL95" s="45"/>
      <c r="AM95" s="45">
        <f>+'Gen rev'!U95-'Gen exp'!AC95-AG95+'Gen rev'!W95+AI95+AK95-'Gen Bal'!S95-'Gen exp'!AE95</f>
        <v>0</v>
      </c>
      <c r="AN95" s="45"/>
      <c r="AO95" s="45"/>
      <c r="AP95" s="45"/>
      <c r="AQ95" s="45"/>
      <c r="AR95" s="52"/>
      <c r="AS95" s="50"/>
    </row>
    <row r="96" spans="1:45" s="49" customFormat="1" ht="12.75" customHeight="1">
      <c r="A96" s="28" t="s">
        <v>120</v>
      </c>
      <c r="C96" s="28" t="s">
        <v>121</v>
      </c>
      <c r="E96" s="45">
        <v>2070648</v>
      </c>
      <c r="F96" s="45"/>
      <c r="G96" s="45">
        <v>3993055</v>
      </c>
      <c r="H96" s="45"/>
      <c r="I96" s="45">
        <v>1593</v>
      </c>
      <c r="J96" s="45"/>
      <c r="K96" s="45">
        <v>3943</v>
      </c>
      <c r="L96" s="45"/>
      <c r="M96" s="45">
        <v>92209</v>
      </c>
      <c r="N96" s="45"/>
      <c r="O96" s="45">
        <v>498855</v>
      </c>
      <c r="P96" s="45"/>
      <c r="Q96" s="45">
        <v>157212</v>
      </c>
      <c r="R96" s="45"/>
      <c r="S96" s="45">
        <v>540471</v>
      </c>
      <c r="T96" s="45"/>
      <c r="U96" s="45">
        <v>0</v>
      </c>
      <c r="V96" s="45"/>
      <c r="W96" s="45">
        <v>54758</v>
      </c>
      <c r="X96" s="45"/>
      <c r="Y96" s="45">
        <v>25312</v>
      </c>
      <c r="Z96" s="44"/>
      <c r="AA96" s="45">
        <v>0</v>
      </c>
      <c r="AB96" s="44"/>
      <c r="AC96" s="45">
        <f t="shared" si="3"/>
        <v>7438056</v>
      </c>
      <c r="AD96" s="45"/>
      <c r="AE96" s="48">
        <v>0</v>
      </c>
      <c r="AF96" s="48"/>
      <c r="AG96" s="45">
        <v>991722</v>
      </c>
      <c r="AH96" s="45"/>
      <c r="AI96" s="45">
        <v>3303534</v>
      </c>
      <c r="AJ96" s="45"/>
      <c r="AK96" s="45">
        <v>0</v>
      </c>
      <c r="AL96" s="45"/>
      <c r="AM96" s="45">
        <f>+'Gen rev'!U96-'Gen exp'!AC96-AG96+'Gen rev'!W96+AI96+AK96-'Gen Bal'!S96-'Gen exp'!AE96</f>
        <v>0</v>
      </c>
      <c r="AN96" s="45"/>
      <c r="AO96" s="45"/>
      <c r="AP96" s="45"/>
      <c r="AQ96" s="45"/>
      <c r="AR96" s="52"/>
      <c r="AS96" s="50"/>
    </row>
    <row r="97" spans="1:45" s="49" customFormat="1" ht="12.75" customHeight="1">
      <c r="A97" s="28" t="s">
        <v>122</v>
      </c>
      <c r="C97" s="28" t="s">
        <v>43</v>
      </c>
      <c r="E97" s="45">
        <v>6159180</v>
      </c>
      <c r="F97" s="45"/>
      <c r="G97" s="45">
        <v>8481790</v>
      </c>
      <c r="H97" s="45"/>
      <c r="I97" s="45">
        <v>952684</v>
      </c>
      <c r="J97" s="45"/>
      <c r="K97" s="45">
        <v>270496</v>
      </c>
      <c r="L97" s="45"/>
      <c r="M97" s="45">
        <v>0</v>
      </c>
      <c r="N97" s="45"/>
      <c r="O97" s="45">
        <v>628432</v>
      </c>
      <c r="P97" s="45"/>
      <c r="Q97" s="45">
        <v>0</v>
      </c>
      <c r="R97" s="45"/>
      <c r="S97" s="45">
        <v>1024100</v>
      </c>
      <c r="T97" s="45"/>
      <c r="U97" s="45">
        <v>0</v>
      </c>
      <c r="V97" s="45"/>
      <c r="W97" s="45">
        <v>74037</v>
      </c>
      <c r="X97" s="45"/>
      <c r="Y97" s="45">
        <v>10628</v>
      </c>
      <c r="Z97" s="44"/>
      <c r="AA97" s="45">
        <v>0</v>
      </c>
      <c r="AB97" s="44"/>
      <c r="AC97" s="45">
        <f t="shared" si="3"/>
        <v>17601347</v>
      </c>
      <c r="AD97" s="45"/>
      <c r="AE97" s="48">
        <v>0</v>
      </c>
      <c r="AF97" s="48"/>
      <c r="AG97" s="45">
        <v>7933181</v>
      </c>
      <c r="AH97" s="45"/>
      <c r="AI97" s="45">
        <v>26168513</v>
      </c>
      <c r="AJ97" s="45"/>
      <c r="AK97" s="45">
        <v>0</v>
      </c>
      <c r="AL97" s="45"/>
      <c r="AM97" s="45">
        <f>+'Gen rev'!U97-'Gen exp'!AC97-AG97+'Gen rev'!W97+AI97+AK97-'Gen Bal'!S97-'Gen exp'!AE97</f>
        <v>0</v>
      </c>
      <c r="AN97" s="45"/>
      <c r="AO97" s="45"/>
      <c r="AP97" s="45"/>
      <c r="AQ97" s="45"/>
      <c r="AR97" s="52"/>
      <c r="AS97" s="50"/>
    </row>
    <row r="98" spans="1:45" s="49" customFormat="1" ht="12.75" customHeight="1">
      <c r="A98" s="47" t="s">
        <v>45</v>
      </c>
      <c r="C98" s="28" t="s">
        <v>103</v>
      </c>
      <c r="E98" s="45">
        <v>4400603</v>
      </c>
      <c r="F98" s="45"/>
      <c r="G98" s="45">
        <v>24190340</v>
      </c>
      <c r="H98" s="45"/>
      <c r="I98" s="45">
        <v>700951</v>
      </c>
      <c r="J98" s="45"/>
      <c r="K98" s="45">
        <v>1220421</v>
      </c>
      <c r="L98" s="45"/>
      <c r="M98" s="45">
        <v>0</v>
      </c>
      <c r="N98" s="45"/>
      <c r="O98" s="45">
        <v>1220156</v>
      </c>
      <c r="P98" s="45"/>
      <c r="Q98" s="45">
        <v>695627</v>
      </c>
      <c r="R98" s="45"/>
      <c r="S98" s="45">
        <v>0</v>
      </c>
      <c r="T98" s="45"/>
      <c r="U98" s="45">
        <v>0</v>
      </c>
      <c r="V98" s="45"/>
      <c r="W98" s="45">
        <v>0</v>
      </c>
      <c r="X98" s="45"/>
      <c r="Y98" s="45">
        <v>0</v>
      </c>
      <c r="Z98" s="44"/>
      <c r="AA98" s="45">
        <v>0</v>
      </c>
      <c r="AB98" s="44"/>
      <c r="AC98" s="45">
        <f t="shared" si="3"/>
        <v>32428098</v>
      </c>
      <c r="AD98" s="45"/>
      <c r="AE98" s="48">
        <v>0</v>
      </c>
      <c r="AF98" s="48"/>
      <c r="AG98" s="45">
        <v>605000</v>
      </c>
      <c r="AH98" s="45"/>
      <c r="AI98" s="45">
        <v>2752474</v>
      </c>
      <c r="AJ98" s="45"/>
      <c r="AK98" s="45">
        <v>-1163</v>
      </c>
      <c r="AL98" s="45"/>
      <c r="AM98" s="45">
        <f>+'Gen rev'!U98-'Gen exp'!AC98-AG98+'Gen rev'!W98+AI98+AK98-'Gen Bal'!S98-'Gen exp'!AE98</f>
        <v>0</v>
      </c>
      <c r="AN98" s="44"/>
      <c r="AO98" s="44"/>
      <c r="AP98" s="44"/>
      <c r="AQ98" s="44"/>
    </row>
    <row r="99" spans="1:45" s="49" customFormat="1" ht="12.75" customHeight="1">
      <c r="A99" s="47" t="s">
        <v>123</v>
      </c>
      <c r="C99" s="28" t="s">
        <v>45</v>
      </c>
      <c r="E99" s="45">
        <v>1435916</v>
      </c>
      <c r="F99" s="45"/>
      <c r="G99" s="45">
        <v>2264257</v>
      </c>
      <c r="H99" s="45"/>
      <c r="I99" s="45">
        <v>143679</v>
      </c>
      <c r="J99" s="45"/>
      <c r="K99" s="45">
        <v>12490</v>
      </c>
      <c r="L99" s="45"/>
      <c r="M99" s="45">
        <v>0</v>
      </c>
      <c r="N99" s="45"/>
      <c r="O99" s="45">
        <v>83356</v>
      </c>
      <c r="P99" s="45"/>
      <c r="Q99" s="45">
        <v>0</v>
      </c>
      <c r="R99" s="45"/>
      <c r="S99" s="45">
        <v>91940</v>
      </c>
      <c r="T99" s="45"/>
      <c r="U99" s="45">
        <v>0</v>
      </c>
      <c r="V99" s="45"/>
      <c r="W99" s="45">
        <v>50969</v>
      </c>
      <c r="X99" s="45"/>
      <c r="Y99" s="45">
        <v>2304</v>
      </c>
      <c r="Z99" s="44"/>
      <c r="AA99" s="45">
        <v>0</v>
      </c>
      <c r="AB99" s="44"/>
      <c r="AC99" s="45">
        <f t="shared" si="3"/>
        <v>4084911</v>
      </c>
      <c r="AD99" s="45"/>
      <c r="AE99" s="48">
        <v>0</v>
      </c>
      <c r="AF99" s="48"/>
      <c r="AG99" s="45">
        <v>2007615</v>
      </c>
      <c r="AH99" s="45"/>
      <c r="AI99" s="45">
        <v>2032011</v>
      </c>
      <c r="AJ99" s="45"/>
      <c r="AK99" s="45">
        <v>0</v>
      </c>
      <c r="AL99" s="45"/>
      <c r="AM99" s="45">
        <f>+'Gen rev'!U99-'Gen exp'!AC99-AG99+'Gen rev'!W99+AI99+AK99-'Gen Bal'!S99-'Gen exp'!AE99</f>
        <v>0</v>
      </c>
      <c r="AN99" s="44"/>
      <c r="AO99" s="44"/>
      <c r="AP99" s="44"/>
      <c r="AQ99" s="44"/>
    </row>
    <row r="100" spans="1:45" s="49" customFormat="1" ht="12.75" customHeight="1">
      <c r="A100" s="28" t="s">
        <v>124</v>
      </c>
      <c r="C100" s="28" t="s">
        <v>125</v>
      </c>
      <c r="E100" s="45">
        <v>1740082</v>
      </c>
      <c r="F100" s="45"/>
      <c r="G100" s="45">
        <v>3445353</v>
      </c>
      <c r="H100" s="45"/>
      <c r="I100" s="45">
        <v>296209</v>
      </c>
      <c r="J100" s="45"/>
      <c r="K100" s="45">
        <v>55500</v>
      </c>
      <c r="L100" s="45"/>
      <c r="M100" s="45">
        <v>0</v>
      </c>
      <c r="N100" s="45"/>
      <c r="O100" s="45">
        <v>824863</v>
      </c>
      <c r="P100" s="45"/>
      <c r="Q100" s="45">
        <v>0</v>
      </c>
      <c r="R100" s="45"/>
      <c r="S100" s="45">
        <v>0</v>
      </c>
      <c r="T100" s="45"/>
      <c r="U100" s="45">
        <v>0</v>
      </c>
      <c r="V100" s="45"/>
      <c r="W100" s="45">
        <v>0</v>
      </c>
      <c r="X100" s="45"/>
      <c r="Y100" s="45">
        <v>0</v>
      </c>
      <c r="Z100" s="44"/>
      <c r="AA100" s="45">
        <v>0</v>
      </c>
      <c r="AB100" s="44"/>
      <c r="AC100" s="45">
        <f t="shared" si="3"/>
        <v>6362007</v>
      </c>
      <c r="AD100" s="45"/>
      <c r="AE100" s="48">
        <v>0</v>
      </c>
      <c r="AF100" s="48"/>
      <c r="AG100" s="45">
        <v>465000</v>
      </c>
      <c r="AH100" s="45"/>
      <c r="AI100" s="45">
        <v>2931215</v>
      </c>
      <c r="AJ100" s="45"/>
      <c r="AK100" s="45">
        <v>-34556</v>
      </c>
      <c r="AL100" s="45"/>
      <c r="AM100" s="45">
        <f>+'Gen rev'!U100-'Gen exp'!AC100-AG100+'Gen rev'!W100+AI100+AK100-'Gen Bal'!S100-'Gen exp'!AE100</f>
        <v>0</v>
      </c>
      <c r="AN100" s="44"/>
      <c r="AO100" s="44"/>
      <c r="AP100" s="44"/>
      <c r="AQ100" s="44"/>
    </row>
    <row r="101" spans="1:45" s="49" customFormat="1" ht="12.75" customHeight="1">
      <c r="A101" s="28" t="s">
        <v>126</v>
      </c>
      <c r="C101" s="28" t="s">
        <v>27</v>
      </c>
      <c r="E101" s="45">
        <v>2232738</v>
      </c>
      <c r="F101" s="45"/>
      <c r="G101" s="45">
        <v>5124690</v>
      </c>
      <c r="H101" s="45"/>
      <c r="I101" s="45">
        <v>121531</v>
      </c>
      <c r="J101" s="45"/>
      <c r="K101" s="45">
        <v>39947</v>
      </c>
      <c r="L101" s="45"/>
      <c r="M101" s="45">
        <v>0</v>
      </c>
      <c r="N101" s="45"/>
      <c r="O101" s="45">
        <v>47879</v>
      </c>
      <c r="P101" s="45"/>
      <c r="Q101" s="45">
        <v>1630614</v>
      </c>
      <c r="R101" s="45"/>
      <c r="S101" s="45">
        <v>0</v>
      </c>
      <c r="T101" s="45"/>
      <c r="U101" s="45">
        <v>0</v>
      </c>
      <c r="V101" s="45"/>
      <c r="W101" s="45">
        <v>0</v>
      </c>
      <c r="X101" s="45"/>
      <c r="Y101" s="45">
        <v>0</v>
      </c>
      <c r="Z101" s="44"/>
      <c r="AA101" s="45">
        <v>0</v>
      </c>
      <c r="AB101" s="44"/>
      <c r="AC101" s="45">
        <f t="shared" si="3"/>
        <v>9197399</v>
      </c>
      <c r="AD101" s="45"/>
      <c r="AE101" s="48">
        <v>0</v>
      </c>
      <c r="AF101" s="48"/>
      <c r="AG101" s="45">
        <v>1330000</v>
      </c>
      <c r="AH101" s="45"/>
      <c r="AI101" s="45">
        <v>5449890</v>
      </c>
      <c r="AJ101" s="45"/>
      <c r="AK101" s="45">
        <v>6117</v>
      </c>
      <c r="AL101" s="45"/>
      <c r="AM101" s="45">
        <f>+'Gen rev'!U101-'Gen exp'!AC101-AG101+'Gen rev'!W101+AI101+AK101-'Gen Bal'!S101-'Gen exp'!AE101</f>
        <v>0</v>
      </c>
      <c r="AN101" s="44"/>
      <c r="AO101" s="44"/>
      <c r="AP101" s="44"/>
      <c r="AQ101" s="44"/>
    </row>
    <row r="102" spans="1:45" s="49" customFormat="1" ht="12.75" customHeight="1">
      <c r="A102" s="28" t="s">
        <v>127</v>
      </c>
      <c r="C102" s="28" t="s">
        <v>43</v>
      </c>
      <c r="E102" s="45">
        <v>4101118</v>
      </c>
      <c r="F102" s="45"/>
      <c r="G102" s="45">
        <v>7827363</v>
      </c>
      <c r="H102" s="45"/>
      <c r="I102" s="45">
        <v>2807471</v>
      </c>
      <c r="J102" s="45"/>
      <c r="K102" s="45">
        <v>169063</v>
      </c>
      <c r="L102" s="45"/>
      <c r="M102" s="45">
        <v>0</v>
      </c>
      <c r="N102" s="45"/>
      <c r="O102" s="45">
        <v>2704252</v>
      </c>
      <c r="P102" s="45"/>
      <c r="Q102" s="45">
        <v>0</v>
      </c>
      <c r="R102" s="45"/>
      <c r="S102" s="45">
        <v>0</v>
      </c>
      <c r="T102" s="45"/>
      <c r="U102" s="45">
        <v>0</v>
      </c>
      <c r="V102" s="45"/>
      <c r="W102" s="45">
        <v>0</v>
      </c>
      <c r="X102" s="45"/>
      <c r="Y102" s="45">
        <v>0</v>
      </c>
      <c r="Z102" s="44"/>
      <c r="AA102" s="45">
        <v>0</v>
      </c>
      <c r="AB102" s="44"/>
      <c r="AC102" s="45">
        <f t="shared" si="3"/>
        <v>17609267</v>
      </c>
      <c r="AD102" s="45"/>
      <c r="AE102" s="48">
        <v>0</v>
      </c>
      <c r="AF102" s="48"/>
      <c r="AG102" s="45">
        <v>0</v>
      </c>
      <c r="AH102" s="45"/>
      <c r="AI102" s="45">
        <v>3300406</v>
      </c>
      <c r="AJ102" s="45"/>
      <c r="AK102" s="45">
        <v>0</v>
      </c>
      <c r="AL102" s="45"/>
      <c r="AM102" s="45">
        <f>+'Gen rev'!U102-'Gen exp'!AC102-AG102+'Gen rev'!W102+AI102+AK102-'Gen Bal'!S102-'Gen exp'!AE102</f>
        <v>0</v>
      </c>
      <c r="AN102" s="44"/>
      <c r="AO102" s="44"/>
      <c r="AP102" s="44"/>
      <c r="AQ102" s="44"/>
    </row>
    <row r="103" spans="1:45" s="49" customFormat="1" ht="12.75" customHeight="1">
      <c r="A103" s="28" t="s">
        <v>128</v>
      </c>
      <c r="C103" s="28" t="s">
        <v>119</v>
      </c>
      <c r="E103" s="45">
        <f>1214821+290244</f>
        <v>1505065</v>
      </c>
      <c r="F103" s="45"/>
      <c r="G103" s="45">
        <v>3187771</v>
      </c>
      <c r="H103" s="45"/>
      <c r="I103" s="45">
        <v>48306</v>
      </c>
      <c r="J103" s="45"/>
      <c r="K103" s="45">
        <v>508</v>
      </c>
      <c r="L103" s="45"/>
      <c r="M103" s="45">
        <v>0</v>
      </c>
      <c r="N103" s="45"/>
      <c r="O103" s="45">
        <v>0</v>
      </c>
      <c r="P103" s="45"/>
      <c r="Q103" s="45">
        <v>0</v>
      </c>
      <c r="R103" s="45"/>
      <c r="S103" s="45">
        <v>2480476</v>
      </c>
      <c r="T103" s="45"/>
      <c r="U103" s="45">
        <v>0</v>
      </c>
      <c r="V103" s="45"/>
      <c r="W103" s="45">
        <v>40349</v>
      </c>
      <c r="X103" s="45"/>
      <c r="Y103" s="45">
        <v>10469</v>
      </c>
      <c r="Z103" s="44"/>
      <c r="AA103" s="45">
        <v>0</v>
      </c>
      <c r="AB103" s="44"/>
      <c r="AC103" s="45">
        <f t="shared" si="3"/>
        <v>7272944</v>
      </c>
      <c r="AD103" s="45"/>
      <c r="AE103" s="48">
        <v>0</v>
      </c>
      <c r="AF103" s="48"/>
      <c r="AG103" s="45">
        <v>541000</v>
      </c>
      <c r="AH103" s="45"/>
      <c r="AI103" s="45">
        <v>2174442</v>
      </c>
      <c r="AJ103" s="45"/>
      <c r="AK103" s="45">
        <v>0</v>
      </c>
      <c r="AL103" s="45"/>
      <c r="AM103" s="45">
        <f>+'Gen rev'!U103-'Gen exp'!AC103-AG103+'Gen rev'!W103+AI103+AK103-'Gen Bal'!S103-'Gen exp'!AE103</f>
        <v>0</v>
      </c>
      <c r="AN103" s="44"/>
      <c r="AO103" s="44"/>
      <c r="AP103" s="44"/>
      <c r="AQ103" s="44"/>
    </row>
    <row r="104" spans="1:45" s="49" customFormat="1" ht="12.75" customHeight="1">
      <c r="A104" s="28" t="s">
        <v>129</v>
      </c>
      <c r="C104" s="28" t="s">
        <v>80</v>
      </c>
      <c r="E104" s="45">
        <v>387286</v>
      </c>
      <c r="F104" s="45"/>
      <c r="G104" s="45">
        <v>1637801</v>
      </c>
      <c r="H104" s="45"/>
      <c r="I104" s="45">
        <v>400</v>
      </c>
      <c r="J104" s="45"/>
      <c r="K104" s="45">
        <v>14721</v>
      </c>
      <c r="L104" s="45"/>
      <c r="M104" s="45">
        <v>0</v>
      </c>
      <c r="N104" s="45"/>
      <c r="O104" s="45">
        <v>3937</v>
      </c>
      <c r="P104" s="45"/>
      <c r="Q104" s="45">
        <v>0</v>
      </c>
      <c r="R104" s="45"/>
      <c r="S104" s="45">
        <v>0</v>
      </c>
      <c r="T104" s="45"/>
      <c r="U104" s="45">
        <v>0</v>
      </c>
      <c r="V104" s="45"/>
      <c r="W104" s="45">
        <v>10941</v>
      </c>
      <c r="X104" s="45"/>
      <c r="Y104" s="45">
        <v>2459</v>
      </c>
      <c r="Z104" s="44"/>
      <c r="AA104" s="45">
        <v>0</v>
      </c>
      <c r="AB104" s="44"/>
      <c r="AC104" s="45">
        <f t="shared" si="3"/>
        <v>2057545</v>
      </c>
      <c r="AD104" s="45"/>
      <c r="AE104" s="48">
        <v>0</v>
      </c>
      <c r="AF104" s="48"/>
      <c r="AG104" s="45">
        <v>851583</v>
      </c>
      <c r="AH104" s="45"/>
      <c r="AI104" s="45">
        <v>522271</v>
      </c>
      <c r="AJ104" s="45"/>
      <c r="AK104" s="45">
        <v>0</v>
      </c>
      <c r="AL104" s="45"/>
      <c r="AM104" s="45">
        <f>+'Gen rev'!U104-'Gen exp'!AC104-AG104+'Gen rev'!W104+AI104+AK104-'Gen Bal'!S104-'Gen exp'!AE104</f>
        <v>0</v>
      </c>
      <c r="AN104" s="45"/>
      <c r="AO104" s="45"/>
      <c r="AP104" s="45"/>
      <c r="AQ104" s="45"/>
      <c r="AR104" s="52"/>
      <c r="AS104" s="50"/>
    </row>
    <row r="105" spans="1:45" s="49" customFormat="1" ht="12.75" customHeight="1">
      <c r="A105" s="64" t="s">
        <v>130</v>
      </c>
      <c r="B105" s="46"/>
      <c r="C105" s="64" t="s">
        <v>66</v>
      </c>
      <c r="D105" s="46"/>
      <c r="E105" s="45">
        <v>3395961</v>
      </c>
      <c r="F105" s="45"/>
      <c r="G105" s="45">
        <v>897564</v>
      </c>
      <c r="H105" s="45"/>
      <c r="I105" s="45">
        <v>830356</v>
      </c>
      <c r="J105" s="45"/>
      <c r="K105" s="45">
        <v>0</v>
      </c>
      <c r="L105" s="45"/>
      <c r="M105" s="45">
        <v>0</v>
      </c>
      <c r="N105" s="45"/>
      <c r="O105" s="45">
        <v>0</v>
      </c>
      <c r="P105" s="45"/>
      <c r="Q105" s="45">
        <v>0</v>
      </c>
      <c r="R105" s="45"/>
      <c r="S105" s="45">
        <v>87184</v>
      </c>
      <c r="T105" s="45"/>
      <c r="U105" s="45">
        <v>0</v>
      </c>
      <c r="V105" s="45"/>
      <c r="W105" s="45">
        <v>10407</v>
      </c>
      <c r="X105" s="45"/>
      <c r="Y105" s="45">
        <v>457</v>
      </c>
      <c r="Z105" s="44"/>
      <c r="AA105" s="45">
        <v>0</v>
      </c>
      <c r="AB105" s="44"/>
      <c r="AC105" s="45">
        <f t="shared" si="3"/>
        <v>5221929</v>
      </c>
      <c r="AD105" s="45"/>
      <c r="AE105" s="48">
        <v>0</v>
      </c>
      <c r="AF105" s="48"/>
      <c r="AG105" s="45">
        <v>5089400</v>
      </c>
      <c r="AH105" s="45"/>
      <c r="AI105" s="45">
        <v>10168179</v>
      </c>
      <c r="AJ105" s="45"/>
      <c r="AK105" s="45">
        <v>714</v>
      </c>
      <c r="AL105" s="45"/>
      <c r="AM105" s="45">
        <f>+'Gen rev'!U105-'Gen exp'!AC105-AG105+'Gen rev'!W105+AI105+AK105-'Gen Bal'!S105-'Gen exp'!AE105</f>
        <v>0</v>
      </c>
      <c r="AN105" s="45"/>
      <c r="AO105" s="45"/>
      <c r="AP105" s="45"/>
      <c r="AQ105" s="45"/>
      <c r="AR105" s="52"/>
      <c r="AS105" s="50"/>
    </row>
    <row r="106" spans="1:45" s="49" customFormat="1" ht="12.75" customHeight="1">
      <c r="A106" s="28" t="s">
        <v>131</v>
      </c>
      <c r="C106" s="28" t="s">
        <v>13</v>
      </c>
      <c r="E106" s="45">
        <v>5235293</v>
      </c>
      <c r="F106" s="45"/>
      <c r="G106" s="45">
        <v>3862842</v>
      </c>
      <c r="H106" s="45"/>
      <c r="I106" s="45">
        <v>1279239</v>
      </c>
      <c r="J106" s="45"/>
      <c r="K106" s="45">
        <v>283472</v>
      </c>
      <c r="L106" s="45"/>
      <c r="M106" s="45">
        <v>0</v>
      </c>
      <c r="N106" s="45"/>
      <c r="O106" s="45">
        <v>0</v>
      </c>
      <c r="P106" s="45"/>
      <c r="Q106" s="45">
        <v>0</v>
      </c>
      <c r="R106" s="45"/>
      <c r="S106" s="45">
        <v>299342</v>
      </c>
      <c r="T106" s="45"/>
      <c r="U106" s="45">
        <v>0</v>
      </c>
      <c r="V106" s="45"/>
      <c r="W106" s="45">
        <v>0</v>
      </c>
      <c r="X106" s="45"/>
      <c r="Y106" s="45">
        <v>0</v>
      </c>
      <c r="Z106" s="44"/>
      <c r="AA106" s="45">
        <v>0</v>
      </c>
      <c r="AB106" s="44"/>
      <c r="AC106" s="45">
        <f t="shared" si="3"/>
        <v>10960188</v>
      </c>
      <c r="AD106" s="45"/>
      <c r="AE106" s="48">
        <v>0</v>
      </c>
      <c r="AF106" s="48"/>
      <c r="AG106" s="45">
        <v>8570800</v>
      </c>
      <c r="AH106" s="45"/>
      <c r="AI106" s="45">
        <v>13409252</v>
      </c>
      <c r="AJ106" s="45"/>
      <c r="AK106" s="45">
        <v>0</v>
      </c>
      <c r="AL106" s="45"/>
      <c r="AM106" s="45">
        <f>+'Gen rev'!U106-'Gen exp'!AC106-AG106+'Gen rev'!W106+AI106+AK106-'Gen Bal'!S106-'Gen exp'!AE106</f>
        <v>0</v>
      </c>
      <c r="AN106" s="45"/>
      <c r="AO106" s="45"/>
      <c r="AP106" s="45"/>
      <c r="AQ106" s="45"/>
      <c r="AR106" s="52"/>
      <c r="AS106" s="50"/>
    </row>
    <row r="107" spans="1:45" s="49" customFormat="1" ht="12.75" customHeight="1">
      <c r="A107" s="28" t="s">
        <v>38</v>
      </c>
      <c r="C107" s="28" t="s">
        <v>132</v>
      </c>
      <c r="E107" s="45">
        <v>973056</v>
      </c>
      <c r="F107" s="45"/>
      <c r="G107" s="45">
        <v>1353247</v>
      </c>
      <c r="H107" s="45"/>
      <c r="I107" s="45">
        <v>0</v>
      </c>
      <c r="J107" s="45"/>
      <c r="K107" s="45">
        <v>0</v>
      </c>
      <c r="L107" s="45"/>
      <c r="M107" s="45">
        <v>2773</v>
      </c>
      <c r="N107" s="45"/>
      <c r="O107" s="45">
        <v>0</v>
      </c>
      <c r="P107" s="45"/>
      <c r="Q107" s="45">
        <v>568796</v>
      </c>
      <c r="R107" s="45"/>
      <c r="S107" s="45">
        <v>0</v>
      </c>
      <c r="T107" s="45"/>
      <c r="U107" s="45">
        <v>0</v>
      </c>
      <c r="V107" s="45"/>
      <c r="W107" s="45">
        <v>0</v>
      </c>
      <c r="X107" s="45"/>
      <c r="Y107" s="45">
        <v>0</v>
      </c>
      <c r="Z107" s="44"/>
      <c r="AA107" s="45">
        <v>0</v>
      </c>
      <c r="AB107" s="44"/>
      <c r="AC107" s="45">
        <f t="shared" si="3"/>
        <v>2897872</v>
      </c>
      <c r="AD107" s="45"/>
      <c r="AE107" s="48">
        <v>0</v>
      </c>
      <c r="AF107" s="48"/>
      <c r="AG107" s="45">
        <v>1366290</v>
      </c>
      <c r="AH107" s="45"/>
      <c r="AI107" s="45">
        <v>737849</v>
      </c>
      <c r="AJ107" s="45"/>
      <c r="AK107" s="45">
        <v>0</v>
      </c>
      <c r="AL107" s="45"/>
      <c r="AM107" s="45">
        <f>+'Gen rev'!U107-'Gen exp'!AC107-AG107+'Gen rev'!W107+AI107+AK107-'Gen Bal'!S108-'Gen exp'!AE107</f>
        <v>0</v>
      </c>
      <c r="AN107" s="45"/>
      <c r="AO107" s="45"/>
      <c r="AP107" s="45"/>
      <c r="AQ107" s="45"/>
      <c r="AR107" s="52"/>
      <c r="AS107" s="50"/>
    </row>
    <row r="108" spans="1:45" s="49" customFormat="1" ht="12.75" customHeight="1">
      <c r="A108" s="28" t="s">
        <v>133</v>
      </c>
      <c r="C108" s="28" t="s">
        <v>27</v>
      </c>
      <c r="E108" s="45">
        <v>5728020</v>
      </c>
      <c r="F108" s="45"/>
      <c r="G108" s="45">
        <v>7502322</v>
      </c>
      <c r="H108" s="45"/>
      <c r="I108" s="45">
        <v>2136723</v>
      </c>
      <c r="J108" s="45"/>
      <c r="K108" s="45">
        <v>0</v>
      </c>
      <c r="L108" s="45"/>
      <c r="M108" s="45">
        <v>716486</v>
      </c>
      <c r="N108" s="45"/>
      <c r="O108" s="45">
        <v>2687283</v>
      </c>
      <c r="P108" s="45"/>
      <c r="Q108" s="45">
        <v>565095</v>
      </c>
      <c r="R108" s="45"/>
      <c r="S108" s="45">
        <v>0</v>
      </c>
      <c r="T108" s="45"/>
      <c r="U108" s="45">
        <v>0</v>
      </c>
      <c r="V108" s="45"/>
      <c r="W108" s="45">
        <v>0</v>
      </c>
      <c r="X108" s="45"/>
      <c r="Y108" s="45">
        <v>0</v>
      </c>
      <c r="Z108" s="44"/>
      <c r="AA108" s="45">
        <v>0</v>
      </c>
      <c r="AB108" s="44"/>
      <c r="AC108" s="45">
        <f t="shared" si="3"/>
        <v>19335929</v>
      </c>
      <c r="AD108" s="45"/>
      <c r="AE108" s="48">
        <v>0</v>
      </c>
      <c r="AF108" s="48"/>
      <c r="AG108" s="45">
        <v>5576485</v>
      </c>
      <c r="AH108" s="45"/>
      <c r="AI108" s="45">
        <v>11280318</v>
      </c>
      <c r="AJ108" s="45"/>
      <c r="AK108" s="45">
        <v>0</v>
      </c>
      <c r="AL108" s="45"/>
      <c r="AM108" s="45">
        <f>+'Gen rev'!U108-'Gen exp'!AC108-AG108+'Gen rev'!W108+AI108+AK108-'Gen Bal'!S109-'Gen exp'!AE108</f>
        <v>0</v>
      </c>
      <c r="AN108" s="45"/>
      <c r="AO108" s="45"/>
      <c r="AP108" s="45"/>
      <c r="AQ108" s="45"/>
      <c r="AR108" s="52"/>
      <c r="AS108" s="50"/>
    </row>
    <row r="109" spans="1:45" s="49" customFormat="1" ht="12.75" hidden="1" customHeight="1">
      <c r="A109" s="28" t="s">
        <v>482</v>
      </c>
      <c r="C109" s="28" t="s">
        <v>45</v>
      </c>
      <c r="E109" s="45">
        <v>0</v>
      </c>
      <c r="F109" s="45"/>
      <c r="G109" s="45">
        <v>0</v>
      </c>
      <c r="H109" s="45"/>
      <c r="I109" s="45">
        <v>0</v>
      </c>
      <c r="J109" s="45"/>
      <c r="K109" s="45">
        <v>0</v>
      </c>
      <c r="L109" s="45"/>
      <c r="M109" s="45">
        <v>0</v>
      </c>
      <c r="N109" s="45"/>
      <c r="O109" s="45">
        <v>0</v>
      </c>
      <c r="P109" s="45"/>
      <c r="Q109" s="45">
        <v>0</v>
      </c>
      <c r="R109" s="45"/>
      <c r="S109" s="45">
        <v>0</v>
      </c>
      <c r="T109" s="45"/>
      <c r="U109" s="45">
        <v>0</v>
      </c>
      <c r="V109" s="45"/>
      <c r="W109" s="45">
        <v>0</v>
      </c>
      <c r="X109" s="45"/>
      <c r="Y109" s="45">
        <v>0</v>
      </c>
      <c r="Z109" s="44"/>
      <c r="AA109" s="45">
        <v>0</v>
      </c>
      <c r="AB109" s="44"/>
      <c r="AC109" s="45">
        <f t="shared" si="3"/>
        <v>0</v>
      </c>
      <c r="AD109" s="45"/>
      <c r="AE109" s="48">
        <v>0</v>
      </c>
      <c r="AF109" s="48"/>
      <c r="AG109" s="45">
        <v>0</v>
      </c>
      <c r="AH109" s="45"/>
      <c r="AI109" s="45">
        <v>0</v>
      </c>
      <c r="AJ109" s="45"/>
      <c r="AK109" s="45">
        <v>0</v>
      </c>
      <c r="AL109" s="45"/>
      <c r="AM109" s="45">
        <f>+'Gen rev'!U109-'Gen exp'!AC109-AG109+'Gen rev'!W109+AI109+AK109-'Gen Bal'!S110-'Gen exp'!AE109</f>
        <v>0</v>
      </c>
      <c r="AN109" s="45"/>
      <c r="AO109" s="45"/>
      <c r="AP109" s="45"/>
      <c r="AQ109" s="45"/>
      <c r="AR109" s="52"/>
      <c r="AS109" s="50"/>
    </row>
    <row r="110" spans="1:45" s="49" customFormat="1" ht="12.75" customHeight="1">
      <c r="A110" s="28" t="s">
        <v>136</v>
      </c>
      <c r="C110" s="28" t="s">
        <v>136</v>
      </c>
      <c r="E110" s="45">
        <v>1149403</v>
      </c>
      <c r="F110" s="45"/>
      <c r="G110" s="45">
        <v>1752975</v>
      </c>
      <c r="H110" s="45"/>
      <c r="I110" s="45">
        <v>0</v>
      </c>
      <c r="J110" s="45"/>
      <c r="K110" s="45">
        <v>0</v>
      </c>
      <c r="L110" s="45"/>
      <c r="M110" s="45">
        <v>158852</v>
      </c>
      <c r="N110" s="45"/>
      <c r="O110" s="45">
        <v>0</v>
      </c>
      <c r="P110" s="45"/>
      <c r="Q110" s="45">
        <v>0</v>
      </c>
      <c r="R110" s="45"/>
      <c r="S110" s="45">
        <v>0</v>
      </c>
      <c r="T110" s="45"/>
      <c r="U110" s="45">
        <v>0</v>
      </c>
      <c r="V110" s="45"/>
      <c r="W110" s="45">
        <v>323351</v>
      </c>
      <c r="X110" s="45"/>
      <c r="Y110" s="45">
        <v>1836</v>
      </c>
      <c r="Z110" s="44"/>
      <c r="AA110" s="45">
        <v>0</v>
      </c>
      <c r="AB110" s="44"/>
      <c r="AC110" s="45">
        <f t="shared" si="3"/>
        <v>3386417</v>
      </c>
      <c r="AD110" s="45"/>
      <c r="AE110" s="48">
        <v>0</v>
      </c>
      <c r="AF110" s="48"/>
      <c r="AG110" s="45">
        <v>139525</v>
      </c>
      <c r="AH110" s="45"/>
      <c r="AI110" s="45">
        <v>1759104</v>
      </c>
      <c r="AJ110" s="45"/>
      <c r="AK110" s="45">
        <v>0</v>
      </c>
      <c r="AL110" s="45"/>
      <c r="AM110" s="45">
        <f>+'Gen rev'!U110-'Gen exp'!AC110-AG110+'Gen rev'!W110+AI110+AK110-'Gen Bal'!S111-'Gen exp'!AE110</f>
        <v>0</v>
      </c>
      <c r="AN110" s="45"/>
      <c r="AO110" s="45"/>
      <c r="AP110" s="45"/>
      <c r="AQ110" s="45"/>
      <c r="AR110" s="52"/>
      <c r="AS110" s="50"/>
    </row>
    <row r="111" spans="1:45" s="49" customFormat="1" ht="12.75" customHeight="1">
      <c r="A111" s="28" t="s">
        <v>137</v>
      </c>
      <c r="C111" s="28" t="s">
        <v>22</v>
      </c>
      <c r="E111" s="45">
        <v>2198792</v>
      </c>
      <c r="F111" s="45"/>
      <c r="G111" s="45">
        <v>4075162</v>
      </c>
      <c r="H111" s="45"/>
      <c r="I111" s="45">
        <v>1386779</v>
      </c>
      <c r="J111" s="45"/>
      <c r="K111" s="45">
        <v>492175</v>
      </c>
      <c r="L111" s="45"/>
      <c r="M111" s="45">
        <v>0</v>
      </c>
      <c r="N111" s="45"/>
      <c r="O111" s="45">
        <v>0</v>
      </c>
      <c r="P111" s="45"/>
      <c r="Q111" s="45">
        <v>0</v>
      </c>
      <c r="R111" s="45"/>
      <c r="S111" s="45">
        <v>3524</v>
      </c>
      <c r="T111" s="45"/>
      <c r="U111" s="45">
        <v>0</v>
      </c>
      <c r="V111" s="45"/>
      <c r="W111" s="45">
        <v>0</v>
      </c>
      <c r="X111" s="45"/>
      <c r="Y111" s="45">
        <v>0</v>
      </c>
      <c r="Z111" s="44"/>
      <c r="AA111" s="45">
        <v>0</v>
      </c>
      <c r="AB111" s="44"/>
      <c r="AC111" s="45">
        <f t="shared" si="3"/>
        <v>8156432</v>
      </c>
      <c r="AD111" s="45"/>
      <c r="AE111" s="48">
        <v>0</v>
      </c>
      <c r="AF111" s="48"/>
      <c r="AG111" s="45">
        <v>0</v>
      </c>
      <c r="AH111" s="45"/>
      <c r="AI111" s="45">
        <v>9825044</v>
      </c>
      <c r="AJ111" s="45"/>
      <c r="AK111" s="45">
        <v>0</v>
      </c>
      <c r="AL111" s="45"/>
      <c r="AM111" s="45">
        <f>+'Gen rev'!U111-'Gen exp'!AC111-AG111+'Gen rev'!W111+AI111+AK111-'Gen Bal'!S112-'Gen exp'!AE111</f>
        <v>0</v>
      </c>
      <c r="AN111" s="45"/>
      <c r="AO111" s="45"/>
      <c r="AP111" s="45"/>
      <c r="AQ111" s="45"/>
      <c r="AR111" s="52"/>
      <c r="AS111" s="50"/>
    </row>
    <row r="112" spans="1:45" s="49" customFormat="1" ht="12.75" hidden="1" customHeight="1">
      <c r="A112" s="28" t="s">
        <v>138</v>
      </c>
      <c r="C112" s="28" t="s">
        <v>139</v>
      </c>
      <c r="E112" s="45">
        <v>0</v>
      </c>
      <c r="F112" s="45"/>
      <c r="G112" s="45">
        <v>0</v>
      </c>
      <c r="H112" s="45"/>
      <c r="I112" s="45">
        <v>0</v>
      </c>
      <c r="J112" s="45"/>
      <c r="K112" s="45">
        <v>0</v>
      </c>
      <c r="L112" s="45"/>
      <c r="M112" s="45">
        <v>0</v>
      </c>
      <c r="N112" s="45"/>
      <c r="O112" s="45">
        <v>0</v>
      </c>
      <c r="P112" s="45"/>
      <c r="Q112" s="45">
        <v>0</v>
      </c>
      <c r="R112" s="45"/>
      <c r="S112" s="45">
        <v>0</v>
      </c>
      <c r="T112" s="45"/>
      <c r="U112" s="45">
        <v>0</v>
      </c>
      <c r="V112" s="45"/>
      <c r="W112" s="45">
        <v>0</v>
      </c>
      <c r="X112" s="45"/>
      <c r="Y112" s="45">
        <v>0</v>
      </c>
      <c r="Z112" s="44"/>
      <c r="AA112" s="45">
        <v>0</v>
      </c>
      <c r="AB112" s="44"/>
      <c r="AC112" s="45">
        <f t="shared" si="3"/>
        <v>0</v>
      </c>
      <c r="AD112" s="45"/>
      <c r="AE112" s="48">
        <v>0</v>
      </c>
      <c r="AF112" s="48"/>
      <c r="AG112" s="45">
        <v>0</v>
      </c>
      <c r="AH112" s="45"/>
      <c r="AI112" s="45">
        <v>0</v>
      </c>
      <c r="AJ112" s="45"/>
      <c r="AK112" s="45"/>
      <c r="AL112" s="45"/>
      <c r="AM112" s="45">
        <f>+'Gen rev'!U112-'Gen exp'!AC112-AG112+'Gen rev'!W112+AI112+AK112-'Gen Bal'!S113-'Gen exp'!AE112</f>
        <v>0</v>
      </c>
      <c r="AN112" s="45"/>
      <c r="AO112" s="45"/>
      <c r="AP112" s="45"/>
      <c r="AQ112" s="45"/>
      <c r="AR112" s="52"/>
      <c r="AS112" s="50"/>
    </row>
    <row r="113" spans="1:45" s="49" customFormat="1" ht="12.75" customHeight="1">
      <c r="A113" s="28" t="s">
        <v>140</v>
      </c>
      <c r="C113" s="28" t="s">
        <v>66</v>
      </c>
      <c r="E113" s="45">
        <v>10943329</v>
      </c>
      <c r="F113" s="45"/>
      <c r="G113" s="45">
        <f>12200160+9471087</f>
        <v>21671247</v>
      </c>
      <c r="H113" s="45"/>
      <c r="I113" s="45">
        <v>0</v>
      </c>
      <c r="J113" s="45"/>
      <c r="K113" s="45">
        <v>0</v>
      </c>
      <c r="L113" s="45"/>
      <c r="M113" s="45">
        <v>2816825</v>
      </c>
      <c r="N113" s="45"/>
      <c r="O113" s="45">
        <v>0</v>
      </c>
      <c r="P113" s="45"/>
      <c r="Q113" s="45">
        <v>0</v>
      </c>
      <c r="R113" s="45"/>
      <c r="S113" s="45">
        <v>0</v>
      </c>
      <c r="T113" s="45"/>
      <c r="U113" s="45">
        <v>0</v>
      </c>
      <c r="V113" s="45"/>
      <c r="W113" s="45">
        <v>0</v>
      </c>
      <c r="X113" s="45"/>
      <c r="Y113" s="45">
        <v>0</v>
      </c>
      <c r="Z113" s="44"/>
      <c r="AA113" s="45">
        <v>0</v>
      </c>
      <c r="AB113" s="44"/>
      <c r="AC113" s="45">
        <f t="shared" si="3"/>
        <v>35431401</v>
      </c>
      <c r="AD113" s="45"/>
      <c r="AE113" s="48">
        <v>0</v>
      </c>
      <c r="AF113" s="48"/>
      <c r="AG113" s="45">
        <v>15445122</v>
      </c>
      <c r="AH113" s="45"/>
      <c r="AI113" s="45">
        <v>40526655</v>
      </c>
      <c r="AJ113" s="45"/>
      <c r="AK113" s="45">
        <v>0</v>
      </c>
      <c r="AL113" s="45"/>
      <c r="AM113" s="45">
        <f>+'Gen rev'!U113-'Gen exp'!AC113-AG113+'Gen rev'!W113+AI113+AK113-'Gen Bal'!S114-'Gen exp'!AE113</f>
        <v>0</v>
      </c>
      <c r="AN113" s="45"/>
      <c r="AO113" s="45"/>
      <c r="AP113" s="45"/>
      <c r="AQ113" s="45"/>
      <c r="AR113" s="52"/>
      <c r="AS113" s="50"/>
    </row>
    <row r="114" spans="1:45" s="49" customFormat="1" ht="12.75" customHeight="1">
      <c r="A114" s="28" t="s">
        <v>478</v>
      </c>
      <c r="C114" s="28" t="s">
        <v>92</v>
      </c>
      <c r="E114" s="45">
        <v>1676945</v>
      </c>
      <c r="F114" s="45"/>
      <c r="G114" s="45">
        <v>1330056</v>
      </c>
      <c r="H114" s="45"/>
      <c r="I114" s="45">
        <v>71964</v>
      </c>
      <c r="J114" s="45"/>
      <c r="K114" s="45">
        <v>76125</v>
      </c>
      <c r="L114" s="45"/>
      <c r="M114" s="45">
        <v>905130</v>
      </c>
      <c r="N114" s="45"/>
      <c r="O114" s="45">
        <v>126244</v>
      </c>
      <c r="P114" s="45"/>
      <c r="Q114" s="45">
        <v>0</v>
      </c>
      <c r="R114" s="45"/>
      <c r="S114" s="45">
        <v>0</v>
      </c>
      <c r="T114" s="45"/>
      <c r="U114" s="45">
        <v>0</v>
      </c>
      <c r="V114" s="45"/>
      <c r="W114" s="45">
        <v>624</v>
      </c>
      <c r="X114" s="45"/>
      <c r="Y114" s="45">
        <v>5398</v>
      </c>
      <c r="Z114" s="44"/>
      <c r="AA114" s="45">
        <v>0</v>
      </c>
      <c r="AB114" s="44"/>
      <c r="AC114" s="45">
        <f t="shared" si="3"/>
        <v>4192486</v>
      </c>
      <c r="AD114" s="45"/>
      <c r="AE114" s="48">
        <v>0</v>
      </c>
      <c r="AF114" s="48"/>
      <c r="AG114" s="45">
        <v>473889</v>
      </c>
      <c r="AH114" s="45"/>
      <c r="AI114" s="45">
        <v>251366</v>
      </c>
      <c r="AJ114" s="45"/>
      <c r="AK114" s="45">
        <v>0</v>
      </c>
      <c r="AL114" s="45"/>
      <c r="AM114" s="45">
        <f>+'Gen rev'!U114-'Gen exp'!AC114-AG114+'Gen rev'!W114+AI114+AK114-'Gen Bal'!S115-'Gen exp'!AE114</f>
        <v>0</v>
      </c>
      <c r="AN114" s="45"/>
      <c r="AO114" s="45"/>
      <c r="AP114" s="45"/>
      <c r="AQ114" s="45"/>
      <c r="AR114" s="52"/>
      <c r="AS114" s="50"/>
    </row>
    <row r="115" spans="1:45" s="49" customFormat="1" ht="12.75" customHeight="1">
      <c r="A115" s="28" t="s">
        <v>141</v>
      </c>
      <c r="C115" s="28" t="s">
        <v>27</v>
      </c>
      <c r="E115" s="45">
        <v>7652953</v>
      </c>
      <c r="F115" s="45"/>
      <c r="G115" s="45">
        <f>10941616+6863522</f>
        <v>17805138</v>
      </c>
      <c r="H115" s="45"/>
      <c r="I115" s="45">
        <v>2137091</v>
      </c>
      <c r="J115" s="45"/>
      <c r="K115" s="45">
        <v>480688</v>
      </c>
      <c r="L115" s="45"/>
      <c r="M115" s="45">
        <v>0</v>
      </c>
      <c r="N115" s="45"/>
      <c r="O115" s="45">
        <v>1509287</v>
      </c>
      <c r="P115" s="45"/>
      <c r="Q115" s="45">
        <v>3699636</v>
      </c>
      <c r="R115" s="45"/>
      <c r="S115" s="45">
        <v>4350339</v>
      </c>
      <c r="T115" s="45"/>
      <c r="U115" s="45">
        <v>0</v>
      </c>
      <c r="V115" s="45"/>
      <c r="W115" s="45">
        <v>873418</v>
      </c>
      <c r="X115" s="45"/>
      <c r="Y115" s="45">
        <v>205882</v>
      </c>
      <c r="Z115" s="44"/>
      <c r="AA115" s="45">
        <v>0</v>
      </c>
      <c r="AB115" s="44"/>
      <c r="AC115" s="45">
        <f t="shared" si="3"/>
        <v>38714432</v>
      </c>
      <c r="AD115" s="45"/>
      <c r="AE115" s="48">
        <v>0</v>
      </c>
      <c r="AF115" s="48"/>
      <c r="AG115" s="45">
        <v>1170308</v>
      </c>
      <c r="AH115" s="45"/>
      <c r="AI115" s="45">
        <v>5500844</v>
      </c>
      <c r="AJ115" s="45"/>
      <c r="AK115" s="45">
        <v>0</v>
      </c>
      <c r="AL115" s="45"/>
      <c r="AM115" s="45">
        <f>+'Gen rev'!U115-'Gen exp'!AC115-AG115+'Gen rev'!W115+AI115+AK115-'Gen Bal'!S116-'Gen exp'!AE115</f>
        <v>0</v>
      </c>
      <c r="AN115" s="45"/>
      <c r="AO115" s="45"/>
      <c r="AP115" s="45"/>
      <c r="AQ115" s="45"/>
      <c r="AR115" s="52"/>
      <c r="AS115" s="50"/>
    </row>
    <row r="116" spans="1:45" s="46" customFormat="1" ht="12.75" customHeight="1">
      <c r="A116" s="28" t="s">
        <v>142</v>
      </c>
      <c r="B116" s="49"/>
      <c r="C116" s="28" t="s">
        <v>102</v>
      </c>
      <c r="D116" s="49"/>
      <c r="E116" s="45">
        <v>6193011</v>
      </c>
      <c r="F116" s="45"/>
      <c r="G116" s="45">
        <v>16644644</v>
      </c>
      <c r="H116" s="45"/>
      <c r="I116" s="45">
        <v>139414</v>
      </c>
      <c r="J116" s="45"/>
      <c r="K116" s="45">
        <v>304589</v>
      </c>
      <c r="L116" s="45"/>
      <c r="M116" s="45">
        <v>0</v>
      </c>
      <c r="N116" s="45"/>
      <c r="O116" s="45">
        <v>0</v>
      </c>
      <c r="P116" s="45"/>
      <c r="Q116" s="45">
        <v>0</v>
      </c>
      <c r="R116" s="45"/>
      <c r="S116" s="45">
        <v>0</v>
      </c>
      <c r="T116" s="45"/>
      <c r="U116" s="45">
        <v>0</v>
      </c>
      <c r="V116" s="45"/>
      <c r="W116" s="45">
        <v>29239</v>
      </c>
      <c r="X116" s="45"/>
      <c r="Y116" s="45">
        <v>15436</v>
      </c>
      <c r="Z116" s="44"/>
      <c r="AA116" s="45">
        <v>0</v>
      </c>
      <c r="AB116" s="44"/>
      <c r="AC116" s="45">
        <f t="shared" si="3"/>
        <v>23326333</v>
      </c>
      <c r="AD116" s="45"/>
      <c r="AE116" s="48">
        <v>0</v>
      </c>
      <c r="AF116" s="48"/>
      <c r="AG116" s="45">
        <v>1576066</v>
      </c>
      <c r="AH116" s="45"/>
      <c r="AI116" s="45">
        <v>3423745</v>
      </c>
      <c r="AJ116" s="45"/>
      <c r="AK116" s="45">
        <v>11581</v>
      </c>
      <c r="AL116" s="45"/>
      <c r="AM116" s="45">
        <f>+'Gen rev'!U116-'Gen exp'!AC116-AG116+'Gen rev'!W116+AI116+AK116-'Gen Bal'!S117-'Gen exp'!AE116</f>
        <v>0</v>
      </c>
      <c r="AR116" s="90"/>
      <c r="AS116" s="64"/>
    </row>
    <row r="117" spans="1:45" s="49" customFormat="1" ht="12.75" customHeight="1">
      <c r="A117" s="28" t="s">
        <v>143</v>
      </c>
      <c r="C117" s="28" t="s">
        <v>111</v>
      </c>
      <c r="E117" s="45">
        <v>3850433</v>
      </c>
      <c r="F117" s="45"/>
      <c r="G117" s="45">
        <v>4094481</v>
      </c>
      <c r="H117" s="45"/>
      <c r="I117" s="45">
        <v>773588</v>
      </c>
      <c r="J117" s="45"/>
      <c r="K117" s="45">
        <v>0</v>
      </c>
      <c r="L117" s="45"/>
      <c r="M117" s="45">
        <v>0</v>
      </c>
      <c r="N117" s="45"/>
      <c r="O117" s="45">
        <v>384341</v>
      </c>
      <c r="P117" s="45"/>
      <c r="Q117" s="45">
        <v>0</v>
      </c>
      <c r="R117" s="45"/>
      <c r="S117" s="45">
        <v>37218</v>
      </c>
      <c r="T117" s="45"/>
      <c r="U117" s="45">
        <v>0</v>
      </c>
      <c r="V117" s="45"/>
      <c r="W117" s="45">
        <v>420</v>
      </c>
      <c r="X117" s="45"/>
      <c r="Y117" s="45">
        <v>845</v>
      </c>
      <c r="Z117" s="44"/>
      <c r="AA117" s="45">
        <v>0</v>
      </c>
      <c r="AB117" s="44"/>
      <c r="AC117" s="45">
        <f t="shared" si="3"/>
        <v>9141326</v>
      </c>
      <c r="AD117" s="45"/>
      <c r="AE117" s="48">
        <v>0</v>
      </c>
      <c r="AF117" s="48"/>
      <c r="AG117" s="45">
        <v>76120</v>
      </c>
      <c r="AH117" s="45"/>
      <c r="AI117" s="45">
        <v>4927476</v>
      </c>
      <c r="AJ117" s="45"/>
      <c r="AK117" s="45">
        <v>0</v>
      </c>
      <c r="AL117" s="45"/>
      <c r="AM117" s="45">
        <f>+'Gen rev'!U117-'Gen exp'!AC117-AG117+'Gen rev'!W117+AI117+AK117-'Gen Bal'!S118-'Gen exp'!AE117</f>
        <v>0</v>
      </c>
      <c r="AN117" s="45"/>
      <c r="AO117" s="45"/>
      <c r="AP117" s="45"/>
      <c r="AQ117" s="45"/>
      <c r="AR117" s="52"/>
      <c r="AS117" s="50"/>
    </row>
    <row r="118" spans="1:45" s="49" customFormat="1" ht="12.75" customHeight="1">
      <c r="A118" s="28" t="s">
        <v>144</v>
      </c>
      <c r="C118" s="28" t="s">
        <v>88</v>
      </c>
      <c r="E118" s="45">
        <v>7542490</v>
      </c>
      <c r="F118" s="45"/>
      <c r="G118" s="45">
        <v>14734389</v>
      </c>
      <c r="H118" s="45"/>
      <c r="I118" s="45">
        <v>836568</v>
      </c>
      <c r="J118" s="45"/>
      <c r="K118" s="45">
        <v>0</v>
      </c>
      <c r="L118" s="45"/>
      <c r="M118" s="45">
        <v>1715305</v>
      </c>
      <c r="N118" s="45"/>
      <c r="O118" s="45">
        <v>862462</v>
      </c>
      <c r="P118" s="45"/>
      <c r="Q118" s="45">
        <v>0</v>
      </c>
      <c r="R118" s="45"/>
      <c r="S118" s="45">
        <v>465217</v>
      </c>
      <c r="T118" s="45"/>
      <c r="U118" s="45">
        <v>0</v>
      </c>
      <c r="V118" s="45"/>
      <c r="W118" s="45">
        <v>750818</v>
      </c>
      <c r="X118" s="45"/>
      <c r="Y118" s="45">
        <v>34821</v>
      </c>
      <c r="Z118" s="44"/>
      <c r="AA118" s="45">
        <v>0</v>
      </c>
      <c r="AB118" s="44"/>
      <c r="AC118" s="45">
        <f t="shared" si="3"/>
        <v>26942070</v>
      </c>
      <c r="AD118" s="45"/>
      <c r="AE118" s="48">
        <v>0</v>
      </c>
      <c r="AF118" s="48"/>
      <c r="AG118" s="45">
        <v>30800</v>
      </c>
      <c r="AH118" s="45"/>
      <c r="AI118" s="45">
        <v>5291592</v>
      </c>
      <c r="AJ118" s="45"/>
      <c r="AK118" s="45">
        <v>0</v>
      </c>
      <c r="AL118" s="45"/>
      <c r="AM118" s="45">
        <f>+'Gen rev'!U118-'Gen exp'!AC118-AG118+'Gen rev'!W118+AI118+AK118-'Gen Bal'!S119-'Gen exp'!AE118</f>
        <v>0</v>
      </c>
      <c r="AN118" s="45"/>
      <c r="AO118" s="45"/>
      <c r="AP118" s="45"/>
      <c r="AQ118" s="45"/>
      <c r="AR118" s="52"/>
      <c r="AS118" s="50"/>
    </row>
    <row r="119" spans="1:45" s="49" customFormat="1" ht="12.75" customHeight="1">
      <c r="A119" s="28" t="s">
        <v>36</v>
      </c>
      <c r="C119" s="28" t="s">
        <v>145</v>
      </c>
      <c r="E119" s="45">
        <v>609678</v>
      </c>
      <c r="F119" s="45"/>
      <c r="G119" s="45">
        <f>1508470+575187</f>
        <v>2083657</v>
      </c>
      <c r="H119" s="45"/>
      <c r="I119" s="45">
        <v>10924</v>
      </c>
      <c r="J119" s="45"/>
      <c r="K119" s="45">
        <v>289267</v>
      </c>
      <c r="L119" s="45"/>
      <c r="M119" s="45">
        <v>239426</v>
      </c>
      <c r="N119" s="45"/>
      <c r="O119" s="45">
        <v>0</v>
      </c>
      <c r="P119" s="45"/>
      <c r="Q119" s="45">
        <v>2959</v>
      </c>
      <c r="R119" s="45"/>
      <c r="S119" s="45">
        <v>0</v>
      </c>
      <c r="T119" s="45"/>
      <c r="U119" s="45">
        <v>0</v>
      </c>
      <c r="V119" s="45"/>
      <c r="W119" s="45">
        <v>0</v>
      </c>
      <c r="X119" s="45"/>
      <c r="Y119" s="45">
        <v>0</v>
      </c>
      <c r="Z119" s="44"/>
      <c r="AA119" s="45">
        <v>0</v>
      </c>
      <c r="AB119" s="44"/>
      <c r="AC119" s="45">
        <f t="shared" si="3"/>
        <v>3235911</v>
      </c>
      <c r="AD119" s="45"/>
      <c r="AE119" s="48">
        <v>0</v>
      </c>
      <c r="AF119" s="48"/>
      <c r="AG119" s="45">
        <v>108000</v>
      </c>
      <c r="AH119" s="45"/>
      <c r="AI119" s="45">
        <v>1200750</v>
      </c>
      <c r="AJ119" s="45"/>
      <c r="AK119" s="45">
        <v>0</v>
      </c>
      <c r="AL119" s="45"/>
      <c r="AM119" s="45">
        <f>+'Gen rev'!U119-'Gen exp'!AC119-AG119+'Gen rev'!W119+AI119+AK119-'Gen Bal'!S120-'Gen exp'!AE119</f>
        <v>0</v>
      </c>
      <c r="AN119" s="35"/>
      <c r="AO119" s="35"/>
      <c r="AP119" s="35"/>
      <c r="AQ119" s="35"/>
      <c r="AR119" s="50"/>
      <c r="AS119" s="50"/>
    </row>
    <row r="120" spans="1:45" s="49" customFormat="1" ht="12.75" customHeight="1">
      <c r="A120" s="28" t="s">
        <v>146</v>
      </c>
      <c r="C120" s="28" t="s">
        <v>147</v>
      </c>
      <c r="E120" s="45">
        <v>755728</v>
      </c>
      <c r="F120" s="45"/>
      <c r="G120" s="45">
        <v>2452601</v>
      </c>
      <c r="H120" s="45"/>
      <c r="I120" s="45">
        <v>1571</v>
      </c>
      <c r="J120" s="45"/>
      <c r="K120" s="45">
        <v>750</v>
      </c>
      <c r="L120" s="45"/>
      <c r="M120" s="45">
        <v>0</v>
      </c>
      <c r="N120" s="45"/>
      <c r="O120" s="45">
        <v>142776</v>
      </c>
      <c r="P120" s="45"/>
      <c r="Q120" s="45">
        <v>0</v>
      </c>
      <c r="R120" s="45"/>
      <c r="S120" s="45">
        <v>0</v>
      </c>
      <c r="T120" s="45"/>
      <c r="U120" s="45">
        <v>0</v>
      </c>
      <c r="V120" s="45"/>
      <c r="W120" s="45">
        <v>1322</v>
      </c>
      <c r="X120" s="45"/>
      <c r="Y120" s="45">
        <v>0</v>
      </c>
      <c r="Z120" s="44"/>
      <c r="AA120" s="45">
        <v>0</v>
      </c>
      <c r="AB120" s="44"/>
      <c r="AC120" s="45">
        <f t="shared" si="3"/>
        <v>3354748</v>
      </c>
      <c r="AD120" s="45"/>
      <c r="AE120" s="48">
        <v>0</v>
      </c>
      <c r="AF120" s="48"/>
      <c r="AG120" s="45">
        <v>489736</v>
      </c>
      <c r="AH120" s="45"/>
      <c r="AI120" s="45">
        <v>992778</v>
      </c>
      <c r="AJ120" s="45"/>
      <c r="AK120" s="45">
        <v>0</v>
      </c>
      <c r="AL120" s="45"/>
      <c r="AM120" s="45">
        <f>+'Gen rev'!U120-'Gen exp'!AC120-AG120+'Gen rev'!W120+AI120+AK120-'Gen Bal'!S121-'Gen exp'!AE120</f>
        <v>0</v>
      </c>
      <c r="AN120" s="44"/>
      <c r="AO120" s="44"/>
      <c r="AP120" s="44"/>
      <c r="AQ120" s="44"/>
    </row>
    <row r="121" spans="1:45" s="49" customFormat="1" ht="12.75" customHeight="1">
      <c r="A121" s="28" t="s">
        <v>17</v>
      </c>
      <c r="C121" s="28" t="s">
        <v>17</v>
      </c>
      <c r="E121" s="45">
        <v>8266392</v>
      </c>
      <c r="F121" s="45"/>
      <c r="G121" s="45">
        <v>16372692</v>
      </c>
      <c r="H121" s="45"/>
      <c r="I121" s="45">
        <v>410746</v>
      </c>
      <c r="J121" s="45"/>
      <c r="K121" s="45">
        <v>289792</v>
      </c>
      <c r="L121" s="45"/>
      <c r="M121" s="45">
        <v>0</v>
      </c>
      <c r="N121" s="45"/>
      <c r="O121" s="45">
        <v>915190</v>
      </c>
      <c r="P121" s="45"/>
      <c r="Q121" s="45">
        <v>0</v>
      </c>
      <c r="R121" s="45"/>
      <c r="S121" s="45">
        <v>0</v>
      </c>
      <c r="T121" s="45"/>
      <c r="U121" s="45">
        <v>0</v>
      </c>
      <c r="V121" s="45"/>
      <c r="W121" s="45">
        <v>376515</v>
      </c>
      <c r="X121" s="45"/>
      <c r="Y121" s="45">
        <v>93084</v>
      </c>
      <c r="Z121" s="44"/>
      <c r="AA121" s="45">
        <v>0</v>
      </c>
      <c r="AB121" s="44"/>
      <c r="AC121" s="45">
        <f t="shared" si="3"/>
        <v>26724411</v>
      </c>
      <c r="AD121" s="45"/>
      <c r="AE121" s="48">
        <v>0</v>
      </c>
      <c r="AF121" s="48"/>
      <c r="AG121" s="45">
        <v>1638275</v>
      </c>
      <c r="AH121" s="45"/>
      <c r="AI121" s="45">
        <v>469542</v>
      </c>
      <c r="AJ121" s="45"/>
      <c r="AK121" s="45">
        <v>0</v>
      </c>
      <c r="AL121" s="45"/>
      <c r="AM121" s="45">
        <f>+'Gen rev'!U121-'Gen exp'!AC121-AG121+'Gen rev'!W121+AI121+AK121-'Gen Bal'!S122-'Gen exp'!AE121</f>
        <v>0</v>
      </c>
      <c r="AN121" s="44"/>
      <c r="AO121" s="44"/>
      <c r="AP121" s="44"/>
      <c r="AQ121" s="44"/>
    </row>
    <row r="122" spans="1:45" s="49" customFormat="1" ht="12.75" customHeight="1">
      <c r="A122" s="28" t="s">
        <v>148</v>
      </c>
      <c r="C122" s="28" t="s">
        <v>15</v>
      </c>
      <c r="E122" s="45">
        <v>883666</v>
      </c>
      <c r="F122" s="45"/>
      <c r="G122" s="45">
        <v>1735155</v>
      </c>
      <c r="H122" s="45"/>
      <c r="I122" s="45">
        <v>211481</v>
      </c>
      <c r="J122" s="45"/>
      <c r="K122" s="45">
        <v>77436</v>
      </c>
      <c r="L122" s="45"/>
      <c r="M122" s="45">
        <v>0</v>
      </c>
      <c r="N122" s="45"/>
      <c r="O122" s="45">
        <v>237224</v>
      </c>
      <c r="P122" s="45"/>
      <c r="Q122" s="45">
        <v>0</v>
      </c>
      <c r="R122" s="45"/>
      <c r="S122" s="45">
        <v>53410</v>
      </c>
      <c r="T122" s="45"/>
      <c r="U122" s="45">
        <v>0</v>
      </c>
      <c r="V122" s="45"/>
      <c r="W122" s="45">
        <v>28711</v>
      </c>
      <c r="X122" s="45"/>
      <c r="Y122" s="45">
        <v>2140</v>
      </c>
      <c r="Z122" s="44"/>
      <c r="AA122" s="45">
        <v>0</v>
      </c>
      <c r="AB122" s="44"/>
      <c r="AC122" s="45">
        <f t="shared" si="3"/>
        <v>3229223</v>
      </c>
      <c r="AD122" s="45"/>
      <c r="AE122" s="48">
        <v>0</v>
      </c>
      <c r="AF122" s="48"/>
      <c r="AG122" s="45">
        <v>445788</v>
      </c>
      <c r="AH122" s="45"/>
      <c r="AI122" s="45">
        <v>1437202</v>
      </c>
      <c r="AJ122" s="45"/>
      <c r="AK122" s="45">
        <v>0</v>
      </c>
      <c r="AL122" s="45"/>
      <c r="AM122" s="45">
        <f>+'Gen rev'!U122-'Gen exp'!AC122-AG122+'Gen rev'!W122+AI122+AK122-'Gen Bal'!S123-'Gen exp'!AE122</f>
        <v>0</v>
      </c>
      <c r="AN122" s="44"/>
      <c r="AO122" s="44"/>
      <c r="AP122" s="44"/>
      <c r="AQ122" s="44"/>
    </row>
    <row r="123" spans="1:45" s="46" customFormat="1" ht="12.75" customHeight="1">
      <c r="A123" s="28" t="s">
        <v>149</v>
      </c>
      <c r="B123" s="49"/>
      <c r="C123" s="28" t="s">
        <v>45</v>
      </c>
      <c r="D123" s="49"/>
      <c r="E123" s="45">
        <v>2492968</v>
      </c>
      <c r="F123" s="45"/>
      <c r="G123" s="45">
        <v>2459368</v>
      </c>
      <c r="H123" s="45"/>
      <c r="I123" s="45">
        <v>209411</v>
      </c>
      <c r="J123" s="45"/>
      <c r="K123" s="45">
        <v>0</v>
      </c>
      <c r="L123" s="45"/>
      <c r="M123" s="45">
        <v>0</v>
      </c>
      <c r="N123" s="45"/>
      <c r="O123" s="45">
        <v>415471</v>
      </c>
      <c r="P123" s="45"/>
      <c r="Q123" s="45">
        <v>0</v>
      </c>
      <c r="R123" s="45"/>
      <c r="S123" s="45">
        <v>0</v>
      </c>
      <c r="T123" s="45"/>
      <c r="U123" s="45">
        <v>0</v>
      </c>
      <c r="V123" s="45"/>
      <c r="W123" s="45">
        <v>70608</v>
      </c>
      <c r="X123" s="45"/>
      <c r="Y123" s="45">
        <v>73644</v>
      </c>
      <c r="Z123" s="44"/>
      <c r="AA123" s="45">
        <v>0</v>
      </c>
      <c r="AB123" s="44"/>
      <c r="AC123" s="45">
        <f t="shared" si="3"/>
        <v>5721470</v>
      </c>
      <c r="AD123" s="45"/>
      <c r="AE123" s="48">
        <v>0</v>
      </c>
      <c r="AF123" s="48"/>
      <c r="AG123" s="45">
        <v>73568</v>
      </c>
      <c r="AH123" s="45"/>
      <c r="AI123" s="45">
        <v>-168251</v>
      </c>
      <c r="AJ123" s="45"/>
      <c r="AK123" s="45">
        <v>-228</v>
      </c>
      <c r="AL123" s="45"/>
      <c r="AM123" s="45">
        <f>+'Gen rev'!U123-'Gen exp'!AC123-AG123+'Gen rev'!W123+AI123+AK123-'Gen Bal'!S124-'Gen exp'!AE123</f>
        <v>0</v>
      </c>
    </row>
    <row r="124" spans="1:45" s="49" customFormat="1" ht="12.75" customHeight="1">
      <c r="A124" s="28" t="s">
        <v>150</v>
      </c>
      <c r="C124" s="28" t="s">
        <v>27</v>
      </c>
      <c r="E124" s="45">
        <v>4136925</v>
      </c>
      <c r="F124" s="45"/>
      <c r="G124" s="45">
        <v>6892031</v>
      </c>
      <c r="H124" s="45"/>
      <c r="I124" s="45">
        <v>369331</v>
      </c>
      <c r="J124" s="45"/>
      <c r="K124" s="45">
        <v>56532</v>
      </c>
      <c r="L124" s="45"/>
      <c r="M124" s="45">
        <v>0</v>
      </c>
      <c r="N124" s="45"/>
      <c r="O124" s="45">
        <v>678426</v>
      </c>
      <c r="P124" s="45"/>
      <c r="Q124" s="45">
        <v>1171456</v>
      </c>
      <c r="R124" s="45"/>
      <c r="S124" s="45">
        <v>0</v>
      </c>
      <c r="T124" s="45"/>
      <c r="U124" s="45">
        <v>0</v>
      </c>
      <c r="V124" s="45"/>
      <c r="W124" s="45">
        <v>0</v>
      </c>
      <c r="X124" s="45"/>
      <c r="Y124" s="45">
        <v>0</v>
      </c>
      <c r="Z124" s="44"/>
      <c r="AA124" s="45">
        <v>0</v>
      </c>
      <c r="AB124" s="44"/>
      <c r="AC124" s="45">
        <f t="shared" si="3"/>
        <v>13304701</v>
      </c>
      <c r="AD124" s="45"/>
      <c r="AE124" s="48">
        <v>0</v>
      </c>
      <c r="AF124" s="48"/>
      <c r="AG124" s="45">
        <v>850475</v>
      </c>
      <c r="AH124" s="45"/>
      <c r="AI124" s="45">
        <v>4198673</v>
      </c>
      <c r="AJ124" s="45"/>
      <c r="AK124" s="45">
        <v>18082</v>
      </c>
      <c r="AL124" s="45"/>
      <c r="AM124" s="45">
        <f>+'Gen rev'!U124-'Gen exp'!AC124-AG124+'Gen rev'!W124+AI124+AK124-'Gen Bal'!S125-'Gen exp'!AE124</f>
        <v>0</v>
      </c>
      <c r="AN124" s="44"/>
      <c r="AO124" s="44"/>
      <c r="AP124" s="44"/>
      <c r="AQ124" s="44"/>
    </row>
    <row r="125" spans="1:45" s="46" customFormat="1" ht="12.75" customHeight="1">
      <c r="A125" s="28" t="s">
        <v>151</v>
      </c>
      <c r="B125" s="49"/>
      <c r="C125" s="28" t="s">
        <v>13</v>
      </c>
      <c r="D125" s="49"/>
      <c r="E125" s="45">
        <v>2323824</v>
      </c>
      <c r="F125" s="45"/>
      <c r="G125" s="45">
        <v>4511585</v>
      </c>
      <c r="H125" s="45"/>
      <c r="I125" s="45">
        <v>474299</v>
      </c>
      <c r="J125" s="45"/>
      <c r="K125" s="45">
        <v>212259</v>
      </c>
      <c r="L125" s="45"/>
      <c r="M125" s="45">
        <v>0</v>
      </c>
      <c r="N125" s="45"/>
      <c r="O125" s="45">
        <v>3139</v>
      </c>
      <c r="P125" s="45"/>
      <c r="Q125" s="45">
        <v>148931</v>
      </c>
      <c r="R125" s="45"/>
      <c r="S125" s="45">
        <v>29813</v>
      </c>
      <c r="T125" s="45"/>
      <c r="U125" s="45">
        <v>0</v>
      </c>
      <c r="V125" s="45"/>
      <c r="W125" s="45">
        <v>469437</v>
      </c>
      <c r="X125" s="45"/>
      <c r="Y125" s="45">
        <v>151037</v>
      </c>
      <c r="Z125" s="44"/>
      <c r="AA125" s="45">
        <v>0</v>
      </c>
      <c r="AB125" s="44"/>
      <c r="AC125" s="45">
        <f t="shared" si="3"/>
        <v>8324324</v>
      </c>
      <c r="AD125" s="45"/>
      <c r="AE125" s="48">
        <v>0</v>
      </c>
      <c r="AF125" s="48"/>
      <c r="AG125" s="45">
        <v>1682216</v>
      </c>
      <c r="AH125" s="45"/>
      <c r="AI125" s="45">
        <v>1631302</v>
      </c>
      <c r="AJ125" s="45"/>
      <c r="AK125" s="45">
        <v>0</v>
      </c>
      <c r="AL125" s="45"/>
      <c r="AM125" s="45">
        <f>+'Gen rev'!U126-'Gen exp'!AC125-AG125+'Gen rev'!W126+AI125+AK125-'Gen Bal'!S126-'Gen exp'!AE125</f>
        <v>0</v>
      </c>
    </row>
    <row r="126" spans="1:45" s="46" customFormat="1" ht="12.75" customHeight="1">
      <c r="A126" s="28" t="s">
        <v>481</v>
      </c>
      <c r="B126" s="49"/>
      <c r="C126" s="28" t="s">
        <v>45</v>
      </c>
      <c r="D126" s="49"/>
      <c r="E126" s="45">
        <v>931392</v>
      </c>
      <c r="F126" s="45"/>
      <c r="G126" s="45">
        <v>3125738</v>
      </c>
      <c r="H126" s="45"/>
      <c r="I126" s="45">
        <v>85179</v>
      </c>
      <c r="J126" s="45"/>
      <c r="K126" s="45">
        <v>517959</v>
      </c>
      <c r="L126" s="45"/>
      <c r="M126" s="45">
        <v>684397</v>
      </c>
      <c r="N126" s="45"/>
      <c r="O126" s="45">
        <v>141114</v>
      </c>
      <c r="P126" s="45"/>
      <c r="Q126" s="45">
        <v>0</v>
      </c>
      <c r="R126" s="45"/>
      <c r="S126" s="45">
        <v>0</v>
      </c>
      <c r="T126" s="45"/>
      <c r="U126" s="45">
        <v>0</v>
      </c>
      <c r="V126" s="45"/>
      <c r="W126" s="45">
        <v>0</v>
      </c>
      <c r="X126" s="45"/>
      <c r="Y126" s="45">
        <v>0</v>
      </c>
      <c r="Z126" s="44"/>
      <c r="AA126" s="45">
        <v>0</v>
      </c>
      <c r="AB126" s="44"/>
      <c r="AC126" s="45">
        <f t="shared" si="3"/>
        <v>5485779</v>
      </c>
      <c r="AD126" s="45"/>
      <c r="AE126" s="48">
        <v>0</v>
      </c>
      <c r="AF126" s="48"/>
      <c r="AG126" s="45">
        <v>477000</v>
      </c>
      <c r="AH126" s="45"/>
      <c r="AI126" s="45">
        <v>2014123</v>
      </c>
      <c r="AJ126" s="45"/>
      <c r="AK126" s="45">
        <v>0</v>
      </c>
      <c r="AL126" s="45"/>
      <c r="AM126" s="45">
        <f>+'Gen rev'!U127-'Gen exp'!AC126-AG126+'Gen rev'!W127+AI126+AK126-'Gen Bal'!S127-'Gen exp'!AE126</f>
        <v>0</v>
      </c>
    </row>
    <row r="127" spans="1:45" s="49" customFormat="1" ht="12.75" customHeight="1">
      <c r="A127" s="28" t="s">
        <v>152</v>
      </c>
      <c r="C127" s="28" t="s">
        <v>153</v>
      </c>
      <c r="E127" s="45">
        <v>6501283</v>
      </c>
      <c r="F127" s="45"/>
      <c r="G127" s="45">
        <v>2108585</v>
      </c>
      <c r="H127" s="45"/>
      <c r="I127" s="45">
        <v>339994</v>
      </c>
      <c r="J127" s="45"/>
      <c r="K127" s="45">
        <v>29159</v>
      </c>
      <c r="L127" s="45"/>
      <c r="M127" s="45">
        <v>0</v>
      </c>
      <c r="N127" s="45"/>
      <c r="O127" s="45">
        <v>194700</v>
      </c>
      <c r="P127" s="45"/>
      <c r="Q127" s="45">
        <v>0</v>
      </c>
      <c r="R127" s="45"/>
      <c r="S127" s="45">
        <v>0</v>
      </c>
      <c r="T127" s="45"/>
      <c r="U127" s="45">
        <v>0</v>
      </c>
      <c r="V127" s="45"/>
      <c r="W127" s="45">
        <v>0</v>
      </c>
      <c r="X127" s="45"/>
      <c r="Y127" s="45">
        <v>0</v>
      </c>
      <c r="Z127" s="44"/>
      <c r="AA127" s="45">
        <v>0</v>
      </c>
      <c r="AB127" s="44"/>
      <c r="AC127" s="45">
        <f t="shared" si="3"/>
        <v>9173721</v>
      </c>
      <c r="AD127" s="45"/>
      <c r="AE127" s="48">
        <v>0</v>
      </c>
      <c r="AF127" s="48"/>
      <c r="AG127" s="45">
        <v>758467</v>
      </c>
      <c r="AH127" s="45"/>
      <c r="AI127" s="45">
        <v>1424779</v>
      </c>
      <c r="AJ127" s="45"/>
      <c r="AK127" s="45">
        <v>-5397</v>
      </c>
      <c r="AL127" s="45"/>
      <c r="AM127" s="45">
        <f>+'Gen rev'!U128-'Gen exp'!AC127-AG127+'Gen rev'!W128+AI127+AK127-'Gen Bal'!S128-'Gen exp'!AE127</f>
        <v>0</v>
      </c>
      <c r="AN127" s="44"/>
      <c r="AO127" s="44"/>
      <c r="AP127" s="44"/>
      <c r="AQ127" s="44"/>
    </row>
    <row r="128" spans="1:45" s="46" customFormat="1" ht="12.75" customHeight="1">
      <c r="A128" s="28" t="s">
        <v>154</v>
      </c>
      <c r="B128" s="49"/>
      <c r="C128" s="28" t="s">
        <v>27</v>
      </c>
      <c r="D128" s="49"/>
      <c r="E128" s="45">
        <v>3633626</v>
      </c>
      <c r="F128" s="45"/>
      <c r="G128" s="45">
        <v>8233733</v>
      </c>
      <c r="H128" s="45"/>
      <c r="I128" s="45">
        <v>617939</v>
      </c>
      <c r="J128" s="45"/>
      <c r="K128" s="45">
        <v>113265</v>
      </c>
      <c r="L128" s="45"/>
      <c r="M128" s="45">
        <v>0</v>
      </c>
      <c r="N128" s="45"/>
      <c r="O128" s="45">
        <v>756279</v>
      </c>
      <c r="P128" s="45"/>
      <c r="Q128" s="45">
        <v>919073</v>
      </c>
      <c r="R128" s="45"/>
      <c r="S128" s="45">
        <v>0</v>
      </c>
      <c r="T128" s="45"/>
      <c r="U128" s="45">
        <v>0</v>
      </c>
      <c r="V128" s="45"/>
      <c r="W128" s="45">
        <v>0</v>
      </c>
      <c r="X128" s="45"/>
      <c r="Y128" s="45">
        <v>0</v>
      </c>
      <c r="Z128" s="44"/>
      <c r="AA128" s="45">
        <v>0</v>
      </c>
      <c r="AB128" s="44"/>
      <c r="AC128" s="45">
        <f t="shared" si="3"/>
        <v>14273915</v>
      </c>
      <c r="AD128" s="45"/>
      <c r="AE128" s="48">
        <v>0</v>
      </c>
      <c r="AF128" s="48"/>
      <c r="AG128" s="45">
        <v>980000</v>
      </c>
      <c r="AH128" s="45"/>
      <c r="AI128" s="45">
        <v>491047</v>
      </c>
      <c r="AJ128" s="45"/>
      <c r="AK128" s="45"/>
      <c r="AL128" s="45"/>
      <c r="AM128" s="45">
        <f>+'Gen rev'!U129-'Gen exp'!AC128-AG128+'Gen rev'!W129+AI128+AK128-'Gen Bal'!S129-'Gen exp'!AE128</f>
        <v>0</v>
      </c>
    </row>
    <row r="129" spans="1:45" s="49" customFormat="1" ht="12.75" customHeight="1">
      <c r="A129" s="28" t="s">
        <v>155</v>
      </c>
      <c r="C129" s="28" t="s">
        <v>40</v>
      </c>
      <c r="E129" s="45">
        <f>3445264+767815</f>
        <v>4213079</v>
      </c>
      <c r="F129" s="45"/>
      <c r="G129" s="45">
        <f>2987358+2076408</f>
        <v>5063766</v>
      </c>
      <c r="H129" s="45"/>
      <c r="I129" s="45">
        <v>0</v>
      </c>
      <c r="J129" s="45"/>
      <c r="K129" s="45">
        <v>425816</v>
      </c>
      <c r="L129" s="45"/>
      <c r="M129" s="45">
        <v>0</v>
      </c>
      <c r="N129" s="45"/>
      <c r="O129" s="45">
        <v>0</v>
      </c>
      <c r="P129" s="45"/>
      <c r="Q129" s="45">
        <v>0</v>
      </c>
      <c r="R129" s="45"/>
      <c r="S129" s="45">
        <v>0</v>
      </c>
      <c r="T129" s="45"/>
      <c r="U129" s="45">
        <v>0</v>
      </c>
      <c r="V129" s="45"/>
      <c r="W129" s="45">
        <v>51200</v>
      </c>
      <c r="X129" s="45"/>
      <c r="Y129" s="45">
        <v>13878</v>
      </c>
      <c r="Z129" s="44"/>
      <c r="AA129" s="45">
        <v>0</v>
      </c>
      <c r="AB129" s="44"/>
      <c r="AC129" s="45">
        <f t="shared" si="3"/>
        <v>9767739</v>
      </c>
      <c r="AD129" s="45"/>
      <c r="AE129" s="48">
        <v>0</v>
      </c>
      <c r="AF129" s="48"/>
      <c r="AG129" s="45">
        <v>138985</v>
      </c>
      <c r="AH129" s="45"/>
      <c r="AI129" s="45">
        <v>2640227</v>
      </c>
      <c r="AJ129" s="45"/>
      <c r="AK129" s="45">
        <v>0</v>
      </c>
      <c r="AL129" s="45"/>
      <c r="AM129" s="45">
        <f>+'Gen rev'!U130-'Gen exp'!AC129-AG129+'Gen rev'!W130+AI129+AK129-'Gen Bal'!S130-'Gen exp'!AE129</f>
        <v>0</v>
      </c>
      <c r="AN129" s="44"/>
      <c r="AO129" s="44"/>
      <c r="AP129" s="44"/>
      <c r="AQ129" s="44"/>
    </row>
    <row r="130" spans="1:45" s="49" customFormat="1" ht="12.75" customHeight="1">
      <c r="A130" s="28" t="s">
        <v>156</v>
      </c>
      <c r="C130" s="28" t="s">
        <v>156</v>
      </c>
      <c r="E130" s="45">
        <f>816545+2790822</f>
        <v>3607367</v>
      </c>
      <c r="F130" s="45"/>
      <c r="G130" s="45">
        <f>6879303+5842314+272940</f>
        <v>12994557</v>
      </c>
      <c r="H130" s="45"/>
      <c r="I130" s="45">
        <v>412973</v>
      </c>
      <c r="J130" s="45"/>
      <c r="K130" s="45">
        <v>1194396</v>
      </c>
      <c r="L130" s="45"/>
      <c r="M130" s="45">
        <v>303991</v>
      </c>
      <c r="N130" s="45"/>
      <c r="O130" s="45">
        <v>749472</v>
      </c>
      <c r="P130" s="45"/>
      <c r="Q130" s="45">
        <v>0</v>
      </c>
      <c r="R130" s="45"/>
      <c r="S130" s="45">
        <v>0</v>
      </c>
      <c r="T130" s="45"/>
      <c r="U130" s="45">
        <v>0</v>
      </c>
      <c r="V130" s="45"/>
      <c r="W130" s="45">
        <v>0</v>
      </c>
      <c r="X130" s="45"/>
      <c r="Y130" s="45">
        <v>0</v>
      </c>
      <c r="Z130" s="44"/>
      <c r="AA130" s="45">
        <v>0</v>
      </c>
      <c r="AB130" s="44"/>
      <c r="AC130" s="45">
        <f t="shared" ref="AC130:AC194" si="4">SUM(E130:AA130)</f>
        <v>19262756</v>
      </c>
      <c r="AD130" s="45"/>
      <c r="AE130" s="48">
        <v>0</v>
      </c>
      <c r="AF130" s="48"/>
      <c r="AG130" s="45">
        <v>1049241</v>
      </c>
      <c r="AH130" s="94"/>
      <c r="AI130" s="94">
        <v>3166141</v>
      </c>
      <c r="AJ130" s="94"/>
      <c r="AK130" s="94">
        <v>0</v>
      </c>
      <c r="AL130" s="94"/>
      <c r="AM130" s="94">
        <f>+'Gen rev'!U131-'Gen exp'!AC130-AG130+'Gen rev'!W131+AI130+AK130-'Gen Bal'!S131-'Gen exp'!AE130</f>
        <v>0</v>
      </c>
      <c r="AN130" s="94"/>
      <c r="AO130" s="94"/>
      <c r="AP130" s="45"/>
      <c r="AQ130" s="45"/>
      <c r="AR130" s="52"/>
      <c r="AS130" s="50"/>
    </row>
    <row r="131" spans="1:45" s="49" customFormat="1" ht="12.75" customHeight="1">
      <c r="A131" s="28" t="s">
        <v>157</v>
      </c>
      <c r="C131" s="28" t="s">
        <v>33</v>
      </c>
      <c r="E131" s="45">
        <v>604136</v>
      </c>
      <c r="F131" s="45"/>
      <c r="G131" s="45">
        <v>1278192</v>
      </c>
      <c r="H131" s="45"/>
      <c r="I131" s="45">
        <v>0</v>
      </c>
      <c r="J131" s="45"/>
      <c r="K131" s="45">
        <v>20408</v>
      </c>
      <c r="L131" s="45"/>
      <c r="M131" s="45">
        <v>0</v>
      </c>
      <c r="N131" s="45"/>
      <c r="O131" s="45">
        <v>0</v>
      </c>
      <c r="P131" s="45"/>
      <c r="Q131" s="45">
        <v>0</v>
      </c>
      <c r="R131" s="45"/>
      <c r="S131" s="45">
        <v>0</v>
      </c>
      <c r="T131" s="45"/>
      <c r="U131" s="45">
        <v>0</v>
      </c>
      <c r="V131" s="45"/>
      <c r="W131" s="45">
        <v>0</v>
      </c>
      <c r="X131" s="45"/>
      <c r="Y131" s="45">
        <v>0</v>
      </c>
      <c r="Z131" s="44"/>
      <c r="AA131" s="45">
        <v>0</v>
      </c>
      <c r="AB131" s="44"/>
      <c r="AC131" s="45">
        <f t="shared" si="4"/>
        <v>1902736</v>
      </c>
      <c r="AD131" s="45"/>
      <c r="AE131" s="48">
        <v>0</v>
      </c>
      <c r="AF131" s="48"/>
      <c r="AG131" s="45">
        <v>128000</v>
      </c>
      <c r="AH131" s="45"/>
      <c r="AI131" s="45">
        <v>456322</v>
      </c>
      <c r="AJ131" s="45"/>
      <c r="AK131" s="45">
        <v>0</v>
      </c>
      <c r="AL131" s="45"/>
      <c r="AM131" s="45">
        <f>+'Gen rev'!U132-'Gen exp'!AC131-AG131+'Gen rev'!W132+AI131+AK131-'Gen Bal'!S132-'Gen exp'!AE131</f>
        <v>0</v>
      </c>
      <c r="AN131" s="44"/>
      <c r="AO131" s="44"/>
      <c r="AP131" s="44"/>
      <c r="AQ131" s="44"/>
    </row>
    <row r="132" spans="1:45" s="49" customFormat="1" ht="12.75" customHeight="1">
      <c r="A132" s="64" t="s">
        <v>158</v>
      </c>
      <c r="B132" s="46"/>
      <c r="C132" s="64" t="s">
        <v>159</v>
      </c>
      <c r="D132" s="46"/>
      <c r="E132" s="45">
        <v>2441499</v>
      </c>
      <c r="F132" s="45"/>
      <c r="G132" s="45">
        <f>3425545+2847434+747600</f>
        <v>7020579</v>
      </c>
      <c r="H132" s="45"/>
      <c r="I132" s="45">
        <v>538742</v>
      </c>
      <c r="J132" s="45"/>
      <c r="K132" s="45">
        <v>511593</v>
      </c>
      <c r="L132" s="45"/>
      <c r="M132" s="45">
        <v>0</v>
      </c>
      <c r="N132" s="45"/>
      <c r="O132" s="45">
        <v>144179</v>
      </c>
      <c r="P132" s="45"/>
      <c r="Q132" s="45">
        <v>0</v>
      </c>
      <c r="R132" s="45"/>
      <c r="S132" s="45">
        <v>20650</v>
      </c>
      <c r="T132" s="45"/>
      <c r="U132" s="45">
        <v>0</v>
      </c>
      <c r="V132" s="45"/>
      <c r="W132" s="45">
        <v>53875</v>
      </c>
      <c r="X132" s="45"/>
      <c r="Y132" s="45">
        <v>10307</v>
      </c>
      <c r="Z132" s="44"/>
      <c r="AA132" s="45">
        <v>0</v>
      </c>
      <c r="AB132" s="44"/>
      <c r="AC132" s="45">
        <f t="shared" si="4"/>
        <v>10741424</v>
      </c>
      <c r="AD132" s="45"/>
      <c r="AE132" s="48">
        <v>0</v>
      </c>
      <c r="AF132" s="48"/>
      <c r="AG132" s="45">
        <v>2302557</v>
      </c>
      <c r="AH132" s="45"/>
      <c r="AI132" s="45">
        <v>5013722</v>
      </c>
      <c r="AJ132" s="45"/>
      <c r="AK132" s="45">
        <v>0</v>
      </c>
      <c r="AL132" s="45"/>
      <c r="AM132" s="45">
        <f>+'Gen rev'!U133-'Gen exp'!AC132-AG132+'Gen rev'!W133+AI132+AK132-'Gen Bal'!S133-'Gen exp'!AE132</f>
        <v>0</v>
      </c>
      <c r="AN132" s="45"/>
      <c r="AO132" s="45"/>
      <c r="AP132" s="45"/>
      <c r="AQ132" s="45"/>
      <c r="AR132" s="52"/>
      <c r="AS132" s="50"/>
    </row>
    <row r="133" spans="1:45" s="46" customFormat="1" ht="12.75" customHeight="1">
      <c r="A133" s="64" t="s">
        <v>160</v>
      </c>
      <c r="C133" s="64" t="s">
        <v>111</v>
      </c>
      <c r="E133" s="45">
        <v>8040328</v>
      </c>
      <c r="F133" s="45"/>
      <c r="G133" s="45">
        <v>6263465</v>
      </c>
      <c r="H133" s="45"/>
      <c r="I133" s="45">
        <v>1393892</v>
      </c>
      <c r="J133" s="45"/>
      <c r="K133" s="45">
        <v>0</v>
      </c>
      <c r="L133" s="45"/>
      <c r="M133" s="45">
        <v>2675311</v>
      </c>
      <c r="N133" s="45"/>
      <c r="O133" s="45">
        <v>2362857</v>
      </c>
      <c r="P133" s="45"/>
      <c r="Q133" s="45">
        <v>233714</v>
      </c>
      <c r="R133" s="45"/>
      <c r="S133" s="45">
        <v>4116051</v>
      </c>
      <c r="T133" s="45"/>
      <c r="U133" s="45">
        <v>0</v>
      </c>
      <c r="V133" s="45"/>
      <c r="W133" s="45">
        <v>0</v>
      </c>
      <c r="X133" s="45"/>
      <c r="Y133" s="45">
        <v>73949</v>
      </c>
      <c r="Z133" s="44"/>
      <c r="AA133" s="45">
        <v>0</v>
      </c>
      <c r="AB133" s="44"/>
      <c r="AC133" s="45">
        <f t="shared" si="4"/>
        <v>25159567</v>
      </c>
      <c r="AD133" s="45"/>
      <c r="AE133" s="48">
        <v>0</v>
      </c>
      <c r="AF133" s="48"/>
      <c r="AG133" s="45">
        <v>10755888</v>
      </c>
      <c r="AH133" s="45"/>
      <c r="AI133" s="45">
        <v>24652873</v>
      </c>
      <c r="AJ133" s="45"/>
      <c r="AK133" s="45">
        <v>112519</v>
      </c>
      <c r="AL133" s="45"/>
      <c r="AM133" s="45">
        <f>+'Gen rev'!U134-'Gen exp'!AC133-AG133+'Gen rev'!W134+AI133+AK133-'Gen Bal'!S134-'Gen exp'!AE133</f>
        <v>0</v>
      </c>
      <c r="AN133" s="90"/>
      <c r="AO133" s="90"/>
      <c r="AP133" s="90"/>
      <c r="AQ133" s="90"/>
      <c r="AR133" s="90"/>
      <c r="AS133" s="64"/>
    </row>
    <row r="134" spans="1:45" s="49" customFormat="1" ht="12.75" customHeight="1">
      <c r="A134" s="28" t="s">
        <v>161</v>
      </c>
      <c r="C134" s="28" t="s">
        <v>15</v>
      </c>
      <c r="E134" s="45">
        <v>5365520</v>
      </c>
      <c r="F134" s="45"/>
      <c r="G134" s="45">
        <v>8271266</v>
      </c>
      <c r="H134" s="45"/>
      <c r="I134" s="45">
        <v>0</v>
      </c>
      <c r="J134" s="45"/>
      <c r="K134" s="45">
        <v>267324</v>
      </c>
      <c r="L134" s="45"/>
      <c r="M134" s="45">
        <v>1105330</v>
      </c>
      <c r="N134" s="45"/>
      <c r="O134" s="45">
        <v>0</v>
      </c>
      <c r="P134" s="45"/>
      <c r="Q134" s="45">
        <v>0</v>
      </c>
      <c r="R134" s="45"/>
      <c r="S134" s="45">
        <v>0</v>
      </c>
      <c r="T134" s="45"/>
      <c r="U134" s="45">
        <v>0</v>
      </c>
      <c r="V134" s="45"/>
      <c r="W134" s="45">
        <v>0</v>
      </c>
      <c r="X134" s="45"/>
      <c r="Y134" s="45">
        <v>0</v>
      </c>
      <c r="Z134" s="44"/>
      <c r="AA134" s="45">
        <v>0</v>
      </c>
      <c r="AB134" s="44"/>
      <c r="AC134" s="45">
        <f t="shared" si="4"/>
        <v>15009440</v>
      </c>
      <c r="AD134" s="45"/>
      <c r="AE134" s="48">
        <v>0</v>
      </c>
      <c r="AF134" s="48"/>
      <c r="AG134" s="45">
        <v>1505396</v>
      </c>
      <c r="AH134" s="45"/>
      <c r="AI134" s="45">
        <v>1243246</v>
      </c>
      <c r="AJ134" s="45"/>
      <c r="AK134" s="45">
        <v>0</v>
      </c>
      <c r="AL134" s="45"/>
      <c r="AM134" s="45">
        <f>+'Gen rev'!U135-'Gen exp'!AC134-AG134+'Gen rev'!W135+AI134+AK134-'Gen Bal'!S135-'Gen exp'!AE134</f>
        <v>0</v>
      </c>
      <c r="AN134" s="45"/>
      <c r="AO134" s="45"/>
      <c r="AP134" s="45"/>
      <c r="AQ134" s="45"/>
      <c r="AR134" s="52"/>
      <c r="AS134" s="50"/>
    </row>
    <row r="135" spans="1:45" s="49" customFormat="1" ht="12.75" customHeight="1">
      <c r="A135" s="28"/>
      <c r="C135" s="28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4"/>
      <c r="AA135" s="45"/>
      <c r="AB135" s="44"/>
      <c r="AC135" s="45"/>
      <c r="AD135" s="45"/>
      <c r="AE135" s="48"/>
      <c r="AF135" s="48"/>
      <c r="AG135" s="48" t="s">
        <v>484</v>
      </c>
      <c r="AH135" s="45"/>
      <c r="AI135" s="45"/>
      <c r="AJ135" s="45"/>
      <c r="AK135" s="45"/>
      <c r="AL135" s="45"/>
      <c r="AM135" s="45"/>
      <c r="AN135" s="44"/>
      <c r="AO135" s="44"/>
      <c r="AP135" s="44"/>
      <c r="AQ135" s="44"/>
    </row>
    <row r="136" spans="1:45" s="49" customFormat="1" ht="12.75" customHeight="1">
      <c r="A136" s="28" t="s">
        <v>162</v>
      </c>
      <c r="C136" s="28" t="s">
        <v>163</v>
      </c>
      <c r="E136" s="94">
        <v>3125269</v>
      </c>
      <c r="F136" s="94"/>
      <c r="G136" s="94">
        <v>9634448</v>
      </c>
      <c r="H136" s="94"/>
      <c r="I136" s="94">
        <v>477093</v>
      </c>
      <c r="J136" s="94"/>
      <c r="K136" s="94">
        <v>195178</v>
      </c>
      <c r="L136" s="94"/>
      <c r="M136" s="94">
        <v>1945157</v>
      </c>
      <c r="N136" s="94"/>
      <c r="O136" s="94">
        <v>2067222</v>
      </c>
      <c r="P136" s="94"/>
      <c r="Q136" s="94">
        <v>1067447</v>
      </c>
      <c r="R136" s="94"/>
      <c r="S136" s="94">
        <v>0</v>
      </c>
      <c r="T136" s="94"/>
      <c r="U136" s="94">
        <v>0</v>
      </c>
      <c r="V136" s="94"/>
      <c r="W136" s="94">
        <v>0</v>
      </c>
      <c r="X136" s="94"/>
      <c r="Y136" s="94">
        <v>0</v>
      </c>
      <c r="Z136" s="46"/>
      <c r="AA136" s="94">
        <v>0</v>
      </c>
      <c r="AB136" s="46"/>
      <c r="AC136" s="94">
        <f t="shared" si="4"/>
        <v>18511814</v>
      </c>
      <c r="AD136" s="94"/>
      <c r="AE136" s="68">
        <v>0</v>
      </c>
      <c r="AF136" s="68"/>
      <c r="AG136" s="94">
        <v>635000</v>
      </c>
      <c r="AH136" s="45"/>
      <c r="AI136" s="45">
        <v>194014</v>
      </c>
      <c r="AJ136" s="45"/>
      <c r="AK136" s="45">
        <v>28377</v>
      </c>
      <c r="AL136" s="45"/>
      <c r="AM136" s="45">
        <f>+'Gen rev'!U136-'Gen exp'!AC136-AG136+'Gen rev'!W136+AI136+AK136-'Gen Bal'!S136-'Gen exp'!AE136</f>
        <v>0</v>
      </c>
      <c r="AN136" s="44"/>
      <c r="AO136" s="44"/>
      <c r="AP136" s="44"/>
      <c r="AQ136" s="44"/>
    </row>
    <row r="137" spans="1:45" s="49" customFormat="1" ht="12.75" customHeight="1">
      <c r="A137" s="28" t="s">
        <v>164</v>
      </c>
      <c r="C137" s="28" t="s">
        <v>27</v>
      </c>
      <c r="E137" s="45">
        <v>2343379</v>
      </c>
      <c r="F137" s="45"/>
      <c r="G137" s="45">
        <v>10183970</v>
      </c>
      <c r="H137" s="45"/>
      <c r="I137" s="45">
        <v>562903</v>
      </c>
      <c r="J137" s="45"/>
      <c r="K137" s="45">
        <v>305935</v>
      </c>
      <c r="L137" s="45"/>
      <c r="M137" s="45">
        <v>1116778</v>
      </c>
      <c r="N137" s="45"/>
      <c r="O137" s="45">
        <v>1275690</v>
      </c>
      <c r="P137" s="45"/>
      <c r="Q137" s="45">
        <v>835696</v>
      </c>
      <c r="R137" s="45"/>
      <c r="S137" s="45">
        <v>0</v>
      </c>
      <c r="T137" s="45"/>
      <c r="U137" s="45">
        <v>0</v>
      </c>
      <c r="V137" s="45"/>
      <c r="W137" s="45">
        <v>0</v>
      </c>
      <c r="X137" s="45"/>
      <c r="Y137" s="45">
        <v>0</v>
      </c>
      <c r="Z137" s="44"/>
      <c r="AA137" s="45">
        <v>0</v>
      </c>
      <c r="AB137" s="44"/>
      <c r="AC137" s="45">
        <f t="shared" si="4"/>
        <v>16624351</v>
      </c>
      <c r="AD137" s="45"/>
      <c r="AE137" s="48">
        <v>0</v>
      </c>
      <c r="AF137" s="48"/>
      <c r="AG137" s="45">
        <v>1645000</v>
      </c>
      <c r="AH137" s="45"/>
      <c r="AI137" s="45">
        <v>10517301</v>
      </c>
      <c r="AJ137" s="45"/>
      <c r="AK137" s="45">
        <v>7994</v>
      </c>
      <c r="AL137" s="45"/>
      <c r="AM137" s="45">
        <f>+'Gen rev'!U137-'Gen exp'!AC137-AG137+'Gen rev'!W137+AI137+AK137-'Gen Bal'!S137-'Gen exp'!AE137</f>
        <v>0</v>
      </c>
      <c r="AN137" s="44"/>
      <c r="AO137" s="44"/>
      <c r="AP137" s="44"/>
      <c r="AQ137" s="44"/>
    </row>
    <row r="138" spans="1:45" s="49" customFormat="1" ht="12.75" customHeight="1">
      <c r="A138" s="28" t="s">
        <v>53</v>
      </c>
      <c r="C138" s="28" t="s">
        <v>53</v>
      </c>
      <c r="E138" s="45">
        <v>5578291</v>
      </c>
      <c r="F138" s="45"/>
      <c r="G138" s="45">
        <v>159008</v>
      </c>
      <c r="H138" s="45"/>
      <c r="I138" s="45">
        <v>644339</v>
      </c>
      <c r="J138" s="45"/>
      <c r="K138" s="45">
        <v>193600</v>
      </c>
      <c r="L138" s="45"/>
      <c r="M138" s="45">
        <v>0</v>
      </c>
      <c r="N138" s="45"/>
      <c r="O138" s="45">
        <v>0</v>
      </c>
      <c r="P138" s="45"/>
      <c r="Q138" s="45">
        <v>0</v>
      </c>
      <c r="R138" s="45"/>
      <c r="S138" s="45">
        <v>0</v>
      </c>
      <c r="T138" s="45"/>
      <c r="U138" s="45">
        <v>0</v>
      </c>
      <c r="V138" s="45"/>
      <c r="W138" s="45">
        <v>0</v>
      </c>
      <c r="X138" s="45"/>
      <c r="Y138" s="45">
        <v>0</v>
      </c>
      <c r="Z138" s="44"/>
      <c r="AA138" s="45">
        <v>0</v>
      </c>
      <c r="AB138" s="44"/>
      <c r="AC138" s="45">
        <f t="shared" si="4"/>
        <v>6575238</v>
      </c>
      <c r="AD138" s="45"/>
      <c r="AE138" s="48">
        <v>0</v>
      </c>
      <c r="AF138" s="48"/>
      <c r="AG138" s="45">
        <v>17500</v>
      </c>
      <c r="AH138" s="45"/>
      <c r="AI138" s="45">
        <v>8993554</v>
      </c>
      <c r="AJ138" s="45"/>
      <c r="AK138" s="45">
        <v>0</v>
      </c>
      <c r="AL138" s="45"/>
      <c r="AM138" s="45">
        <f>+'Gen rev'!U138-'Gen exp'!AC138-AG138+'Gen rev'!W138+AI138+AK138-'Gen Bal'!S138-'Gen exp'!AE138</f>
        <v>0</v>
      </c>
      <c r="AN138" s="45"/>
      <c r="AO138" s="45"/>
      <c r="AP138" s="45"/>
      <c r="AQ138" s="45"/>
      <c r="AR138" s="52"/>
      <c r="AS138" s="50"/>
    </row>
    <row r="139" spans="1:45" s="49" customFormat="1" ht="12.75" customHeight="1">
      <c r="A139" s="28" t="s">
        <v>165</v>
      </c>
      <c r="C139" s="28" t="s">
        <v>92</v>
      </c>
      <c r="E139" s="45">
        <v>6753567</v>
      </c>
      <c r="F139" s="45"/>
      <c r="G139" s="45">
        <f>11276367+9277727</f>
        <v>20554094</v>
      </c>
      <c r="H139" s="45"/>
      <c r="I139" s="45">
        <v>586738</v>
      </c>
      <c r="J139" s="45"/>
      <c r="K139" s="45">
        <v>0</v>
      </c>
      <c r="L139" s="45"/>
      <c r="M139" s="45">
        <v>7575746</v>
      </c>
      <c r="N139" s="45"/>
      <c r="O139" s="45">
        <v>6315939</v>
      </c>
      <c r="P139" s="45"/>
      <c r="Q139" s="45">
        <v>1979262</v>
      </c>
      <c r="R139" s="45"/>
      <c r="S139" s="45">
        <v>983366</v>
      </c>
      <c r="T139" s="45"/>
      <c r="U139" s="45">
        <v>0</v>
      </c>
      <c r="V139" s="45"/>
      <c r="W139" s="45">
        <v>21221</v>
      </c>
      <c r="X139" s="45"/>
      <c r="Y139" s="45">
        <v>0</v>
      </c>
      <c r="Z139" s="44"/>
      <c r="AA139" s="45">
        <v>0</v>
      </c>
      <c r="AB139" s="44"/>
      <c r="AC139" s="45">
        <f t="shared" si="4"/>
        <v>44769933</v>
      </c>
      <c r="AD139" s="45"/>
      <c r="AE139" s="48">
        <v>0</v>
      </c>
      <c r="AF139" s="48"/>
      <c r="AG139" s="45">
        <v>86768</v>
      </c>
      <c r="AH139" s="45"/>
      <c r="AI139" s="45">
        <v>19678130</v>
      </c>
      <c r="AJ139" s="45"/>
      <c r="AK139" s="45">
        <v>59136</v>
      </c>
      <c r="AL139" s="45"/>
      <c r="AM139" s="45">
        <f>+'Gen rev'!U139-'Gen exp'!AC139-AG139+'Gen rev'!W139+AI139+AK139-'Gen Bal'!S139-'Gen exp'!AE139</f>
        <v>0</v>
      </c>
      <c r="AN139" s="44"/>
      <c r="AO139" s="44"/>
      <c r="AP139" s="44"/>
      <c r="AQ139" s="44"/>
    </row>
    <row r="140" spans="1:45" s="49" customFormat="1" ht="12.75" customHeight="1">
      <c r="A140" s="28" t="s">
        <v>166</v>
      </c>
      <c r="C140" s="28" t="s">
        <v>92</v>
      </c>
      <c r="E140" s="45">
        <v>675159</v>
      </c>
      <c r="F140" s="45"/>
      <c r="G140" s="45">
        <v>1031968</v>
      </c>
      <c r="H140" s="45"/>
      <c r="I140" s="45">
        <v>0</v>
      </c>
      <c r="J140" s="45"/>
      <c r="K140" s="45">
        <v>63684</v>
      </c>
      <c r="L140" s="45"/>
      <c r="M140" s="45">
        <v>365573</v>
      </c>
      <c r="N140" s="45"/>
      <c r="O140" s="45">
        <v>45115</v>
      </c>
      <c r="P140" s="45"/>
      <c r="Q140" s="45">
        <v>297916</v>
      </c>
      <c r="R140" s="45"/>
      <c r="S140" s="45">
        <v>54481</v>
      </c>
      <c r="T140" s="45"/>
      <c r="U140" s="45">
        <v>0</v>
      </c>
      <c r="V140" s="45"/>
      <c r="W140" s="45">
        <v>4825</v>
      </c>
      <c r="X140" s="45"/>
      <c r="Y140" s="45">
        <v>0</v>
      </c>
      <c r="Z140" s="44"/>
      <c r="AA140" s="45">
        <v>0</v>
      </c>
      <c r="AB140" s="44"/>
      <c r="AC140" s="45">
        <f t="shared" si="4"/>
        <v>2538721</v>
      </c>
      <c r="AD140" s="45"/>
      <c r="AE140" s="48">
        <v>0</v>
      </c>
      <c r="AF140" s="48"/>
      <c r="AG140" s="45">
        <v>180000</v>
      </c>
      <c r="AH140" s="45"/>
      <c r="AI140" s="45">
        <v>487274</v>
      </c>
      <c r="AJ140" s="45"/>
      <c r="AK140" s="45">
        <v>0</v>
      </c>
      <c r="AL140" s="45"/>
      <c r="AM140" s="45">
        <f>+'Gen rev'!U140-'Gen exp'!AC140-AG140+'Gen rev'!W140+AI140+AK140-'Gen Bal'!S140-'Gen exp'!AE140</f>
        <v>0</v>
      </c>
      <c r="AN140" s="44"/>
      <c r="AO140" s="44"/>
      <c r="AP140" s="44"/>
      <c r="AQ140" s="44"/>
    </row>
    <row r="141" spans="1:45" s="49" customFormat="1" ht="12.75" customHeight="1">
      <c r="A141" s="28" t="s">
        <v>167</v>
      </c>
      <c r="C141" s="28" t="s">
        <v>66</v>
      </c>
      <c r="E141" s="45">
        <v>4104647</v>
      </c>
      <c r="F141" s="45"/>
      <c r="G141" s="45">
        <v>7399879</v>
      </c>
      <c r="H141" s="45"/>
      <c r="I141" s="45">
        <v>891896</v>
      </c>
      <c r="J141" s="45"/>
      <c r="K141" s="45">
        <v>5189</v>
      </c>
      <c r="L141" s="45"/>
      <c r="M141" s="45">
        <v>164721</v>
      </c>
      <c r="N141" s="45"/>
      <c r="O141" s="45">
        <v>2101886</v>
      </c>
      <c r="P141" s="45"/>
      <c r="Q141" s="45">
        <v>844559</v>
      </c>
      <c r="R141" s="45"/>
      <c r="S141" s="45">
        <v>0</v>
      </c>
      <c r="T141" s="45"/>
      <c r="U141" s="45">
        <v>0</v>
      </c>
      <c r="V141" s="45"/>
      <c r="W141" s="45">
        <v>0</v>
      </c>
      <c r="X141" s="45"/>
      <c r="Y141" s="45">
        <v>0</v>
      </c>
      <c r="Z141" s="44"/>
      <c r="AA141" s="45">
        <v>0</v>
      </c>
      <c r="AB141" s="44"/>
      <c r="AC141" s="45">
        <f t="shared" si="4"/>
        <v>15512777</v>
      </c>
      <c r="AD141" s="45"/>
      <c r="AE141" s="48">
        <v>0</v>
      </c>
      <c r="AF141" s="48"/>
      <c r="AG141" s="45">
        <v>131081</v>
      </c>
      <c r="AH141" s="45"/>
      <c r="AI141" s="45">
        <v>5168048</v>
      </c>
      <c r="AJ141" s="45"/>
      <c r="AK141" s="45">
        <v>0</v>
      </c>
      <c r="AL141" s="45"/>
      <c r="AM141" s="45">
        <f>+'Gen rev'!U141-'Gen exp'!AC141-AG141+'Gen rev'!W141+AI141+AK141-'Gen Bal'!S141-'Gen exp'!AE141</f>
        <v>0</v>
      </c>
      <c r="AN141" s="44"/>
      <c r="AO141" s="44"/>
      <c r="AP141" s="44"/>
      <c r="AQ141" s="44"/>
    </row>
    <row r="142" spans="1:45" s="49" customFormat="1" ht="12.75" customHeight="1">
      <c r="A142" s="44" t="s">
        <v>168</v>
      </c>
      <c r="C142" s="44" t="s">
        <v>27</v>
      </c>
      <c r="E142" s="45">
        <v>6722714</v>
      </c>
      <c r="F142" s="45"/>
      <c r="G142" s="45">
        <f>4378922+3175528+57379</f>
        <v>7611829</v>
      </c>
      <c r="H142" s="45"/>
      <c r="I142" s="45">
        <f>597099+280958</f>
        <v>878057</v>
      </c>
      <c r="J142" s="45"/>
      <c r="K142" s="45">
        <v>125302</v>
      </c>
      <c r="L142" s="45"/>
      <c r="M142" s="45">
        <v>0</v>
      </c>
      <c r="N142" s="45"/>
      <c r="O142" s="45">
        <v>0</v>
      </c>
      <c r="P142" s="45"/>
      <c r="Q142" s="45">
        <v>948225</v>
      </c>
      <c r="R142" s="45"/>
      <c r="S142" s="45">
        <v>0</v>
      </c>
      <c r="T142" s="45"/>
      <c r="U142" s="45">
        <v>0</v>
      </c>
      <c r="V142" s="45"/>
      <c r="W142" s="45">
        <v>0</v>
      </c>
      <c r="X142" s="45"/>
      <c r="Y142" s="45">
        <v>0</v>
      </c>
      <c r="Z142" s="44"/>
      <c r="AA142" s="45">
        <v>0</v>
      </c>
      <c r="AB142" s="44"/>
      <c r="AC142" s="45">
        <f t="shared" si="4"/>
        <v>16286127</v>
      </c>
      <c r="AD142" s="45"/>
      <c r="AE142" s="48">
        <v>0</v>
      </c>
      <c r="AF142" s="48"/>
      <c r="AG142" s="45">
        <v>850000</v>
      </c>
      <c r="AH142" s="45"/>
      <c r="AI142" s="45">
        <v>4418215</v>
      </c>
      <c r="AJ142" s="45"/>
      <c r="AK142" s="45">
        <v>0</v>
      </c>
      <c r="AL142" s="45"/>
      <c r="AM142" s="45">
        <f>+'Gen rev'!U142-'Gen exp'!AC142-AG142+'Gen rev'!W142+AI142+AK142-'Gen Bal'!S142-'Gen exp'!AE142</f>
        <v>0</v>
      </c>
      <c r="AN142" s="45"/>
      <c r="AO142" s="45"/>
      <c r="AP142" s="45"/>
      <c r="AQ142" s="45"/>
      <c r="AR142" s="52"/>
      <c r="AS142" s="50"/>
    </row>
    <row r="143" spans="1:45" s="49" customFormat="1" ht="12.75" customHeight="1">
      <c r="A143" s="28" t="s">
        <v>169</v>
      </c>
      <c r="C143" s="28" t="s">
        <v>103</v>
      </c>
      <c r="E143" s="45">
        <v>3876685</v>
      </c>
      <c r="F143" s="45"/>
      <c r="G143" s="45">
        <v>18781552</v>
      </c>
      <c r="H143" s="45"/>
      <c r="I143" s="45">
        <v>1578269</v>
      </c>
      <c r="J143" s="45"/>
      <c r="K143" s="45">
        <v>0</v>
      </c>
      <c r="L143" s="45"/>
      <c r="M143" s="45">
        <v>0</v>
      </c>
      <c r="N143" s="45"/>
      <c r="O143" s="45">
        <v>798584</v>
      </c>
      <c r="P143" s="45"/>
      <c r="Q143" s="45">
        <v>1394046</v>
      </c>
      <c r="R143" s="45"/>
      <c r="S143" s="45">
        <v>0</v>
      </c>
      <c r="T143" s="45"/>
      <c r="U143" s="45">
        <v>0</v>
      </c>
      <c r="V143" s="45"/>
      <c r="W143" s="45">
        <v>0</v>
      </c>
      <c r="X143" s="45"/>
      <c r="Y143" s="45">
        <v>0</v>
      </c>
      <c r="Z143" s="44"/>
      <c r="AA143" s="45">
        <v>0</v>
      </c>
      <c r="AB143" s="44"/>
      <c r="AC143" s="45">
        <f t="shared" si="4"/>
        <v>26429136</v>
      </c>
      <c r="AD143" s="45"/>
      <c r="AE143" s="48">
        <v>0</v>
      </c>
      <c r="AF143" s="48"/>
      <c r="AG143" s="45">
        <v>59400</v>
      </c>
      <c r="AH143" s="45"/>
      <c r="AI143" s="45">
        <v>11539982</v>
      </c>
      <c r="AJ143" s="45"/>
      <c r="AK143" s="45">
        <v>0</v>
      </c>
      <c r="AL143" s="45"/>
      <c r="AM143" s="45">
        <f>+'Gen rev'!U143-'Gen exp'!AC143-AG143+'Gen rev'!W143+AI143+AK143-'Gen Bal'!S143-'Gen exp'!AE143</f>
        <v>0</v>
      </c>
      <c r="AN143" s="44"/>
      <c r="AO143" s="44"/>
      <c r="AP143" s="44"/>
      <c r="AQ143" s="44"/>
    </row>
    <row r="144" spans="1:45" s="49" customFormat="1" ht="12.75" customHeight="1">
      <c r="A144" s="28" t="s">
        <v>170</v>
      </c>
      <c r="C144" s="28" t="s">
        <v>171</v>
      </c>
      <c r="E144" s="45">
        <v>1085451</v>
      </c>
      <c r="F144" s="45"/>
      <c r="G144" s="45">
        <v>1897382</v>
      </c>
      <c r="H144" s="45"/>
      <c r="I144" s="45">
        <v>0</v>
      </c>
      <c r="J144" s="45"/>
      <c r="K144" s="45">
        <v>326406</v>
      </c>
      <c r="L144" s="45"/>
      <c r="M144" s="45">
        <v>308490</v>
      </c>
      <c r="N144" s="45"/>
      <c r="O144" s="45">
        <v>0</v>
      </c>
      <c r="P144" s="45"/>
      <c r="Q144" s="45">
        <v>0</v>
      </c>
      <c r="R144" s="45"/>
      <c r="S144" s="45">
        <v>27074</v>
      </c>
      <c r="T144" s="45"/>
      <c r="U144" s="45">
        <v>0</v>
      </c>
      <c r="V144" s="45"/>
      <c r="W144" s="45">
        <v>0</v>
      </c>
      <c r="X144" s="45"/>
      <c r="Y144" s="45">
        <v>0</v>
      </c>
      <c r="Z144" s="44"/>
      <c r="AA144" s="45">
        <v>0</v>
      </c>
      <c r="AB144" s="44"/>
      <c r="AC144" s="45">
        <f t="shared" si="4"/>
        <v>3644803</v>
      </c>
      <c r="AD144" s="45"/>
      <c r="AE144" s="48">
        <v>0</v>
      </c>
      <c r="AF144" s="48"/>
      <c r="AG144" s="45">
        <v>120000</v>
      </c>
      <c r="AH144" s="45"/>
      <c r="AI144" s="45">
        <v>3078862</v>
      </c>
      <c r="AJ144" s="45"/>
      <c r="AK144" s="45">
        <v>0</v>
      </c>
      <c r="AL144" s="45"/>
      <c r="AM144" s="45">
        <f>+'Gen rev'!U144-'Gen exp'!AC144-AG144+'Gen rev'!W144+AI144+AK144-'Gen Bal'!S144-'Gen exp'!AE144</f>
        <v>0</v>
      </c>
      <c r="AN144" s="44"/>
      <c r="AO144" s="44"/>
      <c r="AP144" s="44"/>
      <c r="AQ144" s="44"/>
    </row>
    <row r="145" spans="1:45" s="49" customFormat="1" ht="12.75" customHeight="1">
      <c r="A145" s="28" t="s">
        <v>172</v>
      </c>
      <c r="C145" s="28" t="s">
        <v>103</v>
      </c>
      <c r="E145" s="45">
        <v>2157295</v>
      </c>
      <c r="F145" s="45"/>
      <c r="G145" s="45">
        <v>354212</v>
      </c>
      <c r="H145" s="45"/>
      <c r="I145" s="45">
        <v>0</v>
      </c>
      <c r="J145" s="45"/>
      <c r="K145" s="45">
        <v>83191</v>
      </c>
      <c r="L145" s="45"/>
      <c r="M145" s="45">
        <v>104231</v>
      </c>
      <c r="N145" s="45"/>
      <c r="O145" s="45">
        <v>222719</v>
      </c>
      <c r="P145" s="45"/>
      <c r="Q145" s="45">
        <v>0</v>
      </c>
      <c r="R145" s="45"/>
      <c r="S145" s="45">
        <v>0</v>
      </c>
      <c r="T145" s="45"/>
      <c r="U145" s="45">
        <v>0</v>
      </c>
      <c r="V145" s="45"/>
      <c r="W145" s="45">
        <v>2859</v>
      </c>
      <c r="X145" s="45"/>
      <c r="Y145" s="45">
        <v>3968</v>
      </c>
      <c r="Z145" s="44"/>
      <c r="AA145" s="45">
        <v>0</v>
      </c>
      <c r="AB145" s="44"/>
      <c r="AC145" s="45">
        <f t="shared" si="4"/>
        <v>2928475</v>
      </c>
      <c r="AD145" s="45"/>
      <c r="AE145" s="48">
        <v>0</v>
      </c>
      <c r="AF145" s="48"/>
      <c r="AG145" s="45">
        <v>4858000</v>
      </c>
      <c r="AH145" s="45"/>
      <c r="AI145" s="45">
        <v>5674076</v>
      </c>
      <c r="AJ145" s="45"/>
      <c r="AK145" s="45">
        <v>0</v>
      </c>
      <c r="AL145" s="45"/>
      <c r="AM145" s="45">
        <f>+'Gen rev'!U145-'Gen exp'!AC145-AG145+'Gen rev'!W145+AI145+AK145-'Gen Bal'!S145-'Gen exp'!AE145</f>
        <v>0</v>
      </c>
      <c r="AN145" s="44"/>
      <c r="AO145" s="44"/>
      <c r="AP145" s="44"/>
      <c r="AQ145" s="44"/>
    </row>
    <row r="146" spans="1:45" s="49" customFormat="1" ht="12.75" customHeight="1">
      <c r="A146" s="28" t="s">
        <v>66</v>
      </c>
      <c r="C146" s="28" t="s">
        <v>45</v>
      </c>
      <c r="E146" s="45">
        <v>3175686</v>
      </c>
      <c r="F146" s="45"/>
      <c r="G146" s="45">
        <v>2927357</v>
      </c>
      <c r="H146" s="45"/>
      <c r="I146" s="45">
        <v>341707</v>
      </c>
      <c r="J146" s="45"/>
      <c r="K146" s="45">
        <v>0</v>
      </c>
      <c r="L146" s="45"/>
      <c r="M146" s="45">
        <v>0</v>
      </c>
      <c r="N146" s="45"/>
      <c r="O146" s="45">
        <v>914744</v>
      </c>
      <c r="P146" s="45"/>
      <c r="Q146" s="45">
        <v>459838</v>
      </c>
      <c r="R146" s="45"/>
      <c r="S146" s="45">
        <v>3153</v>
      </c>
      <c r="T146" s="45"/>
      <c r="U146" s="45">
        <v>0</v>
      </c>
      <c r="V146" s="45"/>
      <c r="W146" s="45">
        <v>0</v>
      </c>
      <c r="X146" s="45"/>
      <c r="Y146" s="45">
        <v>0</v>
      </c>
      <c r="Z146" s="44"/>
      <c r="AA146" s="45">
        <v>0</v>
      </c>
      <c r="AB146" s="44"/>
      <c r="AC146" s="45">
        <f t="shared" si="4"/>
        <v>7822485</v>
      </c>
      <c r="AD146" s="45"/>
      <c r="AE146" s="48">
        <v>0</v>
      </c>
      <c r="AF146" s="48"/>
      <c r="AG146" s="45">
        <v>1496059</v>
      </c>
      <c r="AH146" s="45"/>
      <c r="AI146" s="45">
        <v>13255418</v>
      </c>
      <c r="AJ146" s="45"/>
      <c r="AK146" s="45">
        <v>0</v>
      </c>
      <c r="AL146" s="45"/>
      <c r="AM146" s="45">
        <f>+'Gen rev'!U146-'Gen exp'!AC146-AG146+'Gen rev'!W146+AI146+AK146-'Gen Bal'!S146-'Gen exp'!AE146</f>
        <v>0</v>
      </c>
      <c r="AN146" s="44"/>
      <c r="AO146" s="44"/>
      <c r="AP146" s="44"/>
      <c r="AQ146" s="44"/>
    </row>
    <row r="147" spans="1:45" s="49" customFormat="1" ht="12.75" customHeight="1">
      <c r="A147" s="28" t="s">
        <v>173</v>
      </c>
      <c r="C147" s="28" t="s">
        <v>66</v>
      </c>
      <c r="E147" s="45">
        <v>4287335</v>
      </c>
      <c r="F147" s="45"/>
      <c r="G147" s="45">
        <v>7834653</v>
      </c>
      <c r="H147" s="45"/>
      <c r="I147" s="45">
        <v>200775</v>
      </c>
      <c r="J147" s="45"/>
      <c r="K147" s="45">
        <v>85985</v>
      </c>
      <c r="L147" s="45"/>
      <c r="M147" s="45">
        <v>532031</v>
      </c>
      <c r="N147" s="45"/>
      <c r="O147" s="45">
        <v>25964</v>
      </c>
      <c r="P147" s="45"/>
      <c r="Q147" s="45">
        <v>349185</v>
      </c>
      <c r="R147" s="45"/>
      <c r="S147" s="45">
        <v>0</v>
      </c>
      <c r="T147" s="45"/>
      <c r="U147" s="45">
        <v>0</v>
      </c>
      <c r="V147" s="45"/>
      <c r="W147" s="45">
        <v>0</v>
      </c>
      <c r="X147" s="45"/>
      <c r="Y147" s="45">
        <v>0</v>
      </c>
      <c r="Z147" s="44"/>
      <c r="AA147" s="45">
        <v>0</v>
      </c>
      <c r="AB147" s="44"/>
      <c r="AC147" s="45">
        <f t="shared" si="4"/>
        <v>13315928</v>
      </c>
      <c r="AD147" s="45"/>
      <c r="AE147" s="48">
        <v>0</v>
      </c>
      <c r="AF147" s="48"/>
      <c r="AG147" s="45">
        <v>3150000</v>
      </c>
      <c r="AH147" s="45"/>
      <c r="AI147" s="45">
        <v>14365604</v>
      </c>
      <c r="AJ147" s="45"/>
      <c r="AK147" s="45">
        <v>0</v>
      </c>
      <c r="AL147" s="45"/>
      <c r="AM147" s="45">
        <f>+'Gen rev'!U147-'Gen exp'!AC147-AG147+'Gen rev'!W147+AI147+AK147-'Gen Bal'!S147-'Gen exp'!AE147</f>
        <v>0</v>
      </c>
      <c r="AN147" s="44"/>
      <c r="AO147" s="44"/>
      <c r="AP147" s="44"/>
      <c r="AQ147" s="44"/>
    </row>
    <row r="148" spans="1:45" s="49" customFormat="1" ht="12.75" customHeight="1">
      <c r="A148" s="28" t="s">
        <v>174</v>
      </c>
      <c r="C148" s="28" t="s">
        <v>45</v>
      </c>
      <c r="E148" s="45">
        <v>646190</v>
      </c>
      <c r="F148" s="45"/>
      <c r="G148" s="45">
        <v>1280518</v>
      </c>
      <c r="H148" s="45"/>
      <c r="I148" s="45">
        <v>108354</v>
      </c>
      <c r="J148" s="45"/>
      <c r="K148" s="45">
        <v>415220</v>
      </c>
      <c r="L148" s="45"/>
      <c r="M148" s="45">
        <v>0</v>
      </c>
      <c r="N148" s="45"/>
      <c r="O148" s="45">
        <v>157764</v>
      </c>
      <c r="P148" s="45"/>
      <c r="Q148" s="45">
        <v>0</v>
      </c>
      <c r="R148" s="45"/>
      <c r="S148" s="45">
        <v>143875</v>
      </c>
      <c r="T148" s="45"/>
      <c r="U148" s="45">
        <v>0</v>
      </c>
      <c r="V148" s="45"/>
      <c r="W148" s="45">
        <v>7632</v>
      </c>
      <c r="X148" s="45"/>
      <c r="Y148" s="45">
        <v>2731</v>
      </c>
      <c r="Z148" s="44"/>
      <c r="AA148" s="45">
        <v>0</v>
      </c>
      <c r="AB148" s="44"/>
      <c r="AC148" s="45">
        <f t="shared" si="4"/>
        <v>2762284</v>
      </c>
      <c r="AD148" s="45"/>
      <c r="AE148" s="48">
        <v>0</v>
      </c>
      <c r="AF148" s="48"/>
      <c r="AG148" s="45">
        <v>342203</v>
      </c>
      <c r="AH148" s="45"/>
      <c r="AI148" s="45">
        <v>202473</v>
      </c>
      <c r="AJ148" s="45"/>
      <c r="AK148" s="45">
        <v>0</v>
      </c>
      <c r="AL148" s="45"/>
      <c r="AM148" s="45">
        <f>+'Gen rev'!U148-'Gen exp'!AC148-AG148+'Gen rev'!W148+AI148+AK148-'Gen Bal'!S148-'Gen exp'!AE148</f>
        <v>0</v>
      </c>
      <c r="AN148" s="44"/>
      <c r="AO148" s="44"/>
      <c r="AP148" s="44"/>
      <c r="AQ148" s="44"/>
    </row>
    <row r="149" spans="1:45" s="49" customFormat="1" ht="12.75" customHeight="1">
      <c r="A149" s="28" t="s">
        <v>175</v>
      </c>
      <c r="C149" s="28" t="s">
        <v>176</v>
      </c>
      <c r="E149" s="45">
        <v>5364810</v>
      </c>
      <c r="F149" s="45"/>
      <c r="G149" s="45">
        <v>5082202</v>
      </c>
      <c r="H149" s="45"/>
      <c r="I149" s="45">
        <v>24783</v>
      </c>
      <c r="J149" s="45"/>
      <c r="K149" s="45">
        <v>353908</v>
      </c>
      <c r="L149" s="45"/>
      <c r="M149" s="45">
        <v>66012</v>
      </c>
      <c r="N149" s="45"/>
      <c r="O149" s="45">
        <v>697900</v>
      </c>
      <c r="P149" s="45"/>
      <c r="Q149" s="45">
        <v>0</v>
      </c>
      <c r="R149" s="45"/>
      <c r="S149" s="45">
        <v>0</v>
      </c>
      <c r="T149" s="45"/>
      <c r="U149" s="45">
        <v>0</v>
      </c>
      <c r="V149" s="45"/>
      <c r="W149" s="45">
        <v>9260</v>
      </c>
      <c r="X149" s="45"/>
      <c r="Y149" s="45">
        <v>18615</v>
      </c>
      <c r="Z149" s="44"/>
      <c r="AA149" s="45">
        <v>0</v>
      </c>
      <c r="AB149" s="44"/>
      <c r="AC149" s="45">
        <f t="shared" si="4"/>
        <v>11617490</v>
      </c>
      <c r="AD149" s="45"/>
      <c r="AE149" s="48">
        <v>0</v>
      </c>
      <c r="AF149" s="48"/>
      <c r="AG149" s="45">
        <v>994005</v>
      </c>
      <c r="AH149" s="45"/>
      <c r="AI149" s="45">
        <v>4853201</v>
      </c>
      <c r="AJ149" s="45"/>
      <c r="AK149" s="45">
        <v>239</v>
      </c>
      <c r="AL149" s="45"/>
      <c r="AM149" s="45">
        <f>+'Gen rev'!U149-'Gen exp'!AC149-AG149+'Gen rev'!W149+AI149+AK149-'Gen Bal'!S149-'Gen exp'!AE149</f>
        <v>0</v>
      </c>
      <c r="AN149" s="44"/>
      <c r="AO149" s="44"/>
      <c r="AP149" s="44"/>
      <c r="AQ149" s="44"/>
    </row>
    <row r="150" spans="1:45" s="49" customFormat="1" ht="12.75" customHeight="1">
      <c r="A150" s="28" t="s">
        <v>177</v>
      </c>
      <c r="C150" s="28" t="s">
        <v>13</v>
      </c>
      <c r="E150" s="45">
        <v>616715</v>
      </c>
      <c r="F150" s="45"/>
      <c r="G150" s="45">
        <v>1039714</v>
      </c>
      <c r="H150" s="45"/>
      <c r="I150" s="45">
        <v>0</v>
      </c>
      <c r="J150" s="45"/>
      <c r="K150" s="45">
        <v>40331</v>
      </c>
      <c r="L150" s="45"/>
      <c r="M150" s="45">
        <v>107876</v>
      </c>
      <c r="N150" s="45"/>
      <c r="O150" s="45">
        <v>27304</v>
      </c>
      <c r="P150" s="45"/>
      <c r="Q150" s="45">
        <v>0</v>
      </c>
      <c r="R150" s="45"/>
      <c r="S150" s="45">
        <v>0</v>
      </c>
      <c r="T150" s="45"/>
      <c r="U150" s="45">
        <v>0</v>
      </c>
      <c r="V150" s="45"/>
      <c r="W150" s="45">
        <v>0</v>
      </c>
      <c r="X150" s="45"/>
      <c r="Y150" s="45">
        <v>0</v>
      </c>
      <c r="Z150" s="44"/>
      <c r="AA150" s="45">
        <v>0</v>
      </c>
      <c r="AB150" s="44"/>
      <c r="AC150" s="45">
        <f t="shared" si="4"/>
        <v>1831940</v>
      </c>
      <c r="AD150" s="45"/>
      <c r="AE150" s="48">
        <v>0</v>
      </c>
      <c r="AF150" s="48"/>
      <c r="AG150" s="45">
        <v>5194</v>
      </c>
      <c r="AH150" s="45"/>
      <c r="AI150" s="45">
        <v>1718742</v>
      </c>
      <c r="AJ150" s="45"/>
      <c r="AK150" s="45">
        <v>0</v>
      </c>
      <c r="AL150" s="45"/>
      <c r="AM150" s="45">
        <f>+'Gen rev'!U150-'Gen exp'!AC150-AG150+'Gen rev'!W150+AI150+AK150-'Gen Bal'!S150-'Gen exp'!AE150</f>
        <v>0</v>
      </c>
      <c r="AN150" s="44"/>
      <c r="AO150" s="44"/>
      <c r="AP150" s="44"/>
      <c r="AQ150" s="44"/>
      <c r="AR150" s="52"/>
      <c r="AS150" s="50"/>
    </row>
    <row r="151" spans="1:45" s="49" customFormat="1" ht="12.75" customHeight="1">
      <c r="A151" s="28" t="s">
        <v>178</v>
      </c>
      <c r="C151" s="28" t="s">
        <v>179</v>
      </c>
      <c r="E151" s="45">
        <v>753515</v>
      </c>
      <c r="F151" s="45"/>
      <c r="G151" s="45">
        <v>2268201</v>
      </c>
      <c r="H151" s="45"/>
      <c r="I151" s="45">
        <v>88403</v>
      </c>
      <c r="J151" s="45"/>
      <c r="K151" s="45">
        <v>92695</v>
      </c>
      <c r="L151" s="45"/>
      <c r="M151" s="45">
        <v>0</v>
      </c>
      <c r="N151" s="45"/>
      <c r="O151" s="45">
        <v>0</v>
      </c>
      <c r="P151" s="45"/>
      <c r="Q151" s="45">
        <v>0</v>
      </c>
      <c r="R151" s="45"/>
      <c r="S151" s="45">
        <v>0</v>
      </c>
      <c r="T151" s="45"/>
      <c r="U151" s="45">
        <v>0</v>
      </c>
      <c r="V151" s="45"/>
      <c r="W151" s="45">
        <v>0</v>
      </c>
      <c r="X151" s="45"/>
      <c r="Y151" s="45">
        <v>0</v>
      </c>
      <c r="Z151" s="44"/>
      <c r="AA151" s="45">
        <v>0</v>
      </c>
      <c r="AB151" s="44"/>
      <c r="AC151" s="45">
        <f t="shared" si="4"/>
        <v>3202814</v>
      </c>
      <c r="AD151" s="45"/>
      <c r="AE151" s="48">
        <v>0</v>
      </c>
      <c r="AF151" s="48"/>
      <c r="AG151" s="45">
        <v>1663553</v>
      </c>
      <c r="AH151" s="45"/>
      <c r="AI151" s="45">
        <v>1934071</v>
      </c>
      <c r="AJ151" s="45"/>
      <c r="AK151" s="45">
        <v>-43</v>
      </c>
      <c r="AL151" s="45"/>
      <c r="AM151" s="45">
        <f>+'Gen rev'!U151-'Gen exp'!AC151-AG151+'Gen rev'!W151+AI151+AK151-'Gen Bal'!S151-'Gen exp'!AE151</f>
        <v>0</v>
      </c>
      <c r="AN151" s="45"/>
      <c r="AO151" s="45"/>
      <c r="AP151" s="45"/>
      <c r="AQ151" s="45"/>
      <c r="AR151" s="52"/>
      <c r="AS151" s="50"/>
    </row>
    <row r="152" spans="1:45" s="49" customFormat="1" ht="12.75" customHeight="1">
      <c r="A152" s="28" t="s">
        <v>180</v>
      </c>
      <c r="C152" s="28" t="s">
        <v>20</v>
      </c>
      <c r="E152" s="45">
        <v>503892</v>
      </c>
      <c r="F152" s="45"/>
      <c r="G152" s="45">
        <f>773646+403278</f>
        <v>1176924</v>
      </c>
      <c r="H152" s="45"/>
      <c r="I152" s="45">
        <v>8827</v>
      </c>
      <c r="J152" s="45"/>
      <c r="K152" s="45">
        <v>0</v>
      </c>
      <c r="L152" s="45"/>
      <c r="M152" s="45">
        <v>0</v>
      </c>
      <c r="N152" s="45"/>
      <c r="O152" s="45">
        <v>0</v>
      </c>
      <c r="P152" s="45"/>
      <c r="Q152" s="45">
        <v>0</v>
      </c>
      <c r="R152" s="45"/>
      <c r="S152" s="45">
        <v>194550</v>
      </c>
      <c r="T152" s="45"/>
      <c r="U152" s="45">
        <v>0</v>
      </c>
      <c r="V152" s="45"/>
      <c r="W152" s="45">
        <v>495</v>
      </c>
      <c r="X152" s="45"/>
      <c r="Y152" s="45">
        <v>39</v>
      </c>
      <c r="Z152" s="44"/>
      <c r="AA152" s="45">
        <v>0</v>
      </c>
      <c r="AB152" s="44"/>
      <c r="AC152" s="45">
        <f t="shared" si="4"/>
        <v>1884727</v>
      </c>
      <c r="AD152" s="45"/>
      <c r="AE152" s="48">
        <v>0</v>
      </c>
      <c r="AF152" s="48"/>
      <c r="AG152" s="45">
        <v>26333</v>
      </c>
      <c r="AH152" s="45"/>
      <c r="AI152" s="45">
        <v>1906394</v>
      </c>
      <c r="AJ152" s="45"/>
      <c r="AK152" s="45">
        <v>0</v>
      </c>
      <c r="AL152" s="45"/>
      <c r="AM152" s="45">
        <f>+'Gen rev'!U152-'Gen exp'!AC152-AG152+'Gen rev'!W152+AI152+AK152-'Gen Bal'!S152-'Gen exp'!AE152</f>
        <v>0</v>
      </c>
      <c r="AN152" s="44"/>
      <c r="AO152" s="44"/>
      <c r="AP152" s="44"/>
      <c r="AQ152" s="44"/>
    </row>
    <row r="153" spans="1:45" s="49" customFormat="1" ht="12.75" customHeight="1">
      <c r="A153" s="28" t="s">
        <v>182</v>
      </c>
      <c r="C153" s="28" t="s">
        <v>183</v>
      </c>
      <c r="E153" s="45">
        <v>683024</v>
      </c>
      <c r="F153" s="45"/>
      <c r="G153" s="45">
        <v>376042</v>
      </c>
      <c r="H153" s="45"/>
      <c r="I153" s="45">
        <v>13110</v>
      </c>
      <c r="J153" s="45"/>
      <c r="K153" s="45">
        <v>0</v>
      </c>
      <c r="L153" s="45"/>
      <c r="M153" s="45">
        <v>0</v>
      </c>
      <c r="N153" s="45"/>
      <c r="O153" s="45">
        <v>54216</v>
      </c>
      <c r="P153" s="45"/>
      <c r="Q153" s="45">
        <v>0</v>
      </c>
      <c r="R153" s="45"/>
      <c r="S153" s="45">
        <v>17956</v>
      </c>
      <c r="T153" s="45"/>
      <c r="U153" s="45">
        <v>0</v>
      </c>
      <c r="V153" s="45"/>
      <c r="W153" s="45">
        <v>0</v>
      </c>
      <c r="X153" s="45"/>
      <c r="Y153" s="45">
        <v>33253</v>
      </c>
      <c r="Z153" s="44"/>
      <c r="AA153" s="45">
        <v>0</v>
      </c>
      <c r="AB153" s="44"/>
      <c r="AC153" s="45">
        <f t="shared" si="4"/>
        <v>1177601</v>
      </c>
      <c r="AD153" s="45"/>
      <c r="AE153" s="48">
        <v>0</v>
      </c>
      <c r="AF153" s="48"/>
      <c r="AG153" s="45">
        <v>93063</v>
      </c>
      <c r="AH153" s="45"/>
      <c r="AI153" s="45">
        <v>-172013</v>
      </c>
      <c r="AJ153" s="45"/>
      <c r="AK153" s="45">
        <v>0</v>
      </c>
      <c r="AL153" s="45"/>
      <c r="AM153" s="45">
        <f>+'Gen rev'!U153-'Gen exp'!AC153-AG153+'Gen rev'!W153+AI153+AK153-'Gen Bal'!S153-'Gen exp'!AE153</f>
        <v>0</v>
      </c>
      <c r="AN153" s="44"/>
      <c r="AO153" s="44"/>
      <c r="AP153" s="44"/>
      <c r="AQ153" s="44"/>
    </row>
    <row r="154" spans="1:45" s="49" customFormat="1" ht="12.75" customHeight="1">
      <c r="A154" s="28" t="s">
        <v>487</v>
      </c>
      <c r="C154" s="28" t="s">
        <v>13</v>
      </c>
      <c r="E154" s="45">
        <v>1090825</v>
      </c>
      <c r="F154" s="45"/>
      <c r="G154" s="45">
        <v>636772</v>
      </c>
      <c r="H154" s="45"/>
      <c r="I154" s="45">
        <v>125929</v>
      </c>
      <c r="J154" s="45"/>
      <c r="K154" s="45">
        <v>113926</v>
      </c>
      <c r="L154" s="45"/>
      <c r="M154" s="45">
        <v>0</v>
      </c>
      <c r="N154" s="45"/>
      <c r="O154" s="45">
        <v>95743</v>
      </c>
      <c r="P154" s="45"/>
      <c r="Q154" s="45">
        <v>0</v>
      </c>
      <c r="R154" s="45"/>
      <c r="S154" s="45">
        <v>0</v>
      </c>
      <c r="T154" s="45"/>
      <c r="U154" s="45">
        <v>0</v>
      </c>
      <c r="V154" s="45"/>
      <c r="W154" s="45">
        <v>0</v>
      </c>
      <c r="X154" s="45"/>
      <c r="Y154" s="45">
        <v>0</v>
      </c>
      <c r="Z154" s="44"/>
      <c r="AA154" s="45">
        <v>0</v>
      </c>
      <c r="AB154" s="44"/>
      <c r="AC154" s="45">
        <f t="shared" si="4"/>
        <v>2063195</v>
      </c>
      <c r="AD154" s="45"/>
      <c r="AE154" s="48">
        <v>0</v>
      </c>
      <c r="AF154" s="48"/>
      <c r="AG154" s="45">
        <v>0</v>
      </c>
      <c r="AH154" s="45"/>
      <c r="AI154" s="45">
        <v>1687325</v>
      </c>
      <c r="AJ154" s="45"/>
      <c r="AK154" s="45">
        <v>0</v>
      </c>
      <c r="AL154" s="45"/>
      <c r="AM154" s="45">
        <f>+'Gen rev'!U154-'Gen exp'!AC154-AG154+'Gen rev'!W154+AI154+AK154-'Gen Bal'!S154-'Gen exp'!AE154</f>
        <v>0</v>
      </c>
      <c r="AN154" s="45"/>
      <c r="AO154" s="45"/>
      <c r="AP154" s="45"/>
      <c r="AQ154" s="45"/>
      <c r="AR154" s="52"/>
      <c r="AS154" s="50"/>
    </row>
    <row r="155" spans="1:45" s="49" customFormat="1" ht="12.75" customHeight="1">
      <c r="A155" s="28" t="s">
        <v>184</v>
      </c>
      <c r="C155" s="28" t="s">
        <v>89</v>
      </c>
      <c r="E155" s="45">
        <v>2475449</v>
      </c>
      <c r="F155" s="45"/>
      <c r="G155" s="45">
        <v>1458021</v>
      </c>
      <c r="H155" s="45"/>
      <c r="I155" s="45">
        <v>0</v>
      </c>
      <c r="J155" s="45"/>
      <c r="K155" s="45">
        <v>239498</v>
      </c>
      <c r="L155" s="45"/>
      <c r="M155" s="45">
        <v>43427</v>
      </c>
      <c r="N155" s="45"/>
      <c r="O155" s="45">
        <v>693036</v>
      </c>
      <c r="P155" s="45"/>
      <c r="Q155" s="45">
        <v>0</v>
      </c>
      <c r="R155" s="45"/>
      <c r="S155" s="45">
        <v>217553</v>
      </c>
      <c r="T155" s="45"/>
      <c r="U155" s="45">
        <v>0</v>
      </c>
      <c r="V155" s="45"/>
      <c r="W155" s="45">
        <v>34159</v>
      </c>
      <c r="X155" s="45"/>
      <c r="Y155" s="45">
        <v>6826</v>
      </c>
      <c r="Z155" s="44"/>
      <c r="AA155" s="45">
        <v>0</v>
      </c>
      <c r="AB155" s="44"/>
      <c r="AC155" s="45">
        <f t="shared" si="4"/>
        <v>5167969</v>
      </c>
      <c r="AD155" s="45"/>
      <c r="AE155" s="48">
        <v>0</v>
      </c>
      <c r="AF155" s="48"/>
      <c r="AG155" s="45">
        <v>151320</v>
      </c>
      <c r="AH155" s="45"/>
      <c r="AI155" s="45">
        <v>2494606</v>
      </c>
      <c r="AJ155" s="45"/>
      <c r="AK155" s="45">
        <v>0</v>
      </c>
      <c r="AL155" s="45"/>
      <c r="AM155" s="45">
        <f>+'Gen rev'!U155-'Gen exp'!AC155-AG155+'Gen rev'!W155+AI155+AK155-'Gen Bal'!S155-'Gen exp'!AE155</f>
        <v>0</v>
      </c>
      <c r="AN155" s="45"/>
      <c r="AO155" s="45"/>
      <c r="AP155" s="45"/>
      <c r="AQ155" s="45"/>
      <c r="AR155" s="52"/>
      <c r="AS155" s="50"/>
    </row>
    <row r="156" spans="1:45" s="49" customFormat="1" ht="12.75" customHeight="1">
      <c r="A156" s="28" t="s">
        <v>181</v>
      </c>
      <c r="C156" s="28" t="s">
        <v>125</v>
      </c>
      <c r="E156" s="45">
        <v>8823508</v>
      </c>
      <c r="F156" s="45"/>
      <c r="G156" s="45">
        <v>17796736</v>
      </c>
      <c r="H156" s="45"/>
      <c r="I156" s="45">
        <v>1017924</v>
      </c>
      <c r="J156" s="45"/>
      <c r="K156" s="45">
        <v>7911</v>
      </c>
      <c r="L156" s="45"/>
      <c r="M156" s="45">
        <v>0</v>
      </c>
      <c r="N156" s="45"/>
      <c r="O156" s="45">
        <v>0</v>
      </c>
      <c r="P156" s="45"/>
      <c r="Q156" s="45">
        <v>0</v>
      </c>
      <c r="R156" s="45"/>
      <c r="S156" s="45">
        <v>0</v>
      </c>
      <c r="T156" s="45"/>
      <c r="U156" s="45">
        <v>0</v>
      </c>
      <c r="V156" s="45"/>
      <c r="W156" s="45">
        <v>0</v>
      </c>
      <c r="X156" s="45"/>
      <c r="Y156" s="45">
        <v>0</v>
      </c>
      <c r="Z156" s="44"/>
      <c r="AA156" s="45">
        <v>0</v>
      </c>
      <c r="AB156" s="44"/>
      <c r="AC156" s="45">
        <f t="shared" si="4"/>
        <v>27646079</v>
      </c>
      <c r="AD156" s="45"/>
      <c r="AE156" s="48">
        <v>0</v>
      </c>
      <c r="AF156" s="48"/>
      <c r="AG156" s="45">
        <v>1566790</v>
      </c>
      <c r="AH156" s="45"/>
      <c r="AI156" s="45">
        <v>3079062</v>
      </c>
      <c r="AJ156" s="45"/>
      <c r="AK156" s="45">
        <v>7702</v>
      </c>
      <c r="AL156" s="45"/>
      <c r="AM156" s="45">
        <f>+'Gen rev'!U156-'Gen exp'!AC156-AG156+'Gen rev'!W156+AI156+AK156-'Gen Bal'!S156-'Gen exp'!AE156</f>
        <v>0</v>
      </c>
      <c r="AN156" s="45"/>
      <c r="AO156" s="45"/>
      <c r="AP156" s="45"/>
      <c r="AQ156" s="45"/>
      <c r="AR156" s="52"/>
      <c r="AS156" s="50"/>
    </row>
    <row r="157" spans="1:45" s="49" customFormat="1" ht="12.75" customHeight="1">
      <c r="A157" s="28" t="s">
        <v>185</v>
      </c>
      <c r="C157" s="28" t="s">
        <v>80</v>
      </c>
      <c r="E157" s="45">
        <v>1642248</v>
      </c>
      <c r="F157" s="45"/>
      <c r="G157" s="45">
        <v>383844</v>
      </c>
      <c r="H157" s="45"/>
      <c r="I157" s="45">
        <v>266729</v>
      </c>
      <c r="J157" s="45"/>
      <c r="K157" s="45">
        <v>667764</v>
      </c>
      <c r="L157" s="45"/>
      <c r="M157" s="45">
        <v>383345</v>
      </c>
      <c r="N157" s="45"/>
      <c r="O157" s="45">
        <v>14083</v>
      </c>
      <c r="P157" s="45"/>
      <c r="Q157" s="45">
        <v>189075</v>
      </c>
      <c r="R157" s="45"/>
      <c r="S157" s="45">
        <v>0</v>
      </c>
      <c r="T157" s="45"/>
      <c r="U157" s="45">
        <v>0</v>
      </c>
      <c r="V157" s="45"/>
      <c r="W157" s="45">
        <v>1735</v>
      </c>
      <c r="X157" s="45"/>
      <c r="Y157" s="45">
        <v>521</v>
      </c>
      <c r="Z157" s="44"/>
      <c r="AA157" s="45">
        <v>0</v>
      </c>
      <c r="AB157" s="44"/>
      <c r="AC157" s="45">
        <f t="shared" si="4"/>
        <v>3549344</v>
      </c>
      <c r="AD157" s="45"/>
      <c r="AE157" s="48">
        <v>0</v>
      </c>
      <c r="AF157" s="48"/>
      <c r="AG157" s="45">
        <v>6299055</v>
      </c>
      <c r="AH157" s="45"/>
      <c r="AI157" s="45">
        <v>14140893</v>
      </c>
      <c r="AJ157" s="45"/>
      <c r="AK157" s="45">
        <v>0</v>
      </c>
      <c r="AL157" s="45"/>
      <c r="AM157" s="45">
        <f>+'Gen rev'!U157-'Gen exp'!AC157-AG157+'Gen rev'!W157+AI157+AK157-'Gen Bal'!S157-'Gen exp'!AE157</f>
        <v>0</v>
      </c>
      <c r="AN157" s="44"/>
      <c r="AO157" s="44"/>
      <c r="AP157" s="44"/>
      <c r="AQ157" s="44"/>
      <c r="AR157" s="52"/>
      <c r="AS157" s="50"/>
    </row>
    <row r="158" spans="1:45" s="49" customFormat="1" ht="12.75" customHeight="1">
      <c r="A158" s="28" t="s">
        <v>186</v>
      </c>
      <c r="C158" s="28" t="s">
        <v>15</v>
      </c>
      <c r="E158" s="45">
        <v>1887908</v>
      </c>
      <c r="F158" s="45"/>
      <c r="G158" s="45">
        <v>3092918</v>
      </c>
      <c r="H158" s="45"/>
      <c r="I158" s="45">
        <v>471444</v>
      </c>
      <c r="J158" s="45"/>
      <c r="K158" s="45">
        <v>96050</v>
      </c>
      <c r="L158" s="45"/>
      <c r="M158" s="45">
        <v>0</v>
      </c>
      <c r="N158" s="45"/>
      <c r="O158" s="45">
        <v>816908</v>
      </c>
      <c r="P158" s="45"/>
      <c r="Q158" s="45">
        <v>0</v>
      </c>
      <c r="R158" s="45"/>
      <c r="S158" s="45">
        <v>0</v>
      </c>
      <c r="T158" s="45"/>
      <c r="U158" s="45">
        <v>0</v>
      </c>
      <c r="V158" s="45"/>
      <c r="W158" s="45">
        <v>0</v>
      </c>
      <c r="X158" s="45"/>
      <c r="Y158" s="45">
        <v>0</v>
      </c>
      <c r="Z158" s="44"/>
      <c r="AA158" s="45">
        <v>0</v>
      </c>
      <c r="AB158" s="44"/>
      <c r="AC158" s="45">
        <f t="shared" si="4"/>
        <v>6365228</v>
      </c>
      <c r="AD158" s="45"/>
      <c r="AE158" s="48">
        <v>0</v>
      </c>
      <c r="AF158" s="48"/>
      <c r="AG158" s="45">
        <v>2067000</v>
      </c>
      <c r="AH158" s="45"/>
      <c r="AI158" s="45">
        <v>3137056</v>
      </c>
      <c r="AJ158" s="45"/>
      <c r="AK158" s="45">
        <v>0</v>
      </c>
      <c r="AL158" s="45"/>
      <c r="AM158" s="45">
        <f>+'Gen rev'!U158-'Gen exp'!AC158-AG158+'Gen rev'!W158+AI158+AK158-'Gen Bal'!S159-'Gen exp'!AE158</f>
        <v>0</v>
      </c>
      <c r="AN158" s="45"/>
      <c r="AO158" s="45"/>
      <c r="AP158" s="45"/>
      <c r="AQ158" s="45"/>
      <c r="AR158" s="52"/>
      <c r="AS158" s="50"/>
    </row>
    <row r="159" spans="1:45" s="44" customFormat="1" ht="12.75" customHeight="1">
      <c r="A159" s="35" t="s">
        <v>187</v>
      </c>
      <c r="C159" s="35" t="s">
        <v>27</v>
      </c>
      <c r="E159" s="45">
        <v>3467799</v>
      </c>
      <c r="F159" s="45"/>
      <c r="G159" s="45">
        <v>11553720</v>
      </c>
      <c r="H159" s="45"/>
      <c r="I159" s="45">
        <v>415238</v>
      </c>
      <c r="J159" s="45"/>
      <c r="K159" s="45">
        <v>481883</v>
      </c>
      <c r="L159" s="45"/>
      <c r="M159" s="45">
        <v>2145666</v>
      </c>
      <c r="N159" s="45"/>
      <c r="O159" s="45">
        <v>0</v>
      </c>
      <c r="P159" s="45"/>
      <c r="Q159" s="45">
        <v>0</v>
      </c>
      <c r="R159" s="45"/>
      <c r="S159" s="45">
        <v>0</v>
      </c>
      <c r="T159" s="45"/>
      <c r="U159" s="45">
        <v>0</v>
      </c>
      <c r="V159" s="45"/>
      <c r="W159" s="45">
        <v>21454</v>
      </c>
      <c r="X159" s="45"/>
      <c r="Y159" s="45">
        <v>630</v>
      </c>
      <c r="AA159" s="45">
        <v>0</v>
      </c>
      <c r="AC159" s="45">
        <f t="shared" si="4"/>
        <v>18086390</v>
      </c>
      <c r="AD159" s="45"/>
      <c r="AE159" s="48">
        <v>0</v>
      </c>
      <c r="AF159" s="48"/>
      <c r="AG159" s="45">
        <v>60000</v>
      </c>
      <c r="AH159" s="45"/>
      <c r="AI159" s="45">
        <v>3180410</v>
      </c>
      <c r="AJ159" s="45"/>
      <c r="AK159" s="45">
        <v>0</v>
      </c>
      <c r="AL159" s="45"/>
      <c r="AM159" s="45">
        <f>+'Gen rev'!U159-'Gen exp'!AC159-AG159+'Gen rev'!W159+AI159+AK159-'Gen Bal'!S160-'Gen exp'!AE159</f>
        <v>0</v>
      </c>
      <c r="AN159" s="45"/>
      <c r="AO159" s="45"/>
      <c r="AP159" s="45"/>
      <c r="AQ159" s="45"/>
      <c r="AR159" s="55"/>
      <c r="AS159" s="35"/>
    </row>
    <row r="160" spans="1:45" s="49" customFormat="1" ht="12.75" customHeight="1">
      <c r="A160" s="28" t="s">
        <v>189</v>
      </c>
      <c r="C160" s="28" t="s">
        <v>17</v>
      </c>
      <c r="E160" s="45">
        <v>2954682</v>
      </c>
      <c r="F160" s="45"/>
      <c r="G160" s="45">
        <v>5596929</v>
      </c>
      <c r="H160" s="45"/>
      <c r="I160" s="45">
        <v>1469339</v>
      </c>
      <c r="J160" s="45"/>
      <c r="K160" s="45">
        <v>364609</v>
      </c>
      <c r="L160" s="45"/>
      <c r="M160" s="45">
        <v>0</v>
      </c>
      <c r="N160" s="45"/>
      <c r="O160" s="45">
        <v>242889</v>
      </c>
      <c r="P160" s="45"/>
      <c r="Q160" s="45">
        <v>0</v>
      </c>
      <c r="R160" s="45"/>
      <c r="S160" s="45">
        <v>0</v>
      </c>
      <c r="T160" s="45"/>
      <c r="U160" s="45">
        <v>0</v>
      </c>
      <c r="V160" s="45"/>
      <c r="W160" s="45">
        <v>0</v>
      </c>
      <c r="X160" s="45"/>
      <c r="Y160" s="45">
        <v>0</v>
      </c>
      <c r="Z160" s="44"/>
      <c r="AA160" s="45">
        <v>0</v>
      </c>
      <c r="AB160" s="44"/>
      <c r="AC160" s="45">
        <f t="shared" si="4"/>
        <v>10628448</v>
      </c>
      <c r="AD160" s="45"/>
      <c r="AE160" s="48">
        <v>0</v>
      </c>
      <c r="AF160" s="48"/>
      <c r="AG160" s="45">
        <v>0</v>
      </c>
      <c r="AH160" s="45"/>
      <c r="AI160" s="45">
        <v>1561548</v>
      </c>
      <c r="AJ160" s="45"/>
      <c r="AK160" s="45">
        <v>0</v>
      </c>
      <c r="AL160" s="45"/>
      <c r="AM160" s="45">
        <f>+'Gen rev'!U160-'Gen exp'!AC160-AG160+'Gen rev'!W160+AI160+AK160-'Gen Bal'!S161-'Gen exp'!AE160</f>
        <v>0</v>
      </c>
      <c r="AN160" s="55"/>
      <c r="AO160" s="55"/>
      <c r="AP160" s="55"/>
      <c r="AQ160" s="55"/>
      <c r="AR160" s="52"/>
      <c r="AS160" s="50"/>
    </row>
    <row r="161" spans="1:45" s="49" customFormat="1" ht="12.75" customHeight="1">
      <c r="A161" s="28" t="s">
        <v>188</v>
      </c>
      <c r="C161" s="28" t="s">
        <v>27</v>
      </c>
      <c r="E161" s="45">
        <v>2967416</v>
      </c>
      <c r="F161" s="45"/>
      <c r="G161" s="45">
        <v>5061539</v>
      </c>
      <c r="H161" s="45"/>
      <c r="I161" s="45">
        <v>806618</v>
      </c>
      <c r="J161" s="45"/>
      <c r="K161" s="45">
        <v>237047</v>
      </c>
      <c r="L161" s="45"/>
      <c r="M161" s="45">
        <v>81393</v>
      </c>
      <c r="N161" s="45"/>
      <c r="O161" s="45">
        <v>468613</v>
      </c>
      <c r="P161" s="45"/>
      <c r="Q161" s="45">
        <v>1480156</v>
      </c>
      <c r="R161" s="45"/>
      <c r="S161" s="45">
        <v>52710</v>
      </c>
      <c r="T161" s="45"/>
      <c r="U161" s="45">
        <v>0</v>
      </c>
      <c r="V161" s="45"/>
      <c r="W161" s="45">
        <v>121305</v>
      </c>
      <c r="X161" s="45"/>
      <c r="Y161" s="45">
        <v>13113</v>
      </c>
      <c r="Z161" s="44"/>
      <c r="AA161" s="45">
        <v>0</v>
      </c>
      <c r="AB161" s="44"/>
      <c r="AC161" s="45">
        <f t="shared" si="4"/>
        <v>11289910</v>
      </c>
      <c r="AD161" s="45"/>
      <c r="AE161" s="48">
        <v>0</v>
      </c>
      <c r="AF161" s="48"/>
      <c r="AG161" s="45">
        <v>1668000</v>
      </c>
      <c r="AH161" s="45"/>
      <c r="AI161" s="45">
        <v>3489277</v>
      </c>
      <c r="AJ161" s="45"/>
      <c r="AK161" s="45">
        <v>0</v>
      </c>
      <c r="AL161" s="45"/>
      <c r="AM161" s="45">
        <f>+'Gen rev'!U161-'Gen exp'!AC161-AG161+'Gen rev'!W161+AI161+AK161-'Gen Bal'!S162-'Gen exp'!AE161</f>
        <v>0</v>
      </c>
      <c r="AN161" s="44"/>
      <c r="AO161" s="44"/>
      <c r="AP161" s="44"/>
      <c r="AQ161" s="44"/>
    </row>
    <row r="162" spans="1:45" s="49" customFormat="1" ht="12.75" customHeight="1">
      <c r="A162" s="28" t="s">
        <v>190</v>
      </c>
      <c r="C162" s="28" t="s">
        <v>47</v>
      </c>
      <c r="E162" s="45">
        <v>1547714</v>
      </c>
      <c r="F162" s="45"/>
      <c r="G162" s="45">
        <v>2757681</v>
      </c>
      <c r="H162" s="45"/>
      <c r="I162" s="45">
        <v>90503</v>
      </c>
      <c r="J162" s="45"/>
      <c r="K162" s="45">
        <v>8975</v>
      </c>
      <c r="L162" s="45"/>
      <c r="M162" s="45">
        <v>223788</v>
      </c>
      <c r="N162" s="45"/>
      <c r="O162" s="45">
        <v>65645</v>
      </c>
      <c r="P162" s="45"/>
      <c r="Q162" s="45">
        <v>0</v>
      </c>
      <c r="R162" s="45"/>
      <c r="S162" s="45">
        <v>0</v>
      </c>
      <c r="T162" s="45"/>
      <c r="U162" s="45">
        <v>0</v>
      </c>
      <c r="V162" s="45"/>
      <c r="W162" s="45">
        <v>0</v>
      </c>
      <c r="X162" s="45"/>
      <c r="Y162" s="45">
        <v>0</v>
      </c>
      <c r="Z162" s="44"/>
      <c r="AA162" s="45">
        <v>0</v>
      </c>
      <c r="AB162" s="44"/>
      <c r="AC162" s="45">
        <f t="shared" si="4"/>
        <v>4694306</v>
      </c>
      <c r="AD162" s="45"/>
      <c r="AE162" s="48">
        <v>0</v>
      </c>
      <c r="AF162" s="48"/>
      <c r="AG162" s="45">
        <v>0</v>
      </c>
      <c r="AH162" s="45"/>
      <c r="AI162" s="45">
        <v>986738</v>
      </c>
      <c r="AJ162" s="45"/>
      <c r="AK162" s="45">
        <v>1418</v>
      </c>
      <c r="AL162" s="45"/>
      <c r="AM162" s="45">
        <f>+'Gen rev'!U162-'Gen exp'!AC162-AG162+'Gen rev'!W162+AI162+AK162-'Gen Bal'!S163-'Gen exp'!AE162</f>
        <v>0</v>
      </c>
      <c r="AN162" s="44"/>
      <c r="AO162" s="44"/>
      <c r="AP162" s="44"/>
      <c r="AQ162" s="44"/>
    </row>
    <row r="163" spans="1:45" s="49" customFormat="1" ht="12.75" customHeight="1">
      <c r="A163" s="28" t="s">
        <v>191</v>
      </c>
      <c r="C163" s="28" t="s">
        <v>13</v>
      </c>
      <c r="E163" s="45">
        <v>2444757</v>
      </c>
      <c r="F163" s="45"/>
      <c r="G163" s="45">
        <v>2187712</v>
      </c>
      <c r="H163" s="45"/>
      <c r="I163" s="45">
        <v>221965</v>
      </c>
      <c r="J163" s="45"/>
      <c r="K163" s="45">
        <v>0</v>
      </c>
      <c r="L163" s="45"/>
      <c r="M163" s="45">
        <v>0</v>
      </c>
      <c r="N163" s="45"/>
      <c r="O163" s="45">
        <v>227452</v>
      </c>
      <c r="P163" s="45"/>
      <c r="Q163" s="45">
        <v>0</v>
      </c>
      <c r="R163" s="45"/>
      <c r="S163" s="45">
        <v>0</v>
      </c>
      <c r="T163" s="45"/>
      <c r="U163" s="45">
        <v>0</v>
      </c>
      <c r="V163" s="45"/>
      <c r="W163" s="45">
        <v>9364</v>
      </c>
      <c r="X163" s="45"/>
      <c r="Y163" s="45">
        <v>3298</v>
      </c>
      <c r="Z163" s="44"/>
      <c r="AA163" s="45">
        <v>0</v>
      </c>
      <c r="AB163" s="44"/>
      <c r="AC163" s="45">
        <f t="shared" si="4"/>
        <v>5094548</v>
      </c>
      <c r="AD163" s="45"/>
      <c r="AE163" s="48">
        <v>0</v>
      </c>
      <c r="AF163" s="48"/>
      <c r="AG163" s="45">
        <v>1043419</v>
      </c>
      <c r="AH163" s="45"/>
      <c r="AI163" s="45">
        <v>1686923</v>
      </c>
      <c r="AJ163" s="45"/>
      <c r="AK163" s="45">
        <v>0</v>
      </c>
      <c r="AL163" s="45"/>
      <c r="AM163" s="45">
        <f>+'Gen rev'!U163-'Gen exp'!AC163-AG163+'Gen rev'!W163+AI163+AK163-'Gen Bal'!S164-'Gen exp'!AE163</f>
        <v>0</v>
      </c>
      <c r="AN163" s="44"/>
      <c r="AO163" s="44"/>
      <c r="AP163" s="44"/>
      <c r="AQ163" s="44"/>
    </row>
    <row r="164" spans="1:45" s="49" customFormat="1" ht="12.75" customHeight="1">
      <c r="A164" s="28" t="s">
        <v>192</v>
      </c>
      <c r="C164" s="28" t="s">
        <v>38</v>
      </c>
      <c r="E164" s="45">
        <v>2131386</v>
      </c>
      <c r="F164" s="45"/>
      <c r="G164" s="45">
        <v>4027577</v>
      </c>
      <c r="H164" s="45"/>
      <c r="I164" s="45">
        <v>70407</v>
      </c>
      <c r="J164" s="45"/>
      <c r="K164" s="45">
        <v>135652</v>
      </c>
      <c r="L164" s="45"/>
      <c r="M164" s="45">
        <v>8443</v>
      </c>
      <c r="N164" s="45"/>
      <c r="O164" s="45">
        <v>0</v>
      </c>
      <c r="P164" s="45"/>
      <c r="Q164" s="45">
        <v>0</v>
      </c>
      <c r="R164" s="45"/>
      <c r="S164" s="45">
        <v>3252</v>
      </c>
      <c r="T164" s="45"/>
      <c r="U164" s="45">
        <v>0</v>
      </c>
      <c r="V164" s="45"/>
      <c r="W164" s="45">
        <v>14199</v>
      </c>
      <c r="X164" s="45"/>
      <c r="Y164" s="45">
        <v>9462</v>
      </c>
      <c r="Z164" s="44"/>
      <c r="AA164" s="45">
        <v>0</v>
      </c>
      <c r="AB164" s="44"/>
      <c r="AC164" s="45">
        <f t="shared" si="4"/>
        <v>6400378</v>
      </c>
      <c r="AD164" s="45"/>
      <c r="AE164" s="48">
        <v>0</v>
      </c>
      <c r="AF164" s="48"/>
      <c r="AG164" s="45">
        <v>948212</v>
      </c>
      <c r="AH164" s="45"/>
      <c r="AI164" s="45">
        <v>3105103</v>
      </c>
      <c r="AJ164" s="45"/>
      <c r="AK164" s="45">
        <v>0</v>
      </c>
      <c r="AL164" s="45"/>
      <c r="AM164" s="45">
        <f>+'Gen rev'!U164-'Gen exp'!AC164-AG164+'Gen rev'!W164+AI164+AK164-'Gen Bal'!S165-'Gen exp'!AE164</f>
        <v>0</v>
      </c>
      <c r="AN164" s="44"/>
      <c r="AO164" s="44"/>
      <c r="AP164" s="44"/>
      <c r="AQ164" s="44"/>
    </row>
    <row r="165" spans="1:45" s="46" customFormat="1" ht="12.75" customHeight="1">
      <c r="A165" s="28" t="s">
        <v>193</v>
      </c>
      <c r="B165" s="49"/>
      <c r="C165" s="28" t="s">
        <v>45</v>
      </c>
      <c r="D165" s="49"/>
      <c r="E165" s="45">
        <f>4138472+104896</f>
        <v>4243368</v>
      </c>
      <c r="F165" s="45"/>
      <c r="G165" s="45">
        <f>7347808+7430156</f>
        <v>14777964</v>
      </c>
      <c r="H165" s="45"/>
      <c r="I165" s="45">
        <v>0</v>
      </c>
      <c r="J165" s="45"/>
      <c r="K165" s="45">
        <v>971831</v>
      </c>
      <c r="L165" s="45"/>
      <c r="M165" s="45">
        <v>0</v>
      </c>
      <c r="N165" s="45"/>
      <c r="O165" s="45">
        <v>0</v>
      </c>
      <c r="P165" s="45"/>
      <c r="Q165" s="45">
        <v>14915</v>
      </c>
      <c r="R165" s="45"/>
      <c r="S165" s="45">
        <v>62971</v>
      </c>
      <c r="T165" s="45"/>
      <c r="U165" s="45">
        <v>0</v>
      </c>
      <c r="V165" s="45"/>
      <c r="W165" s="45">
        <v>166502</v>
      </c>
      <c r="X165" s="45"/>
      <c r="Y165" s="45">
        <v>30491</v>
      </c>
      <c r="Z165" s="44"/>
      <c r="AA165" s="45">
        <v>0</v>
      </c>
      <c r="AB165" s="44"/>
      <c r="AC165" s="45">
        <f t="shared" si="4"/>
        <v>20268042</v>
      </c>
      <c r="AD165" s="45"/>
      <c r="AE165" s="48">
        <v>0</v>
      </c>
      <c r="AF165" s="48"/>
      <c r="AG165" s="45">
        <v>1810772</v>
      </c>
      <c r="AH165" s="45"/>
      <c r="AI165" s="45">
        <v>2621709</v>
      </c>
      <c r="AJ165" s="45"/>
      <c r="AK165" s="45"/>
      <c r="AL165" s="45"/>
      <c r="AM165" s="45">
        <f>+'Gen rev'!U165-'Gen exp'!AC165-AG165+'Gen rev'!W165+AI165+AK165-'Gen Bal'!S166-'Gen exp'!AE165</f>
        <v>0</v>
      </c>
      <c r="AN165" s="65"/>
    </row>
    <row r="166" spans="1:45" s="49" customFormat="1" ht="12.75" customHeight="1">
      <c r="A166" s="28" t="s">
        <v>194</v>
      </c>
      <c r="C166" s="28" t="s">
        <v>66</v>
      </c>
      <c r="E166" s="45">
        <v>2340080</v>
      </c>
      <c r="F166" s="45"/>
      <c r="G166" s="45">
        <v>4867552</v>
      </c>
      <c r="H166" s="45"/>
      <c r="I166" s="45">
        <v>608717</v>
      </c>
      <c r="J166" s="45"/>
      <c r="K166" s="45">
        <v>0</v>
      </c>
      <c r="L166" s="45"/>
      <c r="M166" s="45">
        <v>0</v>
      </c>
      <c r="N166" s="45"/>
      <c r="O166" s="45">
        <v>0</v>
      </c>
      <c r="P166" s="45"/>
      <c r="Q166" s="45">
        <v>0</v>
      </c>
      <c r="R166" s="45"/>
      <c r="S166" s="45">
        <v>0</v>
      </c>
      <c r="T166" s="45"/>
      <c r="U166" s="45">
        <v>0</v>
      </c>
      <c r="V166" s="45"/>
      <c r="W166" s="45">
        <v>0</v>
      </c>
      <c r="X166" s="45"/>
      <c r="Y166" s="45">
        <v>59097</v>
      </c>
      <c r="Z166" s="44"/>
      <c r="AA166" s="45">
        <v>0</v>
      </c>
      <c r="AB166" s="44"/>
      <c r="AC166" s="45">
        <f t="shared" si="4"/>
        <v>7875446</v>
      </c>
      <c r="AD166" s="45"/>
      <c r="AE166" s="48">
        <v>0</v>
      </c>
      <c r="AF166" s="48"/>
      <c r="AG166" s="45">
        <v>2792862</v>
      </c>
      <c r="AH166" s="45"/>
      <c r="AI166" s="45">
        <v>6410130</v>
      </c>
      <c r="AJ166" s="45"/>
      <c r="AK166" s="45">
        <v>0</v>
      </c>
      <c r="AL166" s="45"/>
      <c r="AM166" s="45">
        <f>+'Gen rev'!U166-'Gen exp'!AC166-AG166+'Gen rev'!W166+AI166+AK166-'Gen Bal'!S167-'Gen exp'!AE166</f>
        <v>0</v>
      </c>
      <c r="AN166" s="44"/>
      <c r="AO166" s="44"/>
      <c r="AP166" s="44"/>
      <c r="AQ166" s="44"/>
    </row>
    <row r="167" spans="1:45" s="49" customFormat="1" ht="12.75" customHeight="1">
      <c r="A167" s="28" t="s">
        <v>195</v>
      </c>
      <c r="C167" s="28" t="s">
        <v>17</v>
      </c>
      <c r="E167" s="45">
        <v>3219467</v>
      </c>
      <c r="F167" s="45"/>
      <c r="G167" s="45">
        <v>2884414</v>
      </c>
      <c r="H167" s="45"/>
      <c r="I167" s="45">
        <v>408095</v>
      </c>
      <c r="J167" s="45"/>
      <c r="K167" s="45">
        <v>115793</v>
      </c>
      <c r="L167" s="45"/>
      <c r="M167" s="45">
        <v>186285</v>
      </c>
      <c r="N167" s="45"/>
      <c r="O167" s="45">
        <v>637830</v>
      </c>
      <c r="P167" s="45"/>
      <c r="Q167" s="45">
        <v>0</v>
      </c>
      <c r="R167" s="45"/>
      <c r="S167" s="45">
        <v>0</v>
      </c>
      <c r="T167" s="45"/>
      <c r="U167" s="45">
        <v>0</v>
      </c>
      <c r="V167" s="45"/>
      <c r="W167" s="45">
        <v>0</v>
      </c>
      <c r="X167" s="45"/>
      <c r="Y167" s="45">
        <v>0</v>
      </c>
      <c r="Z167" s="44"/>
      <c r="AA167" s="45">
        <v>0</v>
      </c>
      <c r="AB167" s="44"/>
      <c r="AC167" s="45">
        <f t="shared" si="4"/>
        <v>7451884</v>
      </c>
      <c r="AD167" s="45"/>
      <c r="AE167" s="48">
        <v>0</v>
      </c>
      <c r="AF167" s="48"/>
      <c r="AG167" s="45">
        <v>503121</v>
      </c>
      <c r="AH167" s="45"/>
      <c r="AI167" s="45">
        <v>9584668</v>
      </c>
      <c r="AJ167" s="45"/>
      <c r="AK167" s="45">
        <v>879</v>
      </c>
      <c r="AL167" s="45"/>
      <c r="AM167" s="45">
        <f>+'Gen rev'!U167-'Gen exp'!AC167-AG167+'Gen rev'!W167+AI167+AK167-'Gen Bal'!S168-'Gen exp'!AE167</f>
        <v>0</v>
      </c>
      <c r="AN167" s="44"/>
      <c r="AO167" s="44"/>
      <c r="AP167" s="44"/>
      <c r="AQ167" s="44"/>
    </row>
    <row r="168" spans="1:45" s="49" customFormat="1" ht="12.75" hidden="1" customHeight="1">
      <c r="A168" s="28" t="s">
        <v>196</v>
      </c>
      <c r="C168" s="28" t="s">
        <v>27</v>
      </c>
      <c r="E168" s="45">
        <v>0</v>
      </c>
      <c r="F168" s="45"/>
      <c r="G168" s="45">
        <v>0</v>
      </c>
      <c r="H168" s="45"/>
      <c r="I168" s="45">
        <v>0</v>
      </c>
      <c r="J168" s="45"/>
      <c r="K168" s="45">
        <v>0</v>
      </c>
      <c r="L168" s="45"/>
      <c r="M168" s="45">
        <v>0</v>
      </c>
      <c r="N168" s="45"/>
      <c r="O168" s="45">
        <v>0</v>
      </c>
      <c r="P168" s="45"/>
      <c r="Q168" s="45">
        <v>0</v>
      </c>
      <c r="R168" s="45"/>
      <c r="S168" s="45">
        <v>0</v>
      </c>
      <c r="T168" s="45"/>
      <c r="U168" s="45">
        <v>0</v>
      </c>
      <c r="V168" s="45"/>
      <c r="W168" s="45">
        <v>0</v>
      </c>
      <c r="X168" s="45"/>
      <c r="Y168" s="45">
        <v>0</v>
      </c>
      <c r="Z168" s="44"/>
      <c r="AA168" s="45">
        <v>0</v>
      </c>
      <c r="AB168" s="44"/>
      <c r="AC168" s="45">
        <f t="shared" si="4"/>
        <v>0</v>
      </c>
      <c r="AD168" s="45"/>
      <c r="AE168" s="48">
        <v>0</v>
      </c>
      <c r="AF168" s="48"/>
      <c r="AG168" s="45">
        <v>0</v>
      </c>
      <c r="AH168" s="45"/>
      <c r="AI168" s="45">
        <v>0</v>
      </c>
      <c r="AJ168" s="45"/>
      <c r="AK168" s="45">
        <v>0</v>
      </c>
      <c r="AL168" s="45"/>
      <c r="AM168" s="45">
        <f>+'Gen rev'!U168-'Gen exp'!AC168-AG168+'Gen rev'!W168+AI168+AK168-'Gen Bal'!S169-'Gen exp'!AE168</f>
        <v>0</v>
      </c>
      <c r="AN168" s="55"/>
      <c r="AO168" s="55"/>
      <c r="AP168" s="55"/>
      <c r="AQ168" s="55"/>
      <c r="AR168" s="52"/>
      <c r="AS168" s="50"/>
    </row>
    <row r="169" spans="1:45" s="49" customFormat="1" ht="12.75" customHeight="1">
      <c r="A169" s="28" t="s">
        <v>402</v>
      </c>
      <c r="C169" s="28" t="s">
        <v>153</v>
      </c>
      <c r="E169" s="45">
        <v>1341398</v>
      </c>
      <c r="F169" s="45"/>
      <c r="G169" s="45">
        <v>1873326</v>
      </c>
      <c r="H169" s="45"/>
      <c r="I169" s="45">
        <v>31961</v>
      </c>
      <c r="J169" s="45"/>
      <c r="K169" s="45">
        <v>0</v>
      </c>
      <c r="L169" s="45"/>
      <c r="M169" s="45">
        <v>29586</v>
      </c>
      <c r="N169" s="45"/>
      <c r="O169" s="45">
        <v>92804</v>
      </c>
      <c r="P169" s="45"/>
      <c r="Q169" s="45">
        <v>0</v>
      </c>
      <c r="R169" s="45"/>
      <c r="S169" s="45">
        <v>0</v>
      </c>
      <c r="T169" s="45"/>
      <c r="U169" s="45">
        <v>0</v>
      </c>
      <c r="V169" s="45"/>
      <c r="W169" s="45">
        <v>27502</v>
      </c>
      <c r="X169" s="45"/>
      <c r="Y169" s="45">
        <v>5408</v>
      </c>
      <c r="Z169" s="44"/>
      <c r="AA169" s="45">
        <v>0</v>
      </c>
      <c r="AB169" s="44"/>
      <c r="AC169" s="45">
        <f t="shared" si="4"/>
        <v>3401985</v>
      </c>
      <c r="AD169" s="45"/>
      <c r="AE169" s="48">
        <v>0</v>
      </c>
      <c r="AF169" s="48"/>
      <c r="AG169" s="45">
        <v>167000</v>
      </c>
      <c r="AH169" s="45"/>
      <c r="AI169" s="45">
        <v>1597875</v>
      </c>
      <c r="AJ169" s="45"/>
      <c r="AK169" s="45">
        <v>0</v>
      </c>
      <c r="AL169" s="45"/>
      <c r="AM169" s="45">
        <f>+'Gen rev'!U169-'Gen exp'!AC169-AG169+'Gen rev'!W169+AI169+AK169-'Gen Bal'!S170-'Gen exp'!AE169</f>
        <v>0</v>
      </c>
      <c r="AN169" s="45"/>
      <c r="AO169" s="45"/>
      <c r="AP169" s="45"/>
      <c r="AQ169" s="45"/>
      <c r="AR169" s="52"/>
      <c r="AS169" s="50"/>
    </row>
    <row r="170" spans="1:45" s="49" customFormat="1" ht="12.75" customHeight="1">
      <c r="A170" s="64" t="s">
        <v>197</v>
      </c>
      <c r="B170" s="46"/>
      <c r="C170" s="64" t="s">
        <v>163</v>
      </c>
      <c r="D170" s="46"/>
      <c r="E170" s="45">
        <v>3756129</v>
      </c>
      <c r="F170" s="45"/>
      <c r="G170" s="45">
        <v>8296922</v>
      </c>
      <c r="H170" s="45"/>
      <c r="I170" s="45">
        <v>640286</v>
      </c>
      <c r="J170" s="45"/>
      <c r="K170" s="45">
        <v>433521</v>
      </c>
      <c r="L170" s="45"/>
      <c r="M170" s="45">
        <v>2702082</v>
      </c>
      <c r="N170" s="45"/>
      <c r="O170" s="45">
        <v>37100</v>
      </c>
      <c r="P170" s="45"/>
      <c r="Q170" s="45">
        <v>0</v>
      </c>
      <c r="R170" s="45"/>
      <c r="S170" s="45">
        <v>0</v>
      </c>
      <c r="T170" s="45"/>
      <c r="U170" s="45">
        <v>0</v>
      </c>
      <c r="V170" s="45"/>
      <c r="W170" s="45">
        <v>0</v>
      </c>
      <c r="X170" s="45"/>
      <c r="Y170" s="45">
        <v>0</v>
      </c>
      <c r="Z170" s="44"/>
      <c r="AA170" s="45">
        <v>0</v>
      </c>
      <c r="AB170" s="44"/>
      <c r="AC170" s="45">
        <f t="shared" si="4"/>
        <v>15866040</v>
      </c>
      <c r="AD170" s="45"/>
      <c r="AE170" s="48">
        <v>0</v>
      </c>
      <c r="AF170" s="48"/>
      <c r="AG170" s="45">
        <v>2951189</v>
      </c>
      <c r="AH170" s="45"/>
      <c r="AI170" s="45">
        <v>17362213</v>
      </c>
      <c r="AJ170" s="45"/>
      <c r="AK170" s="45">
        <v>5899</v>
      </c>
      <c r="AL170" s="45"/>
      <c r="AM170" s="45">
        <f>+'Gen rev'!U170-'Gen exp'!AC170-AG170+'Gen rev'!W170+AI170+AK170-'Gen Bal'!S171-'Gen exp'!AE170</f>
        <v>0</v>
      </c>
      <c r="AN170" s="44"/>
      <c r="AO170" s="44"/>
      <c r="AP170" s="44"/>
      <c r="AQ170" s="44"/>
    </row>
    <row r="171" spans="1:45" s="49" customFormat="1" ht="12.75" customHeight="1">
      <c r="A171" s="28" t="s">
        <v>198</v>
      </c>
      <c r="C171" s="28" t="s">
        <v>199</v>
      </c>
      <c r="E171" s="45">
        <v>1156424</v>
      </c>
      <c r="F171" s="45"/>
      <c r="G171" s="45">
        <f>1658232+421343</f>
        <v>2079575</v>
      </c>
      <c r="H171" s="45"/>
      <c r="I171" s="45">
        <v>0</v>
      </c>
      <c r="J171" s="45"/>
      <c r="K171" s="45">
        <v>140300</v>
      </c>
      <c r="L171" s="45"/>
      <c r="M171" s="45">
        <v>561298</v>
      </c>
      <c r="N171" s="45"/>
      <c r="O171" s="45">
        <v>312299</v>
      </c>
      <c r="P171" s="45"/>
      <c r="Q171" s="45">
        <v>0</v>
      </c>
      <c r="R171" s="45"/>
      <c r="S171" s="45">
        <v>0</v>
      </c>
      <c r="T171" s="45"/>
      <c r="U171" s="45">
        <v>0</v>
      </c>
      <c r="V171" s="45"/>
      <c r="W171" s="45">
        <v>0</v>
      </c>
      <c r="X171" s="45"/>
      <c r="Y171" s="45">
        <v>0</v>
      </c>
      <c r="Z171" s="44"/>
      <c r="AA171" s="45">
        <v>0</v>
      </c>
      <c r="AB171" s="44"/>
      <c r="AC171" s="45">
        <f t="shared" si="4"/>
        <v>4249896</v>
      </c>
      <c r="AD171" s="45"/>
      <c r="AE171" s="48">
        <v>0</v>
      </c>
      <c r="AF171" s="48"/>
      <c r="AG171" s="45">
        <v>1175217</v>
      </c>
      <c r="AH171" s="45"/>
      <c r="AI171" s="45">
        <v>2860250</v>
      </c>
      <c r="AJ171" s="45"/>
      <c r="AK171" s="45">
        <v>0</v>
      </c>
      <c r="AL171" s="45"/>
      <c r="AM171" s="45">
        <f>+'Gen rev'!U171-'Gen exp'!AC171-AG171+'Gen rev'!W171+AI171+AK171-'Gen Bal'!S172-'Gen exp'!AE171</f>
        <v>0</v>
      </c>
      <c r="AN171" s="44"/>
      <c r="AO171" s="44"/>
      <c r="AP171" s="44"/>
      <c r="AQ171" s="44"/>
    </row>
    <row r="172" spans="1:45" s="49" customFormat="1" ht="12.75" customHeight="1">
      <c r="A172" s="28" t="s">
        <v>200</v>
      </c>
      <c r="C172" s="28" t="s">
        <v>103</v>
      </c>
      <c r="E172" s="45">
        <v>1660998</v>
      </c>
      <c r="F172" s="45"/>
      <c r="G172" s="45">
        <v>5114840</v>
      </c>
      <c r="H172" s="45"/>
      <c r="I172" s="45">
        <v>765905</v>
      </c>
      <c r="J172" s="45"/>
      <c r="K172" s="45">
        <v>191009</v>
      </c>
      <c r="L172" s="45"/>
      <c r="M172" s="45">
        <v>0</v>
      </c>
      <c r="N172" s="45"/>
      <c r="O172" s="45">
        <v>1308926</v>
      </c>
      <c r="P172" s="45"/>
      <c r="Q172" s="45">
        <v>0</v>
      </c>
      <c r="R172" s="45"/>
      <c r="S172" s="45">
        <v>0</v>
      </c>
      <c r="T172" s="45"/>
      <c r="U172" s="45">
        <v>0</v>
      </c>
      <c r="V172" s="45"/>
      <c r="W172" s="45">
        <v>0</v>
      </c>
      <c r="X172" s="45"/>
      <c r="Y172" s="45">
        <v>0</v>
      </c>
      <c r="Z172" s="44"/>
      <c r="AA172" s="45">
        <v>0</v>
      </c>
      <c r="AB172" s="44"/>
      <c r="AC172" s="45">
        <f t="shared" si="4"/>
        <v>9041678</v>
      </c>
      <c r="AD172" s="45"/>
      <c r="AE172" s="48">
        <v>0</v>
      </c>
      <c r="AF172" s="48"/>
      <c r="AG172" s="45">
        <v>1736768</v>
      </c>
      <c r="AH172" s="45"/>
      <c r="AI172" s="45">
        <v>6238984</v>
      </c>
      <c r="AJ172" s="45"/>
      <c r="AK172" s="45">
        <v>0</v>
      </c>
      <c r="AL172" s="45"/>
      <c r="AM172" s="45">
        <f>+'Gen rev'!U172-'Gen exp'!AC172-AG172+'Gen rev'!W172+AI172+AK172-'Gen Bal'!S173-'Gen exp'!AE172</f>
        <v>0</v>
      </c>
      <c r="AN172" s="45"/>
      <c r="AO172" s="45"/>
      <c r="AP172" s="45"/>
      <c r="AQ172" s="45"/>
      <c r="AR172" s="52"/>
      <c r="AS172" s="50"/>
    </row>
    <row r="173" spans="1:45" s="49" customFormat="1" ht="12.75" customHeight="1">
      <c r="A173" s="28" t="s">
        <v>201</v>
      </c>
      <c r="C173" s="28" t="s">
        <v>92</v>
      </c>
      <c r="E173" s="45">
        <v>3589585</v>
      </c>
      <c r="F173" s="45"/>
      <c r="G173" s="45">
        <v>6587389</v>
      </c>
      <c r="H173" s="45"/>
      <c r="I173" s="45">
        <v>384883</v>
      </c>
      <c r="J173" s="45"/>
      <c r="K173" s="45">
        <v>129209</v>
      </c>
      <c r="L173" s="45"/>
      <c r="M173" s="45">
        <v>915689</v>
      </c>
      <c r="N173" s="45"/>
      <c r="O173" s="45">
        <v>776161</v>
      </c>
      <c r="P173" s="45"/>
      <c r="Q173" s="45">
        <v>0</v>
      </c>
      <c r="R173" s="45"/>
      <c r="S173" s="45">
        <v>0</v>
      </c>
      <c r="T173" s="45"/>
      <c r="U173" s="45">
        <v>0</v>
      </c>
      <c r="V173" s="45"/>
      <c r="W173" s="45">
        <v>99519</v>
      </c>
      <c r="X173" s="45"/>
      <c r="Y173" s="45">
        <v>38744</v>
      </c>
      <c r="Z173" s="44"/>
      <c r="AA173" s="45">
        <v>0</v>
      </c>
      <c r="AB173" s="44"/>
      <c r="AC173" s="45">
        <f t="shared" si="4"/>
        <v>12521179</v>
      </c>
      <c r="AD173" s="45"/>
      <c r="AE173" s="48">
        <v>0</v>
      </c>
      <c r="AF173" s="48"/>
      <c r="AG173" s="45">
        <v>819400</v>
      </c>
      <c r="AH173" s="45"/>
      <c r="AI173" s="45">
        <v>7470606</v>
      </c>
      <c r="AJ173" s="45"/>
      <c r="AK173" s="45">
        <v>-8047</v>
      </c>
      <c r="AL173" s="45"/>
      <c r="AM173" s="45">
        <f>+'Gen rev'!U173-'Gen exp'!AC173-AG173+'Gen rev'!W173+AI173+AK173-'Gen Bal'!S174-'Gen exp'!AE173</f>
        <v>0</v>
      </c>
      <c r="AN173" s="44"/>
      <c r="AO173" s="44"/>
      <c r="AP173" s="44"/>
      <c r="AQ173" s="44"/>
    </row>
    <row r="174" spans="1:45" s="49" customFormat="1" ht="12.75" customHeight="1">
      <c r="A174" s="28" t="s">
        <v>202</v>
      </c>
      <c r="C174" s="28" t="s">
        <v>27</v>
      </c>
      <c r="E174" s="45">
        <v>14933046</v>
      </c>
      <c r="F174" s="45"/>
      <c r="G174" s="45">
        <v>19548761</v>
      </c>
      <c r="H174" s="45"/>
      <c r="I174" s="45">
        <v>773982</v>
      </c>
      <c r="J174" s="45"/>
      <c r="K174" s="45">
        <v>316924</v>
      </c>
      <c r="L174" s="45"/>
      <c r="M174" s="45">
        <v>0</v>
      </c>
      <c r="N174" s="45"/>
      <c r="O174" s="45">
        <v>2277052</v>
      </c>
      <c r="P174" s="45"/>
      <c r="Q174" s="45">
        <v>0</v>
      </c>
      <c r="R174" s="45"/>
      <c r="S174" s="45">
        <v>26929</v>
      </c>
      <c r="T174" s="45"/>
      <c r="U174" s="45">
        <v>0</v>
      </c>
      <c r="V174" s="45"/>
      <c r="W174" s="45">
        <v>0</v>
      </c>
      <c r="X174" s="45"/>
      <c r="Y174" s="45">
        <v>0</v>
      </c>
      <c r="Z174" s="44"/>
      <c r="AA174" s="45">
        <v>0</v>
      </c>
      <c r="AB174" s="44"/>
      <c r="AC174" s="45">
        <f t="shared" si="4"/>
        <v>37876694</v>
      </c>
      <c r="AD174" s="45"/>
      <c r="AE174" s="48">
        <v>0</v>
      </c>
      <c r="AF174" s="48"/>
      <c r="AG174" s="45">
        <v>3670273</v>
      </c>
      <c r="AH174" s="45"/>
      <c r="AI174" s="45">
        <v>2993514</v>
      </c>
      <c r="AJ174" s="45"/>
      <c r="AK174" s="45">
        <v>0</v>
      </c>
      <c r="AL174" s="45"/>
      <c r="AM174" s="45">
        <f>+'Gen rev'!U174-'Gen exp'!AC174-AG174+'Gen rev'!W174+AI174+AK174-'Gen Bal'!S175-'Gen exp'!AE174</f>
        <v>0</v>
      </c>
      <c r="AN174" s="44"/>
      <c r="AO174" s="44"/>
      <c r="AP174" s="44"/>
      <c r="AQ174" s="44"/>
    </row>
    <row r="175" spans="1:45" s="49" customFormat="1" ht="12.75" customHeight="1">
      <c r="A175" s="64" t="s">
        <v>203</v>
      </c>
      <c r="B175" s="46"/>
      <c r="C175" s="64" t="s">
        <v>27</v>
      </c>
      <c r="D175" s="46"/>
      <c r="E175" s="45">
        <v>1907049</v>
      </c>
      <c r="F175" s="45"/>
      <c r="G175" s="45">
        <v>8223845</v>
      </c>
      <c r="H175" s="45"/>
      <c r="I175" s="45">
        <v>2538193</v>
      </c>
      <c r="J175" s="45"/>
      <c r="K175" s="45">
        <v>791517</v>
      </c>
      <c r="L175" s="45"/>
      <c r="M175" s="45">
        <v>0</v>
      </c>
      <c r="N175" s="45"/>
      <c r="O175" s="45">
        <v>111647</v>
      </c>
      <c r="P175" s="45"/>
      <c r="Q175" s="45">
        <v>223917</v>
      </c>
      <c r="R175" s="45"/>
      <c r="S175" s="45">
        <v>0</v>
      </c>
      <c r="T175" s="45"/>
      <c r="U175" s="45">
        <v>0</v>
      </c>
      <c r="V175" s="45"/>
      <c r="W175" s="45">
        <v>198127</v>
      </c>
      <c r="X175" s="45"/>
      <c r="Y175" s="45">
        <v>24561</v>
      </c>
      <c r="Z175" s="44"/>
      <c r="AA175" s="45">
        <v>0</v>
      </c>
      <c r="AB175" s="44"/>
      <c r="AC175" s="45">
        <f t="shared" si="4"/>
        <v>14018856</v>
      </c>
      <c r="AD175" s="45"/>
      <c r="AE175" s="48">
        <v>0</v>
      </c>
      <c r="AF175" s="48"/>
      <c r="AG175" s="45">
        <v>108850</v>
      </c>
      <c r="AH175" s="45"/>
      <c r="AI175" s="45">
        <v>175631</v>
      </c>
      <c r="AJ175" s="45"/>
      <c r="AK175" s="45">
        <v>0</v>
      </c>
      <c r="AL175" s="45"/>
      <c r="AM175" s="45">
        <f>+'Gen rev'!U175-'Gen exp'!AC175-AG175+'Gen rev'!W175+AI175+AK175-'Gen Bal'!S176-'Gen exp'!AE175</f>
        <v>0</v>
      </c>
      <c r="AN175" s="45"/>
      <c r="AO175" s="45"/>
      <c r="AP175" s="45"/>
      <c r="AQ175" s="45"/>
      <c r="AR175" s="52"/>
      <c r="AS175" s="50"/>
    </row>
    <row r="176" spans="1:45" s="49" customFormat="1" ht="12.75" customHeight="1">
      <c r="A176" s="28" t="s">
        <v>204</v>
      </c>
      <c r="C176" s="28" t="s">
        <v>125</v>
      </c>
      <c r="E176" s="45">
        <v>817413</v>
      </c>
      <c r="F176" s="45"/>
      <c r="G176" s="45">
        <v>147436</v>
      </c>
      <c r="H176" s="45"/>
      <c r="I176" s="45">
        <v>226781</v>
      </c>
      <c r="J176" s="45"/>
      <c r="K176" s="45">
        <v>57500</v>
      </c>
      <c r="L176" s="45"/>
      <c r="M176" s="45">
        <v>0</v>
      </c>
      <c r="N176" s="45"/>
      <c r="O176" s="45">
        <v>0</v>
      </c>
      <c r="P176" s="45"/>
      <c r="Q176" s="45">
        <v>0</v>
      </c>
      <c r="R176" s="45"/>
      <c r="S176" s="45">
        <v>0</v>
      </c>
      <c r="T176" s="45"/>
      <c r="U176" s="45">
        <v>0</v>
      </c>
      <c r="V176" s="45"/>
      <c r="W176" s="45">
        <v>0</v>
      </c>
      <c r="X176" s="45"/>
      <c r="Y176" s="45">
        <v>0</v>
      </c>
      <c r="Z176" s="44"/>
      <c r="AA176" s="45">
        <v>0</v>
      </c>
      <c r="AB176" s="44"/>
      <c r="AC176" s="45">
        <f t="shared" si="4"/>
        <v>1249130</v>
      </c>
      <c r="AD176" s="45"/>
      <c r="AE176" s="48">
        <v>0</v>
      </c>
      <c r="AF176" s="48"/>
      <c r="AG176" s="45">
        <v>42881</v>
      </c>
      <c r="AH176" s="45"/>
      <c r="AI176" s="45">
        <v>743566</v>
      </c>
      <c r="AJ176" s="45"/>
      <c r="AK176" s="45">
        <v>0</v>
      </c>
      <c r="AL176" s="45"/>
      <c r="AM176" s="45">
        <f>+'Gen rev'!U176-'Gen exp'!AC176-AG176+'Gen rev'!W176+AI176+AK176-'Gen Bal'!S177-'Gen exp'!AE176</f>
        <v>0</v>
      </c>
      <c r="AN176" s="44"/>
      <c r="AO176" s="44"/>
      <c r="AP176" s="44"/>
      <c r="AQ176" s="44"/>
    </row>
    <row r="177" spans="1:45" s="49" customFormat="1" ht="12.75" customHeight="1">
      <c r="A177" s="64" t="s">
        <v>205</v>
      </c>
      <c r="B177" s="46"/>
      <c r="C177" s="64" t="s">
        <v>27</v>
      </c>
      <c r="D177" s="46"/>
      <c r="E177" s="45">
        <v>1796291</v>
      </c>
      <c r="F177" s="45"/>
      <c r="G177" s="45">
        <v>3589203</v>
      </c>
      <c r="H177" s="45"/>
      <c r="I177" s="45">
        <v>296328</v>
      </c>
      <c r="J177" s="45"/>
      <c r="K177" s="45">
        <v>32048</v>
      </c>
      <c r="L177" s="45"/>
      <c r="M177" s="45">
        <v>1859474</v>
      </c>
      <c r="N177" s="45"/>
      <c r="O177" s="45">
        <v>0</v>
      </c>
      <c r="P177" s="45"/>
      <c r="Q177" s="45">
        <v>1823922</v>
      </c>
      <c r="R177" s="45"/>
      <c r="S177" s="45">
        <v>0</v>
      </c>
      <c r="T177" s="45"/>
      <c r="U177" s="45">
        <v>0</v>
      </c>
      <c r="V177" s="45"/>
      <c r="W177" s="45">
        <v>0</v>
      </c>
      <c r="X177" s="45"/>
      <c r="Y177" s="45">
        <v>0</v>
      </c>
      <c r="Z177" s="44"/>
      <c r="AA177" s="45">
        <v>0</v>
      </c>
      <c r="AB177" s="44"/>
      <c r="AC177" s="45">
        <f t="shared" si="4"/>
        <v>9397266</v>
      </c>
      <c r="AD177" s="45"/>
      <c r="AE177" s="48">
        <v>0</v>
      </c>
      <c r="AF177" s="48"/>
      <c r="AG177" s="45">
        <v>828135</v>
      </c>
      <c r="AH177" s="45"/>
      <c r="AI177" s="45">
        <v>5011337</v>
      </c>
      <c r="AJ177" s="45"/>
      <c r="AK177" s="45">
        <v>0</v>
      </c>
      <c r="AL177" s="45"/>
      <c r="AM177" s="45">
        <f>+'Gen rev'!U177-'Gen exp'!AC177-AG177+'Gen rev'!W177+AI177+AK177-'Gen Bal'!S178-'Gen exp'!AE177</f>
        <v>0</v>
      </c>
      <c r="AN177" s="44"/>
      <c r="AO177" s="44"/>
      <c r="AP177" s="44"/>
      <c r="AQ177" s="44"/>
    </row>
    <row r="178" spans="1:45" s="46" customFormat="1" ht="12.75" customHeight="1">
      <c r="A178" s="28" t="s">
        <v>206</v>
      </c>
      <c r="B178" s="49"/>
      <c r="C178" s="28" t="s">
        <v>47</v>
      </c>
      <c r="D178" s="49"/>
      <c r="E178" s="45">
        <v>4089049</v>
      </c>
      <c r="F178" s="45"/>
      <c r="G178" s="45">
        <v>6337606</v>
      </c>
      <c r="H178" s="45"/>
      <c r="I178" s="45">
        <v>462748</v>
      </c>
      <c r="J178" s="45"/>
      <c r="K178" s="45">
        <v>37115</v>
      </c>
      <c r="L178" s="45"/>
      <c r="M178" s="45">
        <v>1143747</v>
      </c>
      <c r="N178" s="45"/>
      <c r="O178" s="45">
        <v>1128720</v>
      </c>
      <c r="P178" s="45"/>
      <c r="Q178" s="45">
        <v>0</v>
      </c>
      <c r="R178" s="45"/>
      <c r="S178" s="45">
        <v>0</v>
      </c>
      <c r="T178" s="45"/>
      <c r="U178" s="45">
        <v>0</v>
      </c>
      <c r="V178" s="45"/>
      <c r="W178" s="45">
        <v>0</v>
      </c>
      <c r="X178" s="45"/>
      <c r="Y178" s="45">
        <v>0</v>
      </c>
      <c r="Z178" s="44"/>
      <c r="AA178" s="45">
        <v>0</v>
      </c>
      <c r="AB178" s="44"/>
      <c r="AC178" s="45">
        <f t="shared" si="4"/>
        <v>13198985</v>
      </c>
      <c r="AD178" s="45"/>
      <c r="AE178" s="48">
        <v>0</v>
      </c>
      <c r="AF178" s="48"/>
      <c r="AG178" s="45">
        <v>4421001</v>
      </c>
      <c r="AH178" s="45"/>
      <c r="AI178" s="45">
        <v>5948300</v>
      </c>
      <c r="AJ178" s="45"/>
      <c r="AK178" s="45">
        <v>0</v>
      </c>
      <c r="AL178" s="45"/>
      <c r="AM178" s="45">
        <f>+'Gen rev'!U178-'Gen exp'!AC178-AG178+'Gen rev'!W178+AI178+AK178-'Gen Bal'!S179-'Gen exp'!AE178</f>
        <v>0</v>
      </c>
    </row>
    <row r="179" spans="1:45" s="46" customFormat="1" ht="12.75" customHeight="1">
      <c r="A179" s="28" t="s">
        <v>207</v>
      </c>
      <c r="B179" s="49"/>
      <c r="C179" s="28" t="s">
        <v>102</v>
      </c>
      <c r="D179" s="49"/>
      <c r="E179" s="45">
        <v>2384803</v>
      </c>
      <c r="F179" s="45"/>
      <c r="G179" s="45">
        <v>81557</v>
      </c>
      <c r="H179" s="45"/>
      <c r="I179" s="45">
        <v>585665</v>
      </c>
      <c r="J179" s="45"/>
      <c r="K179" s="45">
        <v>103446</v>
      </c>
      <c r="L179" s="45"/>
      <c r="M179" s="45">
        <v>93232</v>
      </c>
      <c r="N179" s="45"/>
      <c r="O179" s="45">
        <v>23397</v>
      </c>
      <c r="P179" s="45"/>
      <c r="Q179" s="45">
        <v>0</v>
      </c>
      <c r="R179" s="45"/>
      <c r="S179" s="45">
        <v>0</v>
      </c>
      <c r="T179" s="45"/>
      <c r="U179" s="45">
        <v>0</v>
      </c>
      <c r="V179" s="45"/>
      <c r="W179" s="45">
        <v>9095</v>
      </c>
      <c r="X179" s="45"/>
      <c r="Y179" s="45">
        <v>4672</v>
      </c>
      <c r="Z179" s="44"/>
      <c r="AA179" s="45">
        <v>0</v>
      </c>
      <c r="AB179" s="44"/>
      <c r="AC179" s="45">
        <f t="shared" si="4"/>
        <v>3285867</v>
      </c>
      <c r="AD179" s="45"/>
      <c r="AE179" s="48">
        <v>0</v>
      </c>
      <c r="AF179" s="48"/>
      <c r="AG179" s="45">
        <v>3626030</v>
      </c>
      <c r="AH179" s="45"/>
      <c r="AI179" s="45">
        <v>2877065</v>
      </c>
      <c r="AJ179" s="45"/>
      <c r="AK179" s="45">
        <v>0</v>
      </c>
      <c r="AL179" s="45"/>
      <c r="AM179" s="45">
        <f>+'Gen rev'!U179-'Gen exp'!AC179-AG179+'Gen rev'!W179+AI179+AK179-'Gen Bal'!S180-'Gen exp'!AE179</f>
        <v>0</v>
      </c>
    </row>
    <row r="180" spans="1:45" s="49" customFormat="1" ht="12.75" customHeight="1">
      <c r="A180" s="28" t="s">
        <v>208</v>
      </c>
      <c r="C180" s="28" t="s">
        <v>209</v>
      </c>
      <c r="E180" s="45">
        <v>1287163</v>
      </c>
      <c r="F180" s="45"/>
      <c r="G180" s="45">
        <v>7506391</v>
      </c>
      <c r="H180" s="45"/>
      <c r="I180" s="45">
        <v>127570</v>
      </c>
      <c r="J180" s="45"/>
      <c r="K180" s="45">
        <v>431054</v>
      </c>
      <c r="L180" s="45"/>
      <c r="M180" s="45">
        <v>2267</v>
      </c>
      <c r="N180" s="45"/>
      <c r="O180" s="45">
        <v>481328</v>
      </c>
      <c r="P180" s="45"/>
      <c r="Q180" s="45">
        <v>0</v>
      </c>
      <c r="R180" s="45"/>
      <c r="S180" s="45">
        <v>528651</v>
      </c>
      <c r="T180" s="45"/>
      <c r="U180" s="45">
        <v>0</v>
      </c>
      <c r="V180" s="45"/>
      <c r="W180" s="45">
        <v>0</v>
      </c>
      <c r="X180" s="45"/>
      <c r="Y180" s="45">
        <v>0</v>
      </c>
      <c r="Z180" s="44"/>
      <c r="AA180" s="45">
        <v>0</v>
      </c>
      <c r="AB180" s="44"/>
      <c r="AC180" s="45">
        <f t="shared" si="4"/>
        <v>10364424</v>
      </c>
      <c r="AD180" s="45"/>
      <c r="AE180" s="48">
        <v>0</v>
      </c>
      <c r="AF180" s="48"/>
      <c r="AG180" s="45">
        <v>1310192</v>
      </c>
      <c r="AH180" s="45"/>
      <c r="AI180" s="45">
        <v>18821637</v>
      </c>
      <c r="AJ180" s="45"/>
      <c r="AK180" s="45">
        <v>0</v>
      </c>
      <c r="AL180" s="45"/>
      <c r="AM180" s="45">
        <f>+'Gen rev'!U180-'Gen exp'!AC180-AG180+'Gen rev'!W180+AI180+AK180-'Gen Bal'!S181-'Gen exp'!AE180</f>
        <v>0</v>
      </c>
      <c r="AN180" s="45"/>
      <c r="AO180" s="45"/>
      <c r="AP180" s="45"/>
      <c r="AQ180" s="45"/>
      <c r="AR180" s="52"/>
      <c r="AS180" s="50"/>
    </row>
    <row r="181" spans="1:45" s="49" customFormat="1" ht="12.75" customHeight="1">
      <c r="A181" s="47" t="s">
        <v>210</v>
      </c>
      <c r="C181" s="47" t="s">
        <v>211</v>
      </c>
      <c r="E181" s="45">
        <v>1493250</v>
      </c>
      <c r="F181" s="45"/>
      <c r="G181" s="45">
        <v>1644894</v>
      </c>
      <c r="H181" s="45"/>
      <c r="I181" s="45">
        <v>4502</v>
      </c>
      <c r="J181" s="45"/>
      <c r="K181" s="45">
        <v>133194</v>
      </c>
      <c r="L181" s="45"/>
      <c r="M181" s="45">
        <v>0</v>
      </c>
      <c r="N181" s="45"/>
      <c r="O181" s="45">
        <v>110406</v>
      </c>
      <c r="P181" s="45"/>
      <c r="Q181" s="45">
        <v>0</v>
      </c>
      <c r="R181" s="45"/>
      <c r="S181" s="45">
        <v>0</v>
      </c>
      <c r="T181" s="45"/>
      <c r="U181" s="45">
        <v>0</v>
      </c>
      <c r="V181" s="45"/>
      <c r="W181" s="45">
        <v>32525</v>
      </c>
      <c r="X181" s="45"/>
      <c r="Y181" s="45">
        <v>1768</v>
      </c>
      <c r="Z181" s="44"/>
      <c r="AA181" s="45">
        <v>0</v>
      </c>
      <c r="AB181" s="44"/>
      <c r="AC181" s="45">
        <f t="shared" si="4"/>
        <v>3420539</v>
      </c>
      <c r="AD181" s="45"/>
      <c r="AE181" s="48">
        <v>0</v>
      </c>
      <c r="AF181" s="48"/>
      <c r="AG181" s="45">
        <v>642418</v>
      </c>
      <c r="AH181" s="45"/>
      <c r="AI181" s="45">
        <v>1154870</v>
      </c>
      <c r="AJ181" s="45"/>
      <c r="AK181" s="45">
        <v>0</v>
      </c>
      <c r="AL181" s="45"/>
      <c r="AM181" s="45">
        <f>+'Gen rev'!U181-'Gen exp'!AC181-AG181+'Gen rev'!W181+AI181+AK181-'Gen Bal'!S182-'Gen exp'!AE181</f>
        <v>0</v>
      </c>
      <c r="AN181" s="44"/>
      <c r="AO181" s="44"/>
      <c r="AP181" s="44"/>
      <c r="AQ181" s="44"/>
      <c r="AR181" s="52"/>
      <c r="AS181" s="50"/>
    </row>
    <row r="182" spans="1:45" s="46" customFormat="1" ht="12.75" customHeight="1">
      <c r="A182" s="47" t="s">
        <v>212</v>
      </c>
      <c r="B182" s="49"/>
      <c r="C182" s="47" t="s">
        <v>213</v>
      </c>
      <c r="D182" s="49"/>
      <c r="E182" s="45">
        <v>2767157</v>
      </c>
      <c r="F182" s="45"/>
      <c r="G182" s="45">
        <v>7031499</v>
      </c>
      <c r="H182" s="45"/>
      <c r="I182" s="45">
        <v>197523</v>
      </c>
      <c r="J182" s="45"/>
      <c r="K182" s="45">
        <v>671041</v>
      </c>
      <c r="L182" s="45"/>
      <c r="M182" s="45">
        <v>365975</v>
      </c>
      <c r="N182" s="45"/>
      <c r="O182" s="45">
        <v>0</v>
      </c>
      <c r="P182" s="45"/>
      <c r="Q182" s="45">
        <v>0</v>
      </c>
      <c r="R182" s="45"/>
      <c r="S182" s="45">
        <v>0</v>
      </c>
      <c r="T182" s="45"/>
      <c r="U182" s="45">
        <v>0</v>
      </c>
      <c r="V182" s="45"/>
      <c r="W182" s="45">
        <v>0</v>
      </c>
      <c r="X182" s="45"/>
      <c r="Y182" s="45">
        <v>0</v>
      </c>
      <c r="Z182" s="44"/>
      <c r="AA182" s="45">
        <v>0</v>
      </c>
      <c r="AB182" s="44"/>
      <c r="AC182" s="45">
        <f t="shared" si="4"/>
        <v>11033195</v>
      </c>
      <c r="AD182" s="45"/>
      <c r="AE182" s="48">
        <v>0</v>
      </c>
      <c r="AF182" s="48"/>
      <c r="AG182" s="45">
        <v>18000</v>
      </c>
      <c r="AH182" s="45"/>
      <c r="AI182" s="45">
        <v>263653</v>
      </c>
      <c r="AJ182" s="45"/>
      <c r="AK182" s="45">
        <v>1259</v>
      </c>
      <c r="AL182" s="45"/>
      <c r="AM182" s="45">
        <f>+'Gen rev'!U182-'Gen exp'!AC182-AG182+'Gen rev'!W182+AI182+AK182-'Gen Bal'!S183-'Gen exp'!AE182</f>
        <v>0</v>
      </c>
      <c r="AN182" s="94"/>
      <c r="AO182" s="94"/>
      <c r="AP182" s="94"/>
      <c r="AQ182" s="94"/>
      <c r="AR182" s="90"/>
      <c r="AS182" s="64"/>
    </row>
    <row r="183" spans="1:45" s="49" customFormat="1" ht="12.75" customHeight="1">
      <c r="A183" s="47" t="s">
        <v>214</v>
      </c>
      <c r="C183" s="47" t="s">
        <v>86</v>
      </c>
      <c r="E183" s="45">
        <v>1559213</v>
      </c>
      <c r="F183" s="45"/>
      <c r="G183" s="45">
        <v>2073850</v>
      </c>
      <c r="H183" s="45"/>
      <c r="I183" s="45">
        <v>982243</v>
      </c>
      <c r="J183" s="45"/>
      <c r="K183" s="45">
        <v>0</v>
      </c>
      <c r="L183" s="45"/>
      <c r="M183" s="45">
        <v>0</v>
      </c>
      <c r="N183" s="45"/>
      <c r="O183" s="45">
        <v>372084</v>
      </c>
      <c r="P183" s="45"/>
      <c r="Q183" s="45">
        <v>542899</v>
      </c>
      <c r="R183" s="45"/>
      <c r="S183" s="45">
        <v>0</v>
      </c>
      <c r="T183" s="45"/>
      <c r="U183" s="45">
        <v>0</v>
      </c>
      <c r="V183" s="45"/>
      <c r="W183" s="45">
        <v>0</v>
      </c>
      <c r="X183" s="45"/>
      <c r="Y183" s="45">
        <v>0</v>
      </c>
      <c r="Z183" s="44"/>
      <c r="AA183" s="45">
        <v>0</v>
      </c>
      <c r="AB183" s="44"/>
      <c r="AC183" s="45">
        <f t="shared" si="4"/>
        <v>5530289</v>
      </c>
      <c r="AD183" s="45"/>
      <c r="AE183" s="48">
        <v>0</v>
      </c>
      <c r="AF183" s="48"/>
      <c r="AG183" s="45">
        <v>370160</v>
      </c>
      <c r="AH183" s="45"/>
      <c r="AI183" s="45">
        <v>6844068</v>
      </c>
      <c r="AJ183" s="45"/>
      <c r="AK183" s="45">
        <v>0</v>
      </c>
      <c r="AL183" s="45"/>
      <c r="AM183" s="45">
        <f>+'Gen rev'!U184-'Gen exp'!AC183-AG183+'Gen rev'!W184+AI183+AK183-'Gen Bal'!S184-'Gen exp'!AE183</f>
        <v>0</v>
      </c>
      <c r="AN183" s="45"/>
      <c r="AO183" s="45"/>
      <c r="AP183" s="45"/>
      <c r="AQ183" s="45"/>
      <c r="AR183" s="52"/>
      <c r="AS183" s="50"/>
    </row>
    <row r="184" spans="1:45" s="46" customFormat="1" ht="12.75" customHeight="1">
      <c r="A184" s="28" t="s">
        <v>215</v>
      </c>
      <c r="B184" s="49"/>
      <c r="C184" s="28" t="s">
        <v>22</v>
      </c>
      <c r="D184" s="49"/>
      <c r="E184" s="45">
        <v>1696362</v>
      </c>
      <c r="F184" s="45"/>
      <c r="G184" s="45">
        <f>3200242+1301078</f>
        <v>4501320</v>
      </c>
      <c r="H184" s="45"/>
      <c r="I184" s="45">
        <f>248293+588</f>
        <v>248881</v>
      </c>
      <c r="J184" s="45"/>
      <c r="K184" s="45">
        <v>313825</v>
      </c>
      <c r="L184" s="45"/>
      <c r="M184" s="45">
        <v>0</v>
      </c>
      <c r="N184" s="45"/>
      <c r="O184" s="45">
        <v>0</v>
      </c>
      <c r="P184" s="45"/>
      <c r="Q184" s="45">
        <v>72200</v>
      </c>
      <c r="R184" s="45"/>
      <c r="S184" s="45">
        <v>0</v>
      </c>
      <c r="T184" s="45"/>
      <c r="U184" s="45">
        <v>0</v>
      </c>
      <c r="V184" s="45"/>
      <c r="W184" s="45">
        <v>45811</v>
      </c>
      <c r="X184" s="45"/>
      <c r="Y184" s="45">
        <v>9986</v>
      </c>
      <c r="Z184" s="44"/>
      <c r="AA184" s="45">
        <v>0</v>
      </c>
      <c r="AB184" s="44"/>
      <c r="AC184" s="45">
        <f t="shared" si="4"/>
        <v>6888385</v>
      </c>
      <c r="AD184" s="45"/>
      <c r="AE184" s="48">
        <v>0</v>
      </c>
      <c r="AF184" s="48"/>
      <c r="AG184" s="45">
        <v>1007762</v>
      </c>
      <c r="AH184" s="45"/>
      <c r="AI184" s="45">
        <v>3951147</v>
      </c>
      <c r="AJ184" s="45"/>
      <c r="AK184" s="45">
        <v>0</v>
      </c>
      <c r="AL184" s="45"/>
      <c r="AM184" s="45">
        <f>+'Gen rev'!U185-'Gen exp'!AC184-AG184+'Gen rev'!W185+AI184+AK184-'Gen Bal'!S185-'Gen exp'!AE184</f>
        <v>0</v>
      </c>
      <c r="AN184" s="94"/>
      <c r="AO184" s="94"/>
      <c r="AP184" s="94"/>
      <c r="AQ184" s="94"/>
      <c r="AR184" s="90"/>
      <c r="AS184" s="64"/>
    </row>
    <row r="185" spans="1:45" s="49" customFormat="1" ht="12.75" customHeight="1">
      <c r="A185" s="64" t="s">
        <v>216</v>
      </c>
      <c r="B185" s="46"/>
      <c r="C185" s="64" t="s">
        <v>45</v>
      </c>
      <c r="D185" s="46"/>
      <c r="E185" s="45">
        <v>1953010</v>
      </c>
      <c r="F185" s="45"/>
      <c r="G185" s="45">
        <v>5423933</v>
      </c>
      <c r="H185" s="45"/>
      <c r="I185" s="45">
        <v>170643</v>
      </c>
      <c r="J185" s="45"/>
      <c r="K185" s="45">
        <v>10552</v>
      </c>
      <c r="L185" s="45"/>
      <c r="M185" s="45">
        <v>500</v>
      </c>
      <c r="N185" s="45"/>
      <c r="O185" s="45">
        <v>469888</v>
      </c>
      <c r="P185" s="45"/>
      <c r="Q185" s="45">
        <v>873428</v>
      </c>
      <c r="R185" s="45"/>
      <c r="S185" s="45">
        <v>0</v>
      </c>
      <c r="T185" s="45"/>
      <c r="U185" s="45">
        <v>0</v>
      </c>
      <c r="V185" s="45"/>
      <c r="W185" s="45">
        <v>0</v>
      </c>
      <c r="X185" s="45"/>
      <c r="Y185" s="45">
        <v>3007</v>
      </c>
      <c r="Z185" s="44"/>
      <c r="AA185" s="45">
        <v>0</v>
      </c>
      <c r="AB185" s="44"/>
      <c r="AC185" s="45">
        <f t="shared" si="4"/>
        <v>8904961</v>
      </c>
      <c r="AD185" s="45"/>
      <c r="AE185" s="48">
        <v>0</v>
      </c>
      <c r="AF185" s="48"/>
      <c r="AG185" s="45">
        <v>291992</v>
      </c>
      <c r="AH185" s="45"/>
      <c r="AI185" s="45">
        <v>1101412</v>
      </c>
      <c r="AJ185" s="45"/>
      <c r="AK185" s="45">
        <v>0</v>
      </c>
      <c r="AL185" s="45"/>
      <c r="AM185" s="45">
        <f>+'Gen rev'!U186-'Gen exp'!AC185-AG185+'Gen rev'!W186+AI185+AK185-'Gen Bal'!S186-'Gen exp'!AE185</f>
        <v>0</v>
      </c>
      <c r="AN185" s="45"/>
      <c r="AO185" s="45"/>
      <c r="AP185" s="45"/>
      <c r="AQ185" s="45"/>
      <c r="AR185" s="52"/>
      <c r="AS185" s="50"/>
    </row>
    <row r="186" spans="1:45" s="49" customFormat="1" ht="12.75" customHeight="1">
      <c r="A186" s="28" t="s">
        <v>217</v>
      </c>
      <c r="C186" s="28" t="s">
        <v>43</v>
      </c>
      <c r="E186" s="45">
        <v>3112485</v>
      </c>
      <c r="F186" s="45"/>
      <c r="G186" s="45">
        <v>7140114</v>
      </c>
      <c r="H186" s="45"/>
      <c r="I186" s="45">
        <v>1324445</v>
      </c>
      <c r="J186" s="45"/>
      <c r="K186" s="45">
        <v>202756</v>
      </c>
      <c r="L186" s="45"/>
      <c r="M186" s="45">
        <v>0</v>
      </c>
      <c r="N186" s="45"/>
      <c r="O186" s="45">
        <v>924048</v>
      </c>
      <c r="P186" s="45"/>
      <c r="Q186" s="45">
        <v>0</v>
      </c>
      <c r="R186" s="45"/>
      <c r="S186" s="45">
        <v>0</v>
      </c>
      <c r="T186" s="45"/>
      <c r="U186" s="45">
        <v>0</v>
      </c>
      <c r="V186" s="45"/>
      <c r="W186" s="45">
        <v>0</v>
      </c>
      <c r="X186" s="45"/>
      <c r="Y186" s="45">
        <v>0</v>
      </c>
      <c r="Z186" s="44"/>
      <c r="AA186" s="45">
        <v>0</v>
      </c>
      <c r="AB186" s="44"/>
      <c r="AC186" s="45">
        <f t="shared" si="4"/>
        <v>12703848</v>
      </c>
      <c r="AD186" s="45"/>
      <c r="AE186" s="48">
        <v>0</v>
      </c>
      <c r="AF186" s="48"/>
      <c r="AG186" s="45">
        <v>502000</v>
      </c>
      <c r="AH186" s="45"/>
      <c r="AI186" s="45">
        <v>6888802</v>
      </c>
      <c r="AJ186" s="45"/>
      <c r="AK186" s="45">
        <v>-2306</v>
      </c>
      <c r="AL186" s="45"/>
      <c r="AM186" s="45">
        <f>+'Gen rev'!U187-'Gen exp'!AC186-AG186+'Gen rev'!W187+AI186+AK186-'Gen Bal'!S187-'Gen exp'!AE186</f>
        <v>0</v>
      </c>
      <c r="AN186" s="44"/>
      <c r="AO186" s="44"/>
      <c r="AP186" s="44"/>
      <c r="AQ186" s="44"/>
    </row>
    <row r="187" spans="1:45" s="49" customFormat="1" ht="12.75" hidden="1" customHeight="1">
      <c r="A187" s="64" t="s">
        <v>218</v>
      </c>
      <c r="B187" s="46"/>
      <c r="C187" s="64" t="s">
        <v>27</v>
      </c>
      <c r="D187" s="46"/>
      <c r="E187" s="45">
        <v>0</v>
      </c>
      <c r="F187" s="45"/>
      <c r="G187" s="45">
        <v>0</v>
      </c>
      <c r="H187" s="45"/>
      <c r="I187" s="45">
        <v>0</v>
      </c>
      <c r="J187" s="45"/>
      <c r="K187" s="45">
        <v>0</v>
      </c>
      <c r="L187" s="45"/>
      <c r="M187" s="45">
        <v>0</v>
      </c>
      <c r="N187" s="45"/>
      <c r="O187" s="45">
        <v>0</v>
      </c>
      <c r="P187" s="45"/>
      <c r="Q187" s="45">
        <v>0</v>
      </c>
      <c r="R187" s="45"/>
      <c r="S187" s="45">
        <v>0</v>
      </c>
      <c r="T187" s="45"/>
      <c r="U187" s="45">
        <v>0</v>
      </c>
      <c r="V187" s="45"/>
      <c r="W187" s="45">
        <v>0</v>
      </c>
      <c r="X187" s="45"/>
      <c r="Y187" s="45">
        <v>0</v>
      </c>
      <c r="Z187" s="44"/>
      <c r="AA187" s="45">
        <v>0</v>
      </c>
      <c r="AB187" s="44"/>
      <c r="AC187" s="45">
        <f t="shared" si="4"/>
        <v>0</v>
      </c>
      <c r="AD187" s="45"/>
      <c r="AE187" s="48">
        <v>0</v>
      </c>
      <c r="AF187" s="48"/>
      <c r="AG187" s="45">
        <v>0</v>
      </c>
      <c r="AH187" s="45"/>
      <c r="AI187" s="45">
        <v>0</v>
      </c>
      <c r="AJ187" s="45"/>
      <c r="AK187" s="45">
        <v>0</v>
      </c>
      <c r="AL187" s="45"/>
      <c r="AM187" s="45">
        <f>+'Gen rev'!U188-'Gen exp'!AC187-AG187+'Gen rev'!W188+AI187+AK187-'Gen Bal'!S188-'Gen exp'!AE187</f>
        <v>0</v>
      </c>
      <c r="AN187" s="44"/>
      <c r="AO187" s="44"/>
      <c r="AP187" s="44"/>
      <c r="AQ187" s="44"/>
    </row>
    <row r="188" spans="1:45" s="49" customFormat="1" ht="12.75" customHeight="1">
      <c r="A188" s="28" t="s">
        <v>219</v>
      </c>
      <c r="C188" s="28" t="s">
        <v>199</v>
      </c>
      <c r="E188" s="45">
        <v>613629</v>
      </c>
      <c r="F188" s="45"/>
      <c r="G188" s="45">
        <v>952658</v>
      </c>
      <c r="H188" s="45"/>
      <c r="I188" s="45">
        <v>0</v>
      </c>
      <c r="J188" s="45"/>
      <c r="K188" s="45">
        <v>107926</v>
      </c>
      <c r="L188" s="45"/>
      <c r="M188" s="45">
        <v>157401</v>
      </c>
      <c r="N188" s="45"/>
      <c r="O188" s="45">
        <v>469266</v>
      </c>
      <c r="P188" s="45"/>
      <c r="Q188" s="45">
        <v>384581</v>
      </c>
      <c r="R188" s="45"/>
      <c r="S188" s="45">
        <v>23015</v>
      </c>
      <c r="T188" s="45"/>
      <c r="U188" s="45">
        <v>0</v>
      </c>
      <c r="V188" s="45"/>
      <c r="W188" s="45">
        <v>0</v>
      </c>
      <c r="X188" s="45"/>
      <c r="Y188" s="45">
        <v>0</v>
      </c>
      <c r="Z188" s="44"/>
      <c r="AA188" s="45">
        <v>0</v>
      </c>
      <c r="AB188" s="44"/>
      <c r="AC188" s="45">
        <f t="shared" si="4"/>
        <v>2708476</v>
      </c>
      <c r="AD188" s="45"/>
      <c r="AE188" s="48">
        <v>0</v>
      </c>
      <c r="AF188" s="48"/>
      <c r="AG188" s="45">
        <v>152000</v>
      </c>
      <c r="AH188" s="45"/>
      <c r="AI188" s="45">
        <v>893129</v>
      </c>
      <c r="AJ188" s="45"/>
      <c r="AK188" s="45">
        <v>0</v>
      </c>
      <c r="AL188" s="45"/>
      <c r="AM188" s="45">
        <f>+'Gen rev'!U189-'Gen exp'!AC188-AG188+'Gen rev'!W189+AI188+AK188-'Gen Bal'!S189-'Gen exp'!AE188</f>
        <v>0</v>
      </c>
      <c r="AN188" s="44"/>
      <c r="AO188" s="44"/>
      <c r="AP188" s="44"/>
      <c r="AQ188" s="44"/>
    </row>
    <row r="189" spans="1:45" s="49" customFormat="1" ht="12.75" customHeight="1">
      <c r="A189" s="28" t="s">
        <v>220</v>
      </c>
      <c r="C189" s="28" t="s">
        <v>66</v>
      </c>
      <c r="E189" s="45">
        <v>1258207</v>
      </c>
      <c r="F189" s="45"/>
      <c r="G189" s="45">
        <v>43497</v>
      </c>
      <c r="H189" s="45"/>
      <c r="I189" s="45">
        <v>303303</v>
      </c>
      <c r="J189" s="45"/>
      <c r="K189" s="45">
        <v>0</v>
      </c>
      <c r="L189" s="45"/>
      <c r="M189" s="45">
        <v>0</v>
      </c>
      <c r="N189" s="45"/>
      <c r="O189" s="45">
        <v>50258</v>
      </c>
      <c r="P189" s="45"/>
      <c r="Q189" s="45">
        <v>0</v>
      </c>
      <c r="R189" s="45"/>
      <c r="S189" s="45">
        <v>0</v>
      </c>
      <c r="T189" s="45"/>
      <c r="U189" s="45">
        <v>0</v>
      </c>
      <c r="V189" s="45"/>
      <c r="W189" s="45">
        <v>6588</v>
      </c>
      <c r="X189" s="45"/>
      <c r="Y189" s="45">
        <v>439</v>
      </c>
      <c r="Z189" s="44"/>
      <c r="AA189" s="45">
        <v>0</v>
      </c>
      <c r="AB189" s="44"/>
      <c r="AC189" s="45">
        <f t="shared" si="4"/>
        <v>1662292</v>
      </c>
      <c r="AD189" s="45"/>
      <c r="AE189" s="48">
        <v>0</v>
      </c>
      <c r="AF189" s="48"/>
      <c r="AG189" s="45">
        <v>3708974</v>
      </c>
      <c r="AH189" s="45"/>
      <c r="AI189" s="45">
        <v>7191887</v>
      </c>
      <c r="AJ189" s="45"/>
      <c r="AK189" s="45">
        <v>0</v>
      </c>
      <c r="AL189" s="45"/>
      <c r="AM189" s="45">
        <f>+'Gen rev'!U190-'Gen exp'!AC189-AG189+'Gen rev'!W190+AI189+AK189-'Gen Bal'!S190-'Gen exp'!AE189</f>
        <v>0</v>
      </c>
      <c r="AN189" s="44"/>
      <c r="AO189" s="44"/>
      <c r="AP189" s="44"/>
      <c r="AQ189" s="44"/>
    </row>
    <row r="190" spans="1:45" s="49" customFormat="1" ht="12.75" customHeight="1">
      <c r="A190" s="28" t="s">
        <v>221</v>
      </c>
      <c r="C190" s="28" t="s">
        <v>27</v>
      </c>
      <c r="E190" s="45">
        <v>4969691</v>
      </c>
      <c r="F190" s="45"/>
      <c r="G190" s="45">
        <v>7882232</v>
      </c>
      <c r="H190" s="45"/>
      <c r="I190" s="45">
        <v>917692</v>
      </c>
      <c r="J190" s="45"/>
      <c r="K190" s="45">
        <v>0</v>
      </c>
      <c r="L190" s="45"/>
      <c r="M190" s="45">
        <v>685393</v>
      </c>
      <c r="N190" s="45"/>
      <c r="O190" s="45">
        <v>359127</v>
      </c>
      <c r="P190" s="45"/>
      <c r="Q190" s="45">
        <v>0</v>
      </c>
      <c r="R190" s="45"/>
      <c r="S190" s="45">
        <v>34808</v>
      </c>
      <c r="T190" s="45"/>
      <c r="U190" s="45">
        <v>0</v>
      </c>
      <c r="V190" s="45"/>
      <c r="W190" s="45">
        <v>0</v>
      </c>
      <c r="X190" s="45"/>
      <c r="Y190" s="45">
        <v>0</v>
      </c>
      <c r="Z190" s="44"/>
      <c r="AA190" s="45">
        <v>0</v>
      </c>
      <c r="AB190" s="44"/>
      <c r="AC190" s="45">
        <f t="shared" si="4"/>
        <v>14848943</v>
      </c>
      <c r="AD190" s="45"/>
      <c r="AE190" s="48">
        <v>0</v>
      </c>
      <c r="AF190" s="48"/>
      <c r="AG190" s="45">
        <v>5487764</v>
      </c>
      <c r="AH190" s="45"/>
      <c r="AI190" s="45">
        <v>6513767</v>
      </c>
      <c r="AJ190" s="45"/>
      <c r="AK190" s="45">
        <v>0</v>
      </c>
      <c r="AL190" s="45"/>
      <c r="AM190" s="45">
        <f>+'Gen rev'!U191-'Gen exp'!AC190-AG190+'Gen rev'!W191+AI190+AK190-'Gen Bal'!S191-'Gen exp'!AE190</f>
        <v>0</v>
      </c>
      <c r="AN190" s="44"/>
      <c r="AO190" s="44"/>
      <c r="AP190" s="44"/>
      <c r="AQ190" s="44"/>
    </row>
    <row r="191" spans="1:45" s="49" customFormat="1" ht="12.75" customHeight="1">
      <c r="A191" s="28" t="s">
        <v>222</v>
      </c>
      <c r="C191" s="28" t="s">
        <v>47</v>
      </c>
      <c r="E191" s="45">
        <v>962845</v>
      </c>
      <c r="F191" s="45"/>
      <c r="G191" s="45">
        <v>1876972</v>
      </c>
      <c r="H191" s="45"/>
      <c r="I191" s="45">
        <v>0</v>
      </c>
      <c r="J191" s="45"/>
      <c r="K191" s="45">
        <v>0</v>
      </c>
      <c r="L191" s="45"/>
      <c r="M191" s="45">
        <v>749763</v>
      </c>
      <c r="N191" s="45"/>
      <c r="O191" s="45">
        <v>7307</v>
      </c>
      <c r="P191" s="45"/>
      <c r="Q191" s="45">
        <v>256064</v>
      </c>
      <c r="R191" s="45"/>
      <c r="S191" s="45">
        <v>0</v>
      </c>
      <c r="T191" s="45"/>
      <c r="U191" s="45">
        <v>0</v>
      </c>
      <c r="V191" s="45"/>
      <c r="W191" s="45">
        <v>0</v>
      </c>
      <c r="X191" s="45"/>
      <c r="Y191" s="45">
        <v>0</v>
      </c>
      <c r="Z191" s="44"/>
      <c r="AA191" s="45">
        <v>0</v>
      </c>
      <c r="AB191" s="44"/>
      <c r="AC191" s="45">
        <f t="shared" si="4"/>
        <v>3852951</v>
      </c>
      <c r="AD191" s="45"/>
      <c r="AE191" s="48">
        <v>0</v>
      </c>
      <c r="AF191" s="48"/>
      <c r="AG191" s="45">
        <v>610000</v>
      </c>
      <c r="AH191" s="45"/>
      <c r="AI191" s="45">
        <v>2866913</v>
      </c>
      <c r="AJ191" s="45"/>
      <c r="AK191" s="45">
        <v>0</v>
      </c>
      <c r="AL191" s="45"/>
      <c r="AM191" s="45">
        <f>+'Gen rev'!U192-'Gen exp'!AC191-AG191+'Gen rev'!W192+AI191+AK191-'Gen Bal'!S192-'Gen exp'!AE191</f>
        <v>0</v>
      </c>
      <c r="AN191" s="44"/>
      <c r="AO191" s="44"/>
      <c r="AP191" s="44"/>
      <c r="AQ191" s="44"/>
    </row>
    <row r="192" spans="1:45" s="49" customFormat="1" ht="12.75" customHeight="1">
      <c r="A192" s="28" t="s">
        <v>223</v>
      </c>
      <c r="C192" s="28" t="s">
        <v>94</v>
      </c>
      <c r="E192" s="45">
        <v>3974256</v>
      </c>
      <c r="F192" s="45"/>
      <c r="G192" s="45">
        <v>4726478</v>
      </c>
      <c r="H192" s="45"/>
      <c r="I192" s="45">
        <v>0</v>
      </c>
      <c r="J192" s="45"/>
      <c r="K192" s="45">
        <v>99653</v>
      </c>
      <c r="L192" s="45"/>
      <c r="M192" s="45">
        <v>124504</v>
      </c>
      <c r="N192" s="45"/>
      <c r="O192" s="45">
        <v>125521</v>
      </c>
      <c r="P192" s="45"/>
      <c r="Q192" s="45">
        <f>2159+1645136</f>
        <v>1647295</v>
      </c>
      <c r="R192" s="45"/>
      <c r="S192" s="45">
        <v>0</v>
      </c>
      <c r="T192" s="45"/>
      <c r="U192" s="45">
        <v>0</v>
      </c>
      <c r="V192" s="45"/>
      <c r="W192" s="45">
        <v>0</v>
      </c>
      <c r="X192" s="45"/>
      <c r="Y192" s="45">
        <v>0</v>
      </c>
      <c r="Z192" s="44"/>
      <c r="AA192" s="45">
        <v>0</v>
      </c>
      <c r="AB192" s="44"/>
      <c r="AC192" s="45">
        <f t="shared" si="4"/>
        <v>10697707</v>
      </c>
      <c r="AD192" s="45"/>
      <c r="AE192" s="48">
        <v>0</v>
      </c>
      <c r="AF192" s="48"/>
      <c r="AG192" s="45">
        <v>2917875</v>
      </c>
      <c r="AH192" s="45"/>
      <c r="AI192" s="45">
        <v>9048550</v>
      </c>
      <c r="AJ192" s="45"/>
      <c r="AK192" s="45">
        <v>-3229</v>
      </c>
      <c r="AL192" s="45"/>
      <c r="AM192" s="45">
        <f>+'Gen rev'!U193-'Gen exp'!AC192-AG192+'Gen rev'!W193+AI192+AK192-'Gen Bal'!S193-'Gen exp'!AE192</f>
        <v>0</v>
      </c>
      <c r="AN192" s="44"/>
      <c r="AO192" s="44"/>
      <c r="AP192" s="44"/>
      <c r="AQ192" s="44"/>
    </row>
    <row r="193" spans="1:45" s="49" customFormat="1" ht="12.75" customHeight="1">
      <c r="A193" s="28" t="s">
        <v>76</v>
      </c>
      <c r="C193" s="28" t="s">
        <v>132</v>
      </c>
      <c r="E193" s="45">
        <f>922634+3165601</f>
        <v>4088235</v>
      </c>
      <c r="F193" s="45"/>
      <c r="G193" s="45">
        <f>4889273+4492827+258171</f>
        <v>9640271</v>
      </c>
      <c r="H193" s="45"/>
      <c r="I193" s="45">
        <v>1317930</v>
      </c>
      <c r="J193" s="45"/>
      <c r="K193" s="45">
        <v>261732</v>
      </c>
      <c r="L193" s="45"/>
      <c r="M193" s="45">
        <v>570</v>
      </c>
      <c r="N193" s="45"/>
      <c r="O193" s="45">
        <v>0</v>
      </c>
      <c r="P193" s="45"/>
      <c r="Q193" s="45">
        <v>0</v>
      </c>
      <c r="R193" s="45"/>
      <c r="S193" s="45">
        <v>0</v>
      </c>
      <c r="T193" s="45"/>
      <c r="U193" s="45">
        <v>0</v>
      </c>
      <c r="V193" s="45"/>
      <c r="W193" s="45">
        <v>48750</v>
      </c>
      <c r="X193" s="45"/>
      <c r="Y193" s="45">
        <v>27501</v>
      </c>
      <c r="Z193" s="44"/>
      <c r="AA193" s="45">
        <v>0</v>
      </c>
      <c r="AB193" s="44"/>
      <c r="AC193" s="45">
        <f t="shared" si="4"/>
        <v>15384989</v>
      </c>
      <c r="AD193" s="45"/>
      <c r="AE193" s="48">
        <v>0</v>
      </c>
      <c r="AF193" s="48"/>
      <c r="AG193" s="45">
        <v>1803893</v>
      </c>
      <c r="AH193" s="45"/>
      <c r="AI193" s="45">
        <v>3824419</v>
      </c>
      <c r="AJ193" s="45"/>
      <c r="AK193" s="45">
        <v>0</v>
      </c>
      <c r="AL193" s="45"/>
      <c r="AM193" s="45">
        <f>+'Gen rev'!U194-'Gen exp'!AC193-AG193+'Gen rev'!W194+AI193+AK193-'Gen Bal'!S194-'Gen exp'!AE193</f>
        <v>0</v>
      </c>
      <c r="AN193" s="44"/>
      <c r="AO193" s="44"/>
      <c r="AP193" s="44"/>
      <c r="AQ193" s="44"/>
    </row>
    <row r="194" spans="1:45" s="49" customFormat="1" ht="12.75" customHeight="1">
      <c r="A194" s="28" t="s">
        <v>224</v>
      </c>
      <c r="C194" s="28" t="s">
        <v>27</v>
      </c>
      <c r="E194" s="45">
        <v>1411596</v>
      </c>
      <c r="F194" s="45"/>
      <c r="G194" s="45">
        <v>2937668</v>
      </c>
      <c r="H194" s="45"/>
      <c r="I194" s="45">
        <v>658822</v>
      </c>
      <c r="J194" s="45"/>
      <c r="K194" s="45">
        <v>44696</v>
      </c>
      <c r="L194" s="45"/>
      <c r="M194" s="45">
        <v>1279408</v>
      </c>
      <c r="N194" s="45"/>
      <c r="O194" s="45">
        <v>1407566</v>
      </c>
      <c r="P194" s="45"/>
      <c r="Q194" s="45">
        <v>0</v>
      </c>
      <c r="R194" s="45"/>
      <c r="S194" s="45">
        <v>1160</v>
      </c>
      <c r="T194" s="45"/>
      <c r="U194" s="45">
        <v>0</v>
      </c>
      <c r="V194" s="45"/>
      <c r="W194" s="45">
        <v>0</v>
      </c>
      <c r="X194" s="45"/>
      <c r="Y194" s="45">
        <v>0</v>
      </c>
      <c r="Z194" s="44"/>
      <c r="AA194" s="45">
        <v>0</v>
      </c>
      <c r="AB194" s="44"/>
      <c r="AC194" s="45">
        <f t="shared" si="4"/>
        <v>7740916</v>
      </c>
      <c r="AD194" s="45"/>
      <c r="AE194" s="48">
        <v>0</v>
      </c>
      <c r="AF194" s="48"/>
      <c r="AG194" s="45">
        <v>1606758</v>
      </c>
      <c r="AH194" s="45"/>
      <c r="AI194" s="45">
        <v>5945004</v>
      </c>
      <c r="AJ194" s="45"/>
      <c r="AK194" s="45">
        <v>0</v>
      </c>
      <c r="AL194" s="45"/>
      <c r="AM194" s="45">
        <f>+'Gen rev'!U195-'Gen exp'!AC194-AG194+'Gen rev'!W195+AI194+AK194-'Gen Bal'!S195-'Gen exp'!AE194</f>
        <v>0</v>
      </c>
      <c r="AN194" s="44"/>
      <c r="AO194" s="44"/>
      <c r="AP194" s="44"/>
      <c r="AQ194" s="44"/>
    </row>
    <row r="195" spans="1:45" s="49" customFormat="1" ht="12.75" customHeight="1">
      <c r="A195" s="28" t="s">
        <v>225</v>
      </c>
      <c r="C195" s="28" t="s">
        <v>27</v>
      </c>
      <c r="E195" s="45">
        <f>3682082+2196860</f>
        <v>5878942</v>
      </c>
      <c r="F195" s="45"/>
      <c r="G195" s="45">
        <f>8805402+6992308+90717</f>
        <v>15888427</v>
      </c>
      <c r="H195" s="45"/>
      <c r="I195" s="45">
        <v>4079922</v>
      </c>
      <c r="J195" s="45"/>
      <c r="K195" s="45">
        <v>449924</v>
      </c>
      <c r="L195" s="45"/>
      <c r="M195" s="45">
        <v>517143</v>
      </c>
      <c r="N195" s="45"/>
      <c r="O195" s="45">
        <f>2585730+744134</f>
        <v>3329864</v>
      </c>
      <c r="P195" s="45"/>
      <c r="Q195" s="45">
        <f>2979946+1978557</f>
        <v>4958503</v>
      </c>
      <c r="R195" s="45"/>
      <c r="S195" s="45">
        <v>0</v>
      </c>
      <c r="T195" s="45"/>
      <c r="U195" s="45">
        <v>0</v>
      </c>
      <c r="V195" s="45"/>
      <c r="W195" s="45">
        <v>0</v>
      </c>
      <c r="X195" s="45"/>
      <c r="Y195" s="45">
        <v>0</v>
      </c>
      <c r="Z195" s="44"/>
      <c r="AA195" s="45">
        <v>0</v>
      </c>
      <c r="AB195" s="44"/>
      <c r="AC195" s="45">
        <f t="shared" ref="AC195" si="5">SUM(E195:AA195)</f>
        <v>35102725</v>
      </c>
      <c r="AD195" s="45"/>
      <c r="AE195" s="48">
        <v>0</v>
      </c>
      <c r="AF195" s="48"/>
      <c r="AG195" s="45">
        <v>5638051</v>
      </c>
      <c r="AH195" s="94"/>
      <c r="AI195" s="94">
        <v>11726538</v>
      </c>
      <c r="AJ195" s="94"/>
      <c r="AK195" s="94">
        <v>0</v>
      </c>
      <c r="AL195" s="94"/>
      <c r="AM195" s="94">
        <f>+'Gen rev'!U196-'Gen exp'!AC195-AG195+'Gen rev'!W196+AI195+AK195-'Gen Bal'!S196-'Gen exp'!AE195</f>
        <v>0</v>
      </c>
      <c r="AN195" s="46"/>
      <c r="AO195" s="46"/>
      <c r="AP195" s="46"/>
      <c r="AQ195" s="46"/>
    </row>
    <row r="196" spans="1:45" s="49" customFormat="1" ht="12.75" customHeight="1">
      <c r="A196" s="28" t="s">
        <v>226</v>
      </c>
      <c r="C196" s="28" t="s">
        <v>45</v>
      </c>
      <c r="E196" s="45">
        <v>3284032</v>
      </c>
      <c r="F196" s="45"/>
      <c r="G196" s="45">
        <v>5510853</v>
      </c>
      <c r="H196" s="45"/>
      <c r="I196" s="45">
        <v>557096</v>
      </c>
      <c r="J196" s="45"/>
      <c r="K196" s="45">
        <v>329839</v>
      </c>
      <c r="L196" s="45"/>
      <c r="M196" s="45">
        <v>0</v>
      </c>
      <c r="N196" s="45"/>
      <c r="O196" s="45">
        <v>2809199</v>
      </c>
      <c r="P196" s="45"/>
      <c r="Q196" s="45">
        <v>560329</v>
      </c>
      <c r="R196" s="45"/>
      <c r="S196" s="45">
        <v>0</v>
      </c>
      <c r="T196" s="45"/>
      <c r="U196" s="45">
        <v>0</v>
      </c>
      <c r="V196" s="45"/>
      <c r="W196" s="45">
        <v>0</v>
      </c>
      <c r="X196" s="45"/>
      <c r="Y196" s="45">
        <v>0</v>
      </c>
      <c r="Z196" s="44"/>
      <c r="AA196" s="45">
        <v>0</v>
      </c>
      <c r="AB196" s="44"/>
      <c r="AC196" s="45">
        <f t="shared" ref="AC196:AC255" si="6">SUM(E196:AA196)</f>
        <v>13051348</v>
      </c>
      <c r="AD196" s="45"/>
      <c r="AE196" s="48">
        <v>0</v>
      </c>
      <c r="AF196" s="48"/>
      <c r="AG196" s="45">
        <v>1762576</v>
      </c>
      <c r="AH196" s="45"/>
      <c r="AI196" s="45">
        <v>5045561</v>
      </c>
      <c r="AJ196" s="45"/>
      <c r="AK196" s="45">
        <v>0</v>
      </c>
      <c r="AL196" s="45"/>
      <c r="AM196" s="45">
        <f>+'Gen rev'!U197-'Gen exp'!AC196-AG196+'Gen rev'!W197+AI196+AK196-'Gen Bal'!S197-'Gen exp'!AE196</f>
        <v>0</v>
      </c>
      <c r="AN196" s="44"/>
      <c r="AO196" s="44"/>
      <c r="AP196" s="44"/>
      <c r="AQ196" s="44"/>
    </row>
    <row r="197" spans="1:45" s="46" customFormat="1" ht="12.75" customHeight="1">
      <c r="A197" s="64" t="s">
        <v>227</v>
      </c>
      <c r="C197" s="64" t="s">
        <v>17</v>
      </c>
      <c r="E197" s="45">
        <v>1296890</v>
      </c>
      <c r="F197" s="45"/>
      <c r="G197" s="45">
        <v>1737228</v>
      </c>
      <c r="H197" s="45"/>
      <c r="I197" s="45">
        <v>160572</v>
      </c>
      <c r="J197" s="45"/>
      <c r="K197" s="45">
        <v>37171</v>
      </c>
      <c r="L197" s="45"/>
      <c r="M197" s="45">
        <v>0</v>
      </c>
      <c r="N197" s="45"/>
      <c r="O197" s="45">
        <v>98698</v>
      </c>
      <c r="P197" s="45"/>
      <c r="Q197" s="45">
        <v>0</v>
      </c>
      <c r="R197" s="45"/>
      <c r="S197" s="45">
        <v>23859</v>
      </c>
      <c r="T197" s="45"/>
      <c r="U197" s="45">
        <v>0</v>
      </c>
      <c r="V197" s="45"/>
      <c r="W197" s="45">
        <f>2358+23058</f>
        <v>25416</v>
      </c>
      <c r="X197" s="45"/>
      <c r="Y197" s="45">
        <v>3755</v>
      </c>
      <c r="Z197" s="44"/>
      <c r="AA197" s="45">
        <v>0</v>
      </c>
      <c r="AB197" s="44"/>
      <c r="AC197" s="45">
        <f t="shared" si="6"/>
        <v>3383589</v>
      </c>
      <c r="AD197" s="45"/>
      <c r="AE197" s="48">
        <v>0</v>
      </c>
      <c r="AF197" s="48"/>
      <c r="AG197" s="45">
        <v>82956</v>
      </c>
      <c r="AH197" s="45"/>
      <c r="AI197" s="45">
        <v>313905</v>
      </c>
      <c r="AJ197" s="45"/>
      <c r="AK197" s="45">
        <v>0</v>
      </c>
      <c r="AL197" s="45"/>
      <c r="AM197" s="45">
        <f>+'Gen rev'!U198-'Gen exp'!AC197-AG197+'Gen rev'!W198+AI197+AK197-'Gen Bal'!S198-'Gen exp'!AE197</f>
        <v>0</v>
      </c>
    </row>
    <row r="198" spans="1:45" s="49" customFormat="1" ht="12.75" customHeight="1">
      <c r="A198" s="28" t="s">
        <v>228</v>
      </c>
      <c r="C198" s="28" t="s">
        <v>153</v>
      </c>
      <c r="E198" s="45">
        <v>938033</v>
      </c>
      <c r="F198" s="45"/>
      <c r="G198" s="45">
        <v>2733463</v>
      </c>
      <c r="H198" s="45"/>
      <c r="I198" s="45">
        <v>0</v>
      </c>
      <c r="J198" s="45"/>
      <c r="K198" s="45">
        <v>0</v>
      </c>
      <c r="L198" s="45"/>
      <c r="M198" s="45">
        <v>34762</v>
      </c>
      <c r="N198" s="45"/>
      <c r="O198" s="45">
        <v>0</v>
      </c>
      <c r="P198" s="45"/>
      <c r="Q198" s="45">
        <v>0</v>
      </c>
      <c r="R198" s="45"/>
      <c r="S198" s="45">
        <v>0</v>
      </c>
      <c r="T198" s="45"/>
      <c r="U198" s="45">
        <v>0</v>
      </c>
      <c r="V198" s="45"/>
      <c r="W198" s="45">
        <v>0</v>
      </c>
      <c r="X198" s="45"/>
      <c r="Y198" s="45">
        <v>0</v>
      </c>
      <c r="Z198" s="44"/>
      <c r="AA198" s="45">
        <v>0</v>
      </c>
      <c r="AB198" s="44"/>
      <c r="AC198" s="45">
        <f t="shared" si="6"/>
        <v>3706258</v>
      </c>
      <c r="AD198" s="45"/>
      <c r="AE198" s="48">
        <v>0</v>
      </c>
      <c r="AF198" s="48"/>
      <c r="AG198" s="45">
        <v>205325</v>
      </c>
      <c r="AH198" s="45"/>
      <c r="AI198" s="45">
        <v>930306</v>
      </c>
      <c r="AJ198" s="45"/>
      <c r="AK198" s="45">
        <v>0</v>
      </c>
      <c r="AL198" s="45"/>
      <c r="AM198" s="45">
        <f>+'Gen rev'!U199-'Gen exp'!AC198-AG198+'Gen rev'!W199+AI198+AK198-'Gen Bal'!S199-'Gen exp'!AE198</f>
        <v>0</v>
      </c>
      <c r="AN198" s="45"/>
      <c r="AO198" s="45"/>
      <c r="AP198" s="45"/>
      <c r="AQ198" s="45"/>
      <c r="AR198" s="52"/>
      <c r="AS198" s="50"/>
    </row>
    <row r="199" spans="1:45" s="49" customFormat="1" ht="12.75" customHeight="1">
      <c r="A199" s="28"/>
      <c r="C199" s="28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4"/>
      <c r="AA199" s="45"/>
      <c r="AB199" s="44"/>
      <c r="AC199" s="45"/>
      <c r="AD199" s="45"/>
      <c r="AE199" s="48"/>
      <c r="AF199" s="48"/>
      <c r="AG199" s="48" t="s">
        <v>484</v>
      </c>
      <c r="AH199" s="45"/>
      <c r="AI199" s="45"/>
      <c r="AJ199" s="45"/>
      <c r="AK199" s="45"/>
      <c r="AL199" s="45"/>
      <c r="AM199" s="45"/>
      <c r="AN199" s="44"/>
      <c r="AO199" s="44"/>
      <c r="AP199" s="44"/>
      <c r="AQ199" s="44"/>
    </row>
    <row r="200" spans="1:45" s="49" customFormat="1" ht="12.75" customHeight="1">
      <c r="A200" s="28" t="s">
        <v>229</v>
      </c>
      <c r="C200" s="28" t="s">
        <v>228</v>
      </c>
      <c r="E200" s="94">
        <v>1221294</v>
      </c>
      <c r="F200" s="94"/>
      <c r="G200" s="94">
        <f>5667575+4231150+1329563</f>
        <v>11228288</v>
      </c>
      <c r="H200" s="94"/>
      <c r="I200" s="94">
        <f>130641+1060862</f>
        <v>1191503</v>
      </c>
      <c r="J200" s="94"/>
      <c r="K200" s="94">
        <v>0</v>
      </c>
      <c r="L200" s="94"/>
      <c r="M200" s="94">
        <v>0</v>
      </c>
      <c r="N200" s="94"/>
      <c r="O200" s="94">
        <v>1273062</v>
      </c>
      <c r="P200" s="94"/>
      <c r="Q200" s="94">
        <v>0</v>
      </c>
      <c r="R200" s="94"/>
      <c r="S200" s="94">
        <v>9789</v>
      </c>
      <c r="T200" s="94"/>
      <c r="U200" s="94">
        <v>0</v>
      </c>
      <c r="V200" s="94"/>
      <c r="W200" s="94">
        <v>0</v>
      </c>
      <c r="X200" s="94"/>
      <c r="Y200" s="94">
        <v>0</v>
      </c>
      <c r="Z200" s="46"/>
      <c r="AA200" s="94">
        <v>0</v>
      </c>
      <c r="AB200" s="46"/>
      <c r="AC200" s="94">
        <f t="shared" si="6"/>
        <v>14923936</v>
      </c>
      <c r="AD200" s="94"/>
      <c r="AE200" s="68">
        <v>0</v>
      </c>
      <c r="AF200" s="68"/>
      <c r="AG200" s="94">
        <v>2561607</v>
      </c>
      <c r="AH200" s="45"/>
      <c r="AI200" s="45">
        <v>6285931</v>
      </c>
      <c r="AJ200" s="45"/>
      <c r="AK200" s="45">
        <v>0</v>
      </c>
      <c r="AL200" s="45"/>
      <c r="AM200" s="45">
        <f>+'Gen rev'!U200-'Gen exp'!AC200-AG200+'Gen rev'!W200+AI200+AK200-'Gen Bal'!S200-'Gen exp'!AE200</f>
        <v>0</v>
      </c>
      <c r="AN200" s="45"/>
      <c r="AO200" s="45"/>
      <c r="AP200" s="45"/>
      <c r="AQ200" s="45"/>
      <c r="AR200" s="52"/>
      <c r="AS200" s="50"/>
    </row>
    <row r="201" spans="1:45" s="49" customFormat="1" ht="12.75" customHeight="1">
      <c r="A201" s="64" t="s">
        <v>230</v>
      </c>
      <c r="B201" s="46"/>
      <c r="C201" s="64" t="s">
        <v>45</v>
      </c>
      <c r="D201" s="46"/>
      <c r="E201" s="45">
        <v>762715</v>
      </c>
      <c r="F201" s="45"/>
      <c r="G201" s="45">
        <v>1363582</v>
      </c>
      <c r="H201" s="45"/>
      <c r="I201" s="45">
        <v>343157</v>
      </c>
      <c r="J201" s="45"/>
      <c r="K201" s="45">
        <v>4892</v>
      </c>
      <c r="L201" s="45"/>
      <c r="M201" s="45">
        <v>0</v>
      </c>
      <c r="N201" s="45"/>
      <c r="O201" s="45">
        <v>18095</v>
      </c>
      <c r="P201" s="45"/>
      <c r="Q201" s="45">
        <v>0</v>
      </c>
      <c r="R201" s="45"/>
      <c r="S201" s="45">
        <v>0</v>
      </c>
      <c r="T201" s="45"/>
      <c r="U201" s="45">
        <v>0</v>
      </c>
      <c r="V201" s="45"/>
      <c r="W201" s="45">
        <v>6596</v>
      </c>
      <c r="X201" s="45"/>
      <c r="Y201" s="45">
        <v>0</v>
      </c>
      <c r="Z201" s="44"/>
      <c r="AA201" s="45">
        <v>0</v>
      </c>
      <c r="AB201" s="44"/>
      <c r="AC201" s="45">
        <f t="shared" si="6"/>
        <v>2499037</v>
      </c>
      <c r="AD201" s="45"/>
      <c r="AE201" s="48">
        <v>0</v>
      </c>
      <c r="AF201" s="48"/>
      <c r="AG201" s="45">
        <v>854002</v>
      </c>
      <c r="AH201" s="45"/>
      <c r="AI201" s="45">
        <v>1412258</v>
      </c>
      <c r="AJ201" s="45"/>
      <c r="AK201" s="45">
        <v>0</v>
      </c>
      <c r="AL201" s="45"/>
      <c r="AM201" s="45">
        <f>+'Gen rev'!U201-'Gen exp'!AC201-AG201+'Gen rev'!W201+AI201+AK201-'Gen Bal'!S201-'Gen exp'!AE201</f>
        <v>0</v>
      </c>
      <c r="AN201" s="44"/>
      <c r="AO201" s="44"/>
      <c r="AP201" s="44"/>
      <c r="AQ201" s="44"/>
    </row>
    <row r="202" spans="1:45" s="49" customFormat="1" ht="12.75" customHeight="1">
      <c r="A202" s="28" t="s">
        <v>231</v>
      </c>
      <c r="C202" s="28" t="s">
        <v>27</v>
      </c>
      <c r="E202" s="45">
        <v>4039213</v>
      </c>
      <c r="F202" s="45"/>
      <c r="G202" s="45">
        <f>7301899+6318202+297440</f>
        <v>13917541</v>
      </c>
      <c r="H202" s="45"/>
      <c r="I202" s="45">
        <v>1967618</v>
      </c>
      <c r="J202" s="45"/>
      <c r="K202" s="45">
        <v>84955</v>
      </c>
      <c r="L202" s="45"/>
      <c r="M202" s="45">
        <v>5412425</v>
      </c>
      <c r="N202" s="45"/>
      <c r="O202" s="45">
        <v>6898</v>
      </c>
      <c r="P202" s="45"/>
      <c r="Q202" s="45">
        <v>1371700</v>
      </c>
      <c r="R202" s="45"/>
      <c r="S202" s="45">
        <v>0</v>
      </c>
      <c r="T202" s="45"/>
      <c r="U202" s="45">
        <v>0</v>
      </c>
      <c r="V202" s="45"/>
      <c r="W202" s="45">
        <v>0</v>
      </c>
      <c r="X202" s="45"/>
      <c r="Y202" s="45">
        <v>0</v>
      </c>
      <c r="Z202" s="44"/>
      <c r="AA202" s="45">
        <v>0</v>
      </c>
      <c r="AB202" s="44"/>
      <c r="AC202" s="45">
        <f t="shared" si="6"/>
        <v>26800350</v>
      </c>
      <c r="AD202" s="45"/>
      <c r="AE202" s="48">
        <v>0</v>
      </c>
      <c r="AF202" s="48"/>
      <c r="AG202" s="45">
        <v>5647424</v>
      </c>
      <c r="AH202" s="45"/>
      <c r="AI202" s="45">
        <v>26511416</v>
      </c>
      <c r="AJ202" s="45"/>
      <c r="AK202" s="45">
        <v>0</v>
      </c>
      <c r="AL202" s="45"/>
      <c r="AM202" s="45">
        <f>+'Gen rev'!U202-'Gen exp'!AC202-AG202+'Gen rev'!W202+AI202+AK202-'Gen Bal'!S202-'Gen exp'!AE202</f>
        <v>0</v>
      </c>
      <c r="AN202" s="44"/>
      <c r="AO202" s="44"/>
      <c r="AP202" s="44"/>
      <c r="AQ202" s="44"/>
    </row>
    <row r="203" spans="1:45" s="49" customFormat="1" ht="12.75" customHeight="1">
      <c r="A203" s="28" t="s">
        <v>232</v>
      </c>
      <c r="C203" s="28" t="s">
        <v>27</v>
      </c>
      <c r="E203" s="45">
        <f>2622471+541010</f>
        <v>3163481</v>
      </c>
      <c r="F203" s="45"/>
      <c r="G203" s="45">
        <f>5212297+4116257</f>
        <v>9328554</v>
      </c>
      <c r="H203" s="45"/>
      <c r="I203" s="45">
        <v>244319</v>
      </c>
      <c r="J203" s="45"/>
      <c r="K203" s="45">
        <v>129249</v>
      </c>
      <c r="L203" s="45"/>
      <c r="M203" s="45">
        <v>1079658</v>
      </c>
      <c r="N203" s="45"/>
      <c r="O203" s="45">
        <v>351427</v>
      </c>
      <c r="P203" s="45"/>
      <c r="Q203" s="45">
        <f>716900+1347024</f>
        <v>2063924</v>
      </c>
      <c r="R203" s="45"/>
      <c r="S203" s="45">
        <v>0</v>
      </c>
      <c r="T203" s="45"/>
      <c r="U203" s="45">
        <v>0</v>
      </c>
      <c r="V203" s="45"/>
      <c r="W203" s="45">
        <v>6495</v>
      </c>
      <c r="X203" s="45"/>
      <c r="Y203" s="45">
        <v>13055</v>
      </c>
      <c r="Z203" s="44"/>
      <c r="AA203" s="45">
        <v>0</v>
      </c>
      <c r="AB203" s="44"/>
      <c r="AC203" s="45">
        <f t="shared" si="6"/>
        <v>16380162</v>
      </c>
      <c r="AD203" s="45"/>
      <c r="AE203" s="48">
        <v>0</v>
      </c>
      <c r="AF203" s="48"/>
      <c r="AG203" s="45">
        <v>1110000</v>
      </c>
      <c r="AH203" s="45"/>
      <c r="AI203" s="45">
        <v>4947801</v>
      </c>
      <c r="AJ203" s="45"/>
      <c r="AK203" s="45">
        <v>0</v>
      </c>
      <c r="AL203" s="45"/>
      <c r="AM203" s="45">
        <f>+'Gen rev'!U203-'Gen exp'!AC203-AG203+'Gen rev'!W203+AI203+AK203-'Gen Bal'!S203-'Gen exp'!AE203</f>
        <v>0</v>
      </c>
      <c r="AN203" s="45"/>
      <c r="AO203" s="45"/>
      <c r="AP203" s="45"/>
      <c r="AQ203" s="45"/>
      <c r="AR203" s="52"/>
      <c r="AS203" s="50"/>
    </row>
    <row r="204" spans="1:45" s="49" customFormat="1" ht="12.75" customHeight="1">
      <c r="A204" s="28" t="s">
        <v>233</v>
      </c>
      <c r="C204" s="28" t="s">
        <v>111</v>
      </c>
      <c r="E204" s="45">
        <v>4458601</v>
      </c>
      <c r="F204" s="45"/>
      <c r="G204" s="45">
        <v>2796654</v>
      </c>
      <c r="H204" s="45"/>
      <c r="I204" s="45">
        <v>629695</v>
      </c>
      <c r="J204" s="45"/>
      <c r="K204" s="45">
        <v>15274</v>
      </c>
      <c r="L204" s="45"/>
      <c r="M204" s="45">
        <v>0</v>
      </c>
      <c r="N204" s="45"/>
      <c r="O204" s="45">
        <v>463693</v>
      </c>
      <c r="P204" s="45"/>
      <c r="Q204" s="45">
        <v>0</v>
      </c>
      <c r="R204" s="45"/>
      <c r="S204" s="45">
        <v>0</v>
      </c>
      <c r="T204" s="45"/>
      <c r="U204" s="45">
        <v>0</v>
      </c>
      <c r="V204" s="45"/>
      <c r="W204" s="45">
        <v>4329</v>
      </c>
      <c r="X204" s="45"/>
      <c r="Y204" s="45">
        <v>94</v>
      </c>
      <c r="Z204" s="44"/>
      <c r="AA204" s="45">
        <v>0</v>
      </c>
      <c r="AB204" s="44"/>
      <c r="AC204" s="45">
        <f t="shared" si="6"/>
        <v>8368340</v>
      </c>
      <c r="AD204" s="45"/>
      <c r="AE204" s="48">
        <v>0</v>
      </c>
      <c r="AF204" s="48"/>
      <c r="AG204" s="45">
        <v>1102522</v>
      </c>
      <c r="AH204" s="45"/>
      <c r="AI204" s="45">
        <v>6192106</v>
      </c>
      <c r="AJ204" s="45"/>
      <c r="AK204" s="45">
        <v>2618</v>
      </c>
      <c r="AL204" s="45"/>
      <c r="AM204" s="45">
        <f>+'Gen rev'!U204-'Gen exp'!AC204-AG204+'Gen rev'!W204+AI204+AK204-'Gen Bal'!S204-'Gen exp'!AE204</f>
        <v>0</v>
      </c>
      <c r="AN204" s="35"/>
      <c r="AO204" s="35"/>
      <c r="AP204" s="35"/>
      <c r="AQ204" s="35"/>
      <c r="AR204" s="50"/>
      <c r="AS204" s="50"/>
    </row>
    <row r="205" spans="1:45" s="49" customFormat="1" ht="12.75" customHeight="1">
      <c r="A205" s="28" t="s">
        <v>234</v>
      </c>
      <c r="C205" s="28" t="s">
        <v>45</v>
      </c>
      <c r="E205" s="45">
        <v>4958525</v>
      </c>
      <c r="F205" s="45"/>
      <c r="G205" s="45">
        <v>7910589</v>
      </c>
      <c r="H205" s="45"/>
      <c r="I205" s="45">
        <v>539782</v>
      </c>
      <c r="J205" s="45"/>
      <c r="K205" s="45">
        <v>309516</v>
      </c>
      <c r="L205" s="45"/>
      <c r="M205" s="45">
        <v>781695</v>
      </c>
      <c r="N205" s="45"/>
      <c r="O205" s="45">
        <v>1651797</v>
      </c>
      <c r="P205" s="45"/>
      <c r="Q205" s="45">
        <v>0</v>
      </c>
      <c r="R205" s="45"/>
      <c r="S205" s="45">
        <v>212929</v>
      </c>
      <c r="T205" s="45"/>
      <c r="U205" s="45">
        <v>0</v>
      </c>
      <c r="V205" s="45"/>
      <c r="W205" s="45">
        <v>7876</v>
      </c>
      <c r="X205" s="45"/>
      <c r="Y205" s="45">
        <v>2543</v>
      </c>
      <c r="Z205" s="44"/>
      <c r="AA205" s="45">
        <v>0</v>
      </c>
      <c r="AB205" s="44"/>
      <c r="AC205" s="45">
        <f t="shared" si="6"/>
        <v>16375252</v>
      </c>
      <c r="AD205" s="45"/>
      <c r="AE205" s="48">
        <v>0</v>
      </c>
      <c r="AF205" s="48"/>
      <c r="AG205" s="45">
        <v>865400</v>
      </c>
      <c r="AH205" s="45"/>
      <c r="AI205" s="45">
        <v>7355826</v>
      </c>
      <c r="AJ205" s="45"/>
      <c r="AK205" s="45">
        <v>0</v>
      </c>
      <c r="AL205" s="45"/>
      <c r="AM205" s="45">
        <f>+'Gen rev'!U205-'Gen exp'!AC205-AG205+'Gen rev'!W205+AI205+AK205-'Gen Bal'!S205-'Gen exp'!AE205</f>
        <v>0</v>
      </c>
      <c r="AN205" s="44"/>
      <c r="AO205" s="44"/>
      <c r="AP205" s="44"/>
      <c r="AQ205" s="44"/>
    </row>
    <row r="206" spans="1:45" s="49" customFormat="1" ht="12.75" customHeight="1">
      <c r="A206" s="28" t="s">
        <v>235</v>
      </c>
      <c r="C206" s="28" t="s">
        <v>183</v>
      </c>
      <c r="E206" s="45">
        <v>9991210</v>
      </c>
      <c r="F206" s="45"/>
      <c r="G206" s="45">
        <v>22757092</v>
      </c>
      <c r="H206" s="45"/>
      <c r="I206" s="45">
        <v>951558</v>
      </c>
      <c r="J206" s="45"/>
      <c r="K206" s="45">
        <v>41847</v>
      </c>
      <c r="L206" s="45"/>
      <c r="M206" s="45">
        <v>163962</v>
      </c>
      <c r="N206" s="45"/>
      <c r="O206" s="45">
        <v>1617495</v>
      </c>
      <c r="P206" s="45"/>
      <c r="Q206" s="45">
        <v>0</v>
      </c>
      <c r="R206" s="45"/>
      <c r="S206" s="45">
        <v>99699</v>
      </c>
      <c r="T206" s="45"/>
      <c r="U206" s="45">
        <v>0</v>
      </c>
      <c r="V206" s="45"/>
      <c r="W206" s="45">
        <v>0</v>
      </c>
      <c r="X206" s="45"/>
      <c r="Y206" s="45">
        <v>0</v>
      </c>
      <c r="Z206" s="44"/>
      <c r="AA206" s="45">
        <v>0</v>
      </c>
      <c r="AB206" s="44"/>
      <c r="AC206" s="45">
        <f t="shared" si="6"/>
        <v>35622863</v>
      </c>
      <c r="AD206" s="45"/>
      <c r="AE206" s="48">
        <v>0</v>
      </c>
      <c r="AF206" s="48"/>
      <c r="AG206" s="45">
        <v>575424</v>
      </c>
      <c r="AH206" s="45"/>
      <c r="AI206" s="45">
        <v>6097555</v>
      </c>
      <c r="AJ206" s="45"/>
      <c r="AK206" s="45">
        <v>0</v>
      </c>
      <c r="AL206" s="45"/>
      <c r="AM206" s="45">
        <f>+'Gen rev'!U206-'Gen exp'!AC206-AG206+'Gen rev'!W206+AI206+AK206-'Gen Bal'!S206-'Gen exp'!AE206</f>
        <v>0</v>
      </c>
      <c r="AN206" s="44"/>
      <c r="AO206" s="44"/>
      <c r="AP206" s="44"/>
      <c r="AQ206" s="44"/>
    </row>
    <row r="207" spans="1:45" s="49" customFormat="1" ht="12.75" customHeight="1">
      <c r="A207" s="64" t="s">
        <v>236</v>
      </c>
      <c r="B207" s="46"/>
      <c r="C207" s="64" t="s">
        <v>45</v>
      </c>
      <c r="D207" s="46"/>
      <c r="E207" s="45">
        <v>3974256</v>
      </c>
      <c r="F207" s="45"/>
      <c r="G207" s="45">
        <v>4726478</v>
      </c>
      <c r="H207" s="45"/>
      <c r="I207" s="45">
        <v>0</v>
      </c>
      <c r="J207" s="45"/>
      <c r="K207" s="45">
        <v>99653</v>
      </c>
      <c r="L207" s="45"/>
      <c r="M207" s="45">
        <v>124504</v>
      </c>
      <c r="N207" s="45"/>
      <c r="O207" s="45">
        <v>125521</v>
      </c>
      <c r="P207" s="45"/>
      <c r="Q207" s="45">
        <f>2159+1645136</f>
        <v>1647295</v>
      </c>
      <c r="R207" s="45"/>
      <c r="S207" s="45">
        <v>0</v>
      </c>
      <c r="T207" s="45"/>
      <c r="U207" s="45">
        <v>0</v>
      </c>
      <c r="V207" s="45"/>
      <c r="W207" s="45">
        <v>0</v>
      </c>
      <c r="X207" s="45"/>
      <c r="Y207" s="45">
        <v>0</v>
      </c>
      <c r="Z207" s="44"/>
      <c r="AA207" s="45">
        <v>0</v>
      </c>
      <c r="AB207" s="44"/>
      <c r="AC207" s="45">
        <f t="shared" si="6"/>
        <v>10697707</v>
      </c>
      <c r="AD207" s="45"/>
      <c r="AE207" s="48">
        <v>0</v>
      </c>
      <c r="AF207" s="48"/>
      <c r="AG207" s="45">
        <v>2917875</v>
      </c>
      <c r="AH207" s="45"/>
      <c r="AI207" s="45">
        <v>9048550</v>
      </c>
      <c r="AJ207" s="45"/>
      <c r="AK207" s="45">
        <v>-3229</v>
      </c>
      <c r="AL207" s="45"/>
      <c r="AM207" s="45">
        <f>+'Gen rev'!U207-'Gen exp'!AC207-AG207+'Gen rev'!W207+AI207+AK207-'Gen Bal'!S207-'Gen exp'!AE207</f>
        <v>0</v>
      </c>
      <c r="AN207" s="45"/>
      <c r="AO207" s="45"/>
      <c r="AP207" s="45"/>
      <c r="AQ207" s="45"/>
      <c r="AR207" s="52"/>
      <c r="AS207" s="50"/>
    </row>
    <row r="208" spans="1:45" s="49" customFormat="1" ht="12.75" customHeight="1">
      <c r="A208" s="28" t="s">
        <v>237</v>
      </c>
      <c r="C208" s="28" t="s">
        <v>33</v>
      </c>
      <c r="E208" s="45">
        <v>345156</v>
      </c>
      <c r="F208" s="45"/>
      <c r="G208" s="45">
        <v>1913</v>
      </c>
      <c r="H208" s="45"/>
      <c r="I208" s="45">
        <v>0</v>
      </c>
      <c r="J208" s="45"/>
      <c r="K208" s="45">
        <v>32527</v>
      </c>
      <c r="L208" s="45"/>
      <c r="M208" s="45">
        <v>0</v>
      </c>
      <c r="N208" s="45"/>
      <c r="O208" s="45">
        <v>0</v>
      </c>
      <c r="P208" s="45"/>
      <c r="Q208" s="45">
        <v>0</v>
      </c>
      <c r="R208" s="45"/>
      <c r="S208" s="45">
        <v>2803</v>
      </c>
      <c r="T208" s="45"/>
      <c r="U208" s="45">
        <v>0</v>
      </c>
      <c r="V208" s="45"/>
      <c r="W208" s="45">
        <v>0</v>
      </c>
      <c r="X208" s="45"/>
      <c r="Y208" s="45">
        <v>0</v>
      </c>
      <c r="Z208" s="44"/>
      <c r="AA208" s="45">
        <v>0</v>
      </c>
      <c r="AB208" s="44"/>
      <c r="AC208" s="45">
        <f t="shared" si="6"/>
        <v>382399</v>
      </c>
      <c r="AD208" s="45"/>
      <c r="AE208" s="48">
        <v>0</v>
      </c>
      <c r="AF208" s="48"/>
      <c r="AG208" s="45">
        <v>1399700</v>
      </c>
      <c r="AH208" s="45"/>
      <c r="AI208" s="45">
        <v>244619</v>
      </c>
      <c r="AJ208" s="45"/>
      <c r="AK208" s="45">
        <v>0</v>
      </c>
      <c r="AL208" s="45"/>
      <c r="AM208" s="45">
        <f>+'Gen rev'!U208-'Gen exp'!AC208-AG208+'Gen rev'!W208+AI208+AK208-'Gen Bal'!S208-'Gen exp'!AE208</f>
        <v>0</v>
      </c>
      <c r="AN208" s="45"/>
      <c r="AO208" s="45"/>
      <c r="AP208" s="45"/>
      <c r="AQ208" s="45"/>
      <c r="AR208" s="52"/>
      <c r="AS208" s="50"/>
    </row>
    <row r="209" spans="1:45" s="49" customFormat="1" ht="12.75" customHeight="1">
      <c r="A209" s="28" t="s">
        <v>238</v>
      </c>
      <c r="C209" s="28" t="s">
        <v>239</v>
      </c>
      <c r="E209" s="45">
        <v>807888</v>
      </c>
      <c r="F209" s="45"/>
      <c r="G209" s="45">
        <v>2606310</v>
      </c>
      <c r="H209" s="45"/>
      <c r="I209" s="45">
        <v>22373</v>
      </c>
      <c r="J209" s="45"/>
      <c r="K209" s="45">
        <v>27528</v>
      </c>
      <c r="L209" s="45"/>
      <c r="M209" s="45">
        <v>0</v>
      </c>
      <c r="N209" s="45"/>
      <c r="O209" s="45">
        <v>156760</v>
      </c>
      <c r="P209" s="45"/>
      <c r="Q209" s="45">
        <v>0</v>
      </c>
      <c r="R209" s="45"/>
      <c r="S209" s="45">
        <v>0</v>
      </c>
      <c r="T209" s="45"/>
      <c r="U209" s="45">
        <v>0</v>
      </c>
      <c r="V209" s="45"/>
      <c r="W209" s="45">
        <v>0</v>
      </c>
      <c r="X209" s="45"/>
      <c r="Y209" s="45">
        <v>0</v>
      </c>
      <c r="Z209" s="44"/>
      <c r="AA209" s="45">
        <v>0</v>
      </c>
      <c r="AB209" s="44"/>
      <c r="AC209" s="45">
        <f t="shared" si="6"/>
        <v>3620859</v>
      </c>
      <c r="AD209" s="45"/>
      <c r="AE209" s="48">
        <v>0</v>
      </c>
      <c r="AF209" s="48"/>
      <c r="AG209" s="45">
        <v>1037872</v>
      </c>
      <c r="AH209" s="45"/>
      <c r="AI209" s="45">
        <v>4681655</v>
      </c>
      <c r="AJ209" s="45"/>
      <c r="AK209" s="45">
        <v>-8251</v>
      </c>
      <c r="AL209" s="45"/>
      <c r="AM209" s="45">
        <f>+'Gen rev'!U209-'Gen exp'!AC209-AG209+'Gen rev'!W209+AI209+AK209-'Gen Bal'!S210-'Gen exp'!AE209</f>
        <v>0</v>
      </c>
      <c r="AN209" s="45"/>
      <c r="AO209" s="45"/>
      <c r="AP209" s="45"/>
      <c r="AQ209" s="45"/>
      <c r="AR209" s="52"/>
      <c r="AS209" s="50"/>
    </row>
    <row r="210" spans="1:45" s="49" customFormat="1" ht="12.75" customHeight="1">
      <c r="A210" s="28" t="s">
        <v>486</v>
      </c>
      <c r="C210" s="28" t="s">
        <v>249</v>
      </c>
      <c r="E210" s="45">
        <v>2605297</v>
      </c>
      <c r="F210" s="45"/>
      <c r="G210" s="45">
        <v>7580391</v>
      </c>
      <c r="H210" s="45"/>
      <c r="I210" s="45">
        <v>95009</v>
      </c>
      <c r="J210" s="45"/>
      <c r="K210" s="45">
        <v>567418</v>
      </c>
      <c r="L210" s="45"/>
      <c r="M210" s="45">
        <v>1105207</v>
      </c>
      <c r="N210" s="45"/>
      <c r="O210" s="45">
        <v>704556</v>
      </c>
      <c r="P210" s="45"/>
      <c r="Q210" s="45">
        <v>0</v>
      </c>
      <c r="R210" s="45"/>
      <c r="S210" s="45">
        <v>0</v>
      </c>
      <c r="T210" s="45"/>
      <c r="U210" s="45">
        <v>0</v>
      </c>
      <c r="V210" s="45"/>
      <c r="W210" s="45">
        <v>61780</v>
      </c>
      <c r="X210" s="45"/>
      <c r="Y210" s="45">
        <v>87597</v>
      </c>
      <c r="Z210" s="44"/>
      <c r="AA210" s="45">
        <v>0</v>
      </c>
      <c r="AB210" s="44"/>
      <c r="AC210" s="45">
        <f t="shared" si="6"/>
        <v>12807255</v>
      </c>
      <c r="AD210" s="45"/>
      <c r="AE210" s="48">
        <v>0</v>
      </c>
      <c r="AF210" s="48"/>
      <c r="AG210" s="45">
        <v>0</v>
      </c>
      <c r="AH210" s="45"/>
      <c r="AI210" s="45">
        <v>203028</v>
      </c>
      <c r="AJ210" s="45"/>
      <c r="AK210" s="45">
        <v>0</v>
      </c>
      <c r="AL210" s="45"/>
      <c r="AM210" s="45">
        <f>+'Gen rev'!U210-'Gen exp'!AC210-AG210+'Gen rev'!W210+AI210+AK210-'Gen Bal'!S211-'Gen exp'!AE210</f>
        <v>0</v>
      </c>
      <c r="AN210" s="44"/>
      <c r="AO210" s="44"/>
      <c r="AP210" s="44"/>
      <c r="AQ210" s="44"/>
    </row>
    <row r="211" spans="1:45" s="49" customFormat="1" ht="12.75" customHeight="1">
      <c r="A211" s="28" t="s">
        <v>240</v>
      </c>
      <c r="C211" s="28" t="s">
        <v>13</v>
      </c>
      <c r="E211" s="45">
        <v>8653816</v>
      </c>
      <c r="F211" s="45"/>
      <c r="G211" s="45">
        <v>9445494</v>
      </c>
      <c r="H211" s="45"/>
      <c r="I211" s="45">
        <v>1274239</v>
      </c>
      <c r="J211" s="45"/>
      <c r="K211" s="45">
        <v>372191</v>
      </c>
      <c r="L211" s="45"/>
      <c r="M211" s="45">
        <v>399857</v>
      </c>
      <c r="N211" s="45"/>
      <c r="O211" s="45">
        <v>1767986</v>
      </c>
      <c r="P211" s="45"/>
      <c r="Q211" s="45">
        <v>0</v>
      </c>
      <c r="R211" s="45"/>
      <c r="S211" s="45">
        <v>0</v>
      </c>
      <c r="T211" s="45"/>
      <c r="U211" s="45">
        <v>0</v>
      </c>
      <c r="V211" s="45"/>
      <c r="W211" s="45">
        <v>0</v>
      </c>
      <c r="X211" s="45"/>
      <c r="Y211" s="45">
        <v>0</v>
      </c>
      <c r="Z211" s="44"/>
      <c r="AA211" s="45">
        <v>0</v>
      </c>
      <c r="AB211" s="44"/>
      <c r="AC211" s="45">
        <f t="shared" si="6"/>
        <v>21913583</v>
      </c>
      <c r="AD211" s="45"/>
      <c r="AE211" s="48">
        <v>0</v>
      </c>
      <c r="AF211" s="48"/>
      <c r="AG211" s="45">
        <v>664122</v>
      </c>
      <c r="AH211" s="45"/>
      <c r="AI211" s="45">
        <v>5634646</v>
      </c>
      <c r="AJ211" s="45"/>
      <c r="AK211" s="45">
        <v>0</v>
      </c>
      <c r="AL211" s="45"/>
      <c r="AM211" s="45">
        <f>+'Gen rev'!U211-'Gen exp'!AC211-AG211+'Gen rev'!W211+AI211+AK211-'Gen Bal'!S212-'Gen exp'!AE211</f>
        <v>0</v>
      </c>
      <c r="AN211" s="44"/>
      <c r="AO211" s="44"/>
      <c r="AP211" s="44"/>
      <c r="AQ211" s="44"/>
    </row>
    <row r="212" spans="1:45" s="129" customFormat="1" ht="12.75" customHeight="1">
      <c r="A212" s="28" t="s">
        <v>241</v>
      </c>
      <c r="B212" s="49"/>
      <c r="C212" s="28" t="s">
        <v>22</v>
      </c>
      <c r="D212" s="49"/>
      <c r="E212" s="45">
        <v>2392641</v>
      </c>
      <c r="F212" s="45"/>
      <c r="G212" s="45">
        <v>5409899</v>
      </c>
      <c r="H212" s="45"/>
      <c r="I212" s="45">
        <v>827682</v>
      </c>
      <c r="J212" s="45"/>
      <c r="K212" s="45">
        <v>0</v>
      </c>
      <c r="L212" s="45"/>
      <c r="M212" s="45">
        <v>0</v>
      </c>
      <c r="N212" s="45"/>
      <c r="O212" s="45">
        <v>438573</v>
      </c>
      <c r="P212" s="45"/>
      <c r="Q212" s="45">
        <v>680444</v>
      </c>
      <c r="R212" s="45"/>
      <c r="S212" s="45">
        <v>0</v>
      </c>
      <c r="T212" s="45"/>
      <c r="U212" s="45">
        <v>0</v>
      </c>
      <c r="V212" s="45"/>
      <c r="W212" s="45">
        <v>0</v>
      </c>
      <c r="X212" s="45"/>
      <c r="Y212" s="45">
        <v>0</v>
      </c>
      <c r="Z212" s="44"/>
      <c r="AA212" s="45">
        <v>0</v>
      </c>
      <c r="AB212" s="44"/>
      <c r="AC212" s="45">
        <f t="shared" si="6"/>
        <v>9749239</v>
      </c>
      <c r="AD212" s="45"/>
      <c r="AE212" s="48">
        <v>0</v>
      </c>
      <c r="AF212" s="48"/>
      <c r="AG212" s="45">
        <v>160111</v>
      </c>
      <c r="AH212" s="45"/>
      <c r="AI212" s="45">
        <v>1652792</v>
      </c>
      <c r="AJ212" s="45"/>
      <c r="AK212" s="45">
        <v>0</v>
      </c>
      <c r="AL212" s="45"/>
      <c r="AM212" s="45">
        <f>+'Gen rev'!U212-'Gen exp'!AC212-AG212+'Gen rev'!W212+AI212+AK212-'Gen Bal'!S213-'Gen exp'!AE212</f>
        <v>0</v>
      </c>
      <c r="AN212" s="127"/>
      <c r="AO212" s="127"/>
      <c r="AP212" s="127"/>
      <c r="AQ212" s="127"/>
      <c r="AR212" s="132"/>
      <c r="AS212" s="133"/>
    </row>
    <row r="213" spans="1:45" s="49" customFormat="1" ht="12.75" customHeight="1">
      <c r="A213" s="28" t="s">
        <v>242</v>
      </c>
      <c r="C213" s="28" t="s">
        <v>27</v>
      </c>
      <c r="E213" s="45">
        <v>6361691</v>
      </c>
      <c r="F213" s="45"/>
      <c r="G213" s="45">
        <v>9226118</v>
      </c>
      <c r="H213" s="45"/>
      <c r="I213" s="45">
        <v>1334368</v>
      </c>
      <c r="J213" s="45"/>
      <c r="K213" s="45">
        <v>336666</v>
      </c>
      <c r="L213" s="45"/>
      <c r="M213" s="45">
        <v>0</v>
      </c>
      <c r="N213" s="45"/>
      <c r="O213" s="45">
        <v>385055</v>
      </c>
      <c r="P213" s="45"/>
      <c r="Q213" s="45">
        <v>2511112</v>
      </c>
      <c r="R213" s="45"/>
      <c r="S213" s="45">
        <v>263410</v>
      </c>
      <c r="T213" s="45"/>
      <c r="U213" s="45">
        <v>0</v>
      </c>
      <c r="V213" s="45"/>
      <c r="W213" s="45">
        <v>0</v>
      </c>
      <c r="X213" s="45"/>
      <c r="Y213" s="45">
        <v>0</v>
      </c>
      <c r="Z213" s="44"/>
      <c r="AA213" s="45">
        <v>0</v>
      </c>
      <c r="AB213" s="44"/>
      <c r="AC213" s="45">
        <f t="shared" si="6"/>
        <v>20418420</v>
      </c>
      <c r="AD213" s="45"/>
      <c r="AE213" s="48">
        <v>0</v>
      </c>
      <c r="AF213" s="48"/>
      <c r="AG213" s="45">
        <v>9834500</v>
      </c>
      <c r="AH213" s="45"/>
      <c r="AI213" s="45">
        <v>11836717</v>
      </c>
      <c r="AJ213" s="45"/>
      <c r="AK213" s="45">
        <v>0</v>
      </c>
      <c r="AL213" s="45"/>
      <c r="AM213" s="45">
        <f>+'Gen rev'!U213-'Gen exp'!AC213-AG213+'Gen rev'!W213+AI213+AK213-'Gen Bal'!S214-'Gen exp'!AE213</f>
        <v>0</v>
      </c>
      <c r="AN213" s="44"/>
      <c r="AO213" s="44"/>
      <c r="AP213" s="44"/>
      <c r="AQ213" s="44"/>
    </row>
    <row r="214" spans="1:45" s="49" customFormat="1" ht="12.75" customHeight="1">
      <c r="A214" s="28" t="s">
        <v>243</v>
      </c>
      <c r="C214" s="28" t="s">
        <v>163</v>
      </c>
      <c r="E214" s="45">
        <v>3462369</v>
      </c>
      <c r="F214" s="45"/>
      <c r="G214" s="45">
        <v>4623254</v>
      </c>
      <c r="H214" s="45"/>
      <c r="I214" s="45">
        <v>421239</v>
      </c>
      <c r="J214" s="45"/>
      <c r="K214" s="45">
        <v>164842</v>
      </c>
      <c r="L214" s="45"/>
      <c r="M214" s="45">
        <v>250963</v>
      </c>
      <c r="N214" s="45"/>
      <c r="O214" s="45">
        <v>876721</v>
      </c>
      <c r="P214" s="45"/>
      <c r="Q214" s="45">
        <v>710643</v>
      </c>
      <c r="R214" s="45"/>
      <c r="S214" s="45">
        <v>0</v>
      </c>
      <c r="T214" s="45"/>
      <c r="U214" s="45">
        <v>0</v>
      </c>
      <c r="V214" s="45"/>
      <c r="W214" s="45">
        <v>0</v>
      </c>
      <c r="X214" s="45"/>
      <c r="Y214" s="45">
        <v>0</v>
      </c>
      <c r="Z214" s="44"/>
      <c r="AA214" s="45">
        <v>0</v>
      </c>
      <c r="AB214" s="44"/>
      <c r="AC214" s="45">
        <f t="shared" si="6"/>
        <v>10510031</v>
      </c>
      <c r="AD214" s="45"/>
      <c r="AE214" s="48">
        <v>0</v>
      </c>
      <c r="AF214" s="48"/>
      <c r="AG214" s="45">
        <v>915549</v>
      </c>
      <c r="AH214" s="45"/>
      <c r="AI214" s="45">
        <v>1175996</v>
      </c>
      <c r="AJ214" s="45"/>
      <c r="AK214" s="45">
        <v>-60092</v>
      </c>
      <c r="AL214" s="45"/>
      <c r="AM214" s="45">
        <f>+'Gen rev'!U214-'Gen exp'!AC214-AG214+'Gen rev'!W214+AI214+AK214-'Gen Bal'!S215-'Gen exp'!AE214</f>
        <v>0</v>
      </c>
      <c r="AN214" s="44"/>
      <c r="AO214" s="44"/>
      <c r="AP214" s="44"/>
      <c r="AQ214" s="44"/>
    </row>
    <row r="215" spans="1:45" s="49" customFormat="1" ht="12.75" customHeight="1">
      <c r="A215" s="28" t="s">
        <v>244</v>
      </c>
      <c r="C215" s="28" t="s">
        <v>13</v>
      </c>
      <c r="E215" s="45">
        <v>3062640</v>
      </c>
      <c r="F215" s="45"/>
      <c r="G215" s="45">
        <f>3462056+28469</f>
        <v>3490525</v>
      </c>
      <c r="H215" s="45"/>
      <c r="I215" s="45">
        <v>355637</v>
      </c>
      <c r="J215" s="45"/>
      <c r="K215" s="45">
        <v>0</v>
      </c>
      <c r="L215" s="45"/>
      <c r="M215" s="45">
        <v>226096</v>
      </c>
      <c r="N215" s="45"/>
      <c r="O215" s="45">
        <v>1419429</v>
      </c>
      <c r="P215" s="45"/>
      <c r="Q215" s="45">
        <v>0</v>
      </c>
      <c r="R215" s="45"/>
      <c r="S215" s="45">
        <v>180829</v>
      </c>
      <c r="T215" s="45"/>
      <c r="U215" s="45">
        <v>0</v>
      </c>
      <c r="V215" s="45"/>
      <c r="W215" s="45">
        <v>0</v>
      </c>
      <c r="X215" s="45"/>
      <c r="Y215" s="45">
        <v>0</v>
      </c>
      <c r="Z215" s="44"/>
      <c r="AA215" s="45">
        <v>0</v>
      </c>
      <c r="AB215" s="44"/>
      <c r="AC215" s="45">
        <f t="shared" si="6"/>
        <v>8735156</v>
      </c>
      <c r="AD215" s="45"/>
      <c r="AE215" s="48">
        <v>0</v>
      </c>
      <c r="AF215" s="48"/>
      <c r="AG215" s="45">
        <v>2618165</v>
      </c>
      <c r="AH215" s="45"/>
      <c r="AI215" s="45">
        <v>2990095</v>
      </c>
      <c r="AJ215" s="45"/>
      <c r="AK215" s="45">
        <v>0</v>
      </c>
      <c r="AL215" s="45"/>
      <c r="AM215" s="45">
        <f>+'Gen rev'!U215-'Gen exp'!AC215-AG215+'Gen rev'!W215+AI215+AK215-'Gen Bal'!S216-'Gen exp'!AE215</f>
        <v>0</v>
      </c>
      <c r="AN215" s="45"/>
      <c r="AO215" s="45"/>
      <c r="AP215" s="45"/>
      <c r="AQ215" s="45"/>
      <c r="AR215" s="52"/>
      <c r="AS215" s="50"/>
    </row>
    <row r="216" spans="1:45" s="46" customFormat="1" ht="12.75" customHeight="1">
      <c r="A216" s="28" t="s">
        <v>341</v>
      </c>
      <c r="B216" s="49"/>
      <c r="C216" s="28" t="s">
        <v>110</v>
      </c>
      <c r="D216" s="49"/>
      <c r="E216" s="45">
        <v>4026816</v>
      </c>
      <c r="F216" s="45"/>
      <c r="G216" s="45">
        <v>6679743</v>
      </c>
      <c r="H216" s="45"/>
      <c r="I216" s="45">
        <v>197855</v>
      </c>
      <c r="J216" s="45"/>
      <c r="K216" s="45">
        <v>0</v>
      </c>
      <c r="L216" s="45"/>
      <c r="M216" s="45">
        <v>0</v>
      </c>
      <c r="N216" s="45"/>
      <c r="O216" s="45">
        <v>0</v>
      </c>
      <c r="P216" s="45"/>
      <c r="Q216" s="45">
        <v>0</v>
      </c>
      <c r="R216" s="45"/>
      <c r="S216" s="45">
        <v>0</v>
      </c>
      <c r="T216" s="45"/>
      <c r="U216" s="45">
        <v>0</v>
      </c>
      <c r="V216" s="45"/>
      <c r="W216" s="45">
        <v>26852</v>
      </c>
      <c r="X216" s="45"/>
      <c r="Y216" s="45">
        <v>4953</v>
      </c>
      <c r="Z216" s="44"/>
      <c r="AA216" s="45">
        <v>0</v>
      </c>
      <c r="AB216" s="44"/>
      <c r="AC216" s="45">
        <f t="shared" si="6"/>
        <v>10936219</v>
      </c>
      <c r="AD216" s="45"/>
      <c r="AE216" s="48">
        <v>0</v>
      </c>
      <c r="AF216" s="48"/>
      <c r="AG216" s="45">
        <v>1148620</v>
      </c>
      <c r="AH216" s="45"/>
      <c r="AI216" s="45">
        <v>1712046</v>
      </c>
      <c r="AJ216" s="45"/>
      <c r="AK216" s="45">
        <v>10260</v>
      </c>
      <c r="AL216" s="45"/>
      <c r="AM216" s="45">
        <f>+'Gen rev'!U216-'Gen exp'!AC216-AG216+'Gen rev'!W216+AI216+AK216-'Gen Bal'!S217-'Gen exp'!AE216</f>
        <v>0</v>
      </c>
      <c r="AN216" s="94"/>
      <c r="AO216" s="94"/>
      <c r="AP216" s="94"/>
      <c r="AQ216" s="94"/>
      <c r="AR216" s="90"/>
      <c r="AS216" s="64"/>
    </row>
    <row r="217" spans="1:45" s="49" customFormat="1" ht="12.75" customHeight="1">
      <c r="A217" s="28" t="s">
        <v>246</v>
      </c>
      <c r="C217" s="28" t="s">
        <v>209</v>
      </c>
      <c r="E217" s="45">
        <v>1423844</v>
      </c>
      <c r="F217" s="45"/>
      <c r="G217" s="45">
        <v>2968572</v>
      </c>
      <c r="H217" s="45"/>
      <c r="I217" s="45">
        <v>246653</v>
      </c>
      <c r="J217" s="45"/>
      <c r="K217" s="45">
        <v>0</v>
      </c>
      <c r="L217" s="45"/>
      <c r="M217" s="45">
        <v>0</v>
      </c>
      <c r="N217" s="45"/>
      <c r="O217" s="45">
        <v>430250</v>
      </c>
      <c r="P217" s="45"/>
      <c r="Q217" s="45">
        <v>234230</v>
      </c>
      <c r="R217" s="45"/>
      <c r="S217" s="45">
        <v>47546</v>
      </c>
      <c r="T217" s="45"/>
      <c r="U217" s="45">
        <v>0</v>
      </c>
      <c r="V217" s="45"/>
      <c r="W217" s="45">
        <v>12972</v>
      </c>
      <c r="X217" s="45"/>
      <c r="Y217" s="45">
        <v>540</v>
      </c>
      <c r="Z217" s="44"/>
      <c r="AA217" s="45">
        <v>0</v>
      </c>
      <c r="AB217" s="44"/>
      <c r="AC217" s="45">
        <f t="shared" si="6"/>
        <v>5364607</v>
      </c>
      <c r="AD217" s="45"/>
      <c r="AE217" s="48">
        <v>0</v>
      </c>
      <c r="AF217" s="48"/>
      <c r="AG217" s="45">
        <v>110000</v>
      </c>
      <c r="AH217" s="45"/>
      <c r="AI217" s="45">
        <v>3911059</v>
      </c>
      <c r="AJ217" s="45"/>
      <c r="AK217" s="45">
        <v>-2380</v>
      </c>
      <c r="AL217" s="45"/>
      <c r="AM217" s="45">
        <f>+'Gen rev'!U217-'Gen exp'!AC217-AG217+'Gen rev'!W217+AI217+AK217-'Gen Bal'!S218-'Gen exp'!AE217</f>
        <v>0</v>
      </c>
      <c r="AN217" s="35"/>
      <c r="AO217" s="35"/>
      <c r="AP217" s="35"/>
      <c r="AQ217" s="35"/>
      <c r="AR217" s="50"/>
      <c r="AS217" s="50"/>
    </row>
    <row r="218" spans="1:45" s="49" customFormat="1" ht="12.75" customHeight="1">
      <c r="A218" s="28" t="s">
        <v>247</v>
      </c>
      <c r="C218" s="28" t="s">
        <v>163</v>
      </c>
      <c r="E218" s="45">
        <v>14399000</v>
      </c>
      <c r="F218" s="45"/>
      <c r="G218" s="45">
        <v>148863000</v>
      </c>
      <c r="H218" s="45"/>
      <c r="I218" s="45">
        <v>4258000</v>
      </c>
      <c r="J218" s="45"/>
      <c r="K218" s="45">
        <v>14145000</v>
      </c>
      <c r="L218" s="45"/>
      <c r="M218" s="45">
        <v>1862000</v>
      </c>
      <c r="N218" s="45"/>
      <c r="O218" s="45">
        <v>2333000</v>
      </c>
      <c r="P218" s="45"/>
      <c r="Q218" s="45">
        <v>71000</v>
      </c>
      <c r="R218" s="45"/>
      <c r="S218" s="45">
        <v>19741000</v>
      </c>
      <c r="T218" s="45"/>
      <c r="U218" s="45">
        <v>0</v>
      </c>
      <c r="V218" s="45"/>
      <c r="W218" s="45">
        <v>1547000</v>
      </c>
      <c r="X218" s="45"/>
      <c r="Y218" s="45">
        <v>880000</v>
      </c>
      <c r="Z218" s="44"/>
      <c r="AA218" s="45">
        <v>0</v>
      </c>
      <c r="AB218" s="44"/>
      <c r="AC218" s="45">
        <f t="shared" si="6"/>
        <v>208099000</v>
      </c>
      <c r="AD218" s="45"/>
      <c r="AE218" s="48">
        <v>0</v>
      </c>
      <c r="AF218" s="48"/>
      <c r="AG218" s="45">
        <v>32269000</v>
      </c>
      <c r="AH218" s="45"/>
      <c r="AI218" s="45">
        <v>4391000</v>
      </c>
      <c r="AJ218" s="45"/>
      <c r="AK218" s="45">
        <v>-187000</v>
      </c>
      <c r="AL218" s="45"/>
      <c r="AM218" s="45">
        <f>+'Gen rev'!U218-'Gen exp'!AC218-AG218+'Gen rev'!W218+AI218+AK218-'Gen Bal'!S219-'Gen exp'!AE218</f>
        <v>0</v>
      </c>
      <c r="AN218" s="44">
        <f>+'Gen rev'!U218</f>
        <v>213999000</v>
      </c>
      <c r="AO218" s="44">
        <f>+AN218-AC218</f>
        <v>5900000</v>
      </c>
      <c r="AP218" s="44"/>
      <c r="AQ218" s="44"/>
    </row>
    <row r="219" spans="1:45" s="49" customFormat="1" ht="12.75" customHeight="1">
      <c r="A219" s="28" t="s">
        <v>248</v>
      </c>
      <c r="C219" s="28" t="s">
        <v>249</v>
      </c>
      <c r="E219" s="45">
        <v>467051</v>
      </c>
      <c r="F219" s="45"/>
      <c r="G219" s="45">
        <v>1448847</v>
      </c>
      <c r="H219" s="45"/>
      <c r="I219" s="45">
        <v>0</v>
      </c>
      <c r="J219" s="45"/>
      <c r="K219" s="45">
        <v>17498</v>
      </c>
      <c r="L219" s="45"/>
      <c r="M219" s="45">
        <v>55822</v>
      </c>
      <c r="N219" s="45"/>
      <c r="O219" s="45">
        <v>6000</v>
      </c>
      <c r="P219" s="45"/>
      <c r="Q219" s="45">
        <v>0</v>
      </c>
      <c r="R219" s="45"/>
      <c r="S219" s="45">
        <v>45467</v>
      </c>
      <c r="T219" s="45"/>
      <c r="U219" s="45">
        <v>0</v>
      </c>
      <c r="V219" s="45"/>
      <c r="W219" s="45">
        <v>31328</v>
      </c>
      <c r="X219" s="45"/>
      <c r="Y219" s="45">
        <v>39978</v>
      </c>
      <c r="Z219" s="44"/>
      <c r="AA219" s="45">
        <v>0</v>
      </c>
      <c r="AB219" s="44"/>
      <c r="AC219" s="45">
        <f t="shared" si="6"/>
        <v>2111991</v>
      </c>
      <c r="AD219" s="45"/>
      <c r="AE219" s="48">
        <v>0</v>
      </c>
      <c r="AF219" s="48"/>
      <c r="AG219" s="45">
        <v>1335658</v>
      </c>
      <c r="AH219" s="45"/>
      <c r="AI219" s="45">
        <v>1460851</v>
      </c>
      <c r="AJ219" s="45"/>
      <c r="AK219" s="45">
        <v>0</v>
      </c>
      <c r="AL219" s="45"/>
      <c r="AM219" s="45">
        <f>+'Gen rev'!U219-'Gen exp'!AC219-AG219+'Gen rev'!W219+AI219+AK219-'Gen Bal'!S220-'Gen exp'!AE219</f>
        <v>0</v>
      </c>
      <c r="AN219" s="44">
        <f>+'Gen rev'!W218</f>
        <v>14145000</v>
      </c>
      <c r="AO219" s="44">
        <f>+AN219-AG218</f>
        <v>-18124000</v>
      </c>
      <c r="AP219" s="44"/>
      <c r="AQ219" s="44"/>
    </row>
    <row r="220" spans="1:45" s="49" customFormat="1" ht="12.75" customHeight="1">
      <c r="A220" s="28" t="s">
        <v>250</v>
      </c>
      <c r="C220" s="28" t="s">
        <v>103</v>
      </c>
      <c r="E220" s="45">
        <v>338188</v>
      </c>
      <c r="F220" s="45"/>
      <c r="G220" s="45">
        <v>2137003</v>
      </c>
      <c r="H220" s="45"/>
      <c r="I220" s="45">
        <v>158125</v>
      </c>
      <c r="J220" s="45"/>
      <c r="K220" s="45">
        <v>64535</v>
      </c>
      <c r="L220" s="45"/>
      <c r="M220" s="45">
        <v>0</v>
      </c>
      <c r="N220" s="45"/>
      <c r="O220" s="45">
        <v>0</v>
      </c>
      <c r="P220" s="45"/>
      <c r="Q220" s="45">
        <v>62082</v>
      </c>
      <c r="R220" s="45"/>
      <c r="S220" s="45">
        <v>0</v>
      </c>
      <c r="T220" s="45"/>
      <c r="U220" s="45">
        <v>0</v>
      </c>
      <c r="V220" s="45"/>
      <c r="W220" s="45">
        <v>0</v>
      </c>
      <c r="X220" s="45"/>
      <c r="Y220" s="45">
        <v>0</v>
      </c>
      <c r="Z220" s="44"/>
      <c r="AA220" s="45">
        <v>0</v>
      </c>
      <c r="AB220" s="44"/>
      <c r="AC220" s="45">
        <f t="shared" si="6"/>
        <v>2759933</v>
      </c>
      <c r="AD220" s="45"/>
      <c r="AE220" s="48">
        <v>0</v>
      </c>
      <c r="AF220" s="48"/>
      <c r="AG220" s="45">
        <v>508700</v>
      </c>
      <c r="AH220" s="45"/>
      <c r="AI220" s="45">
        <v>2261644</v>
      </c>
      <c r="AJ220" s="45"/>
      <c r="AK220" s="45">
        <v>0</v>
      </c>
      <c r="AL220" s="45"/>
      <c r="AM220" s="45">
        <f>+'Gen rev'!U220-'Gen exp'!AC220-AG220+'Gen rev'!W220+AI220+AK220-'Gen Bal'!S221-'Gen exp'!AE220</f>
        <v>0</v>
      </c>
      <c r="AN220" s="48"/>
      <c r="AO220" s="48"/>
      <c r="AP220" s="48"/>
      <c r="AQ220" s="48"/>
      <c r="AR220" s="52"/>
      <c r="AS220" s="50"/>
    </row>
    <row r="221" spans="1:45" s="49" customFormat="1" ht="12.75" customHeight="1">
      <c r="A221" s="28" t="s">
        <v>251</v>
      </c>
      <c r="C221" s="28" t="s">
        <v>66</v>
      </c>
      <c r="E221" s="45">
        <v>2768203</v>
      </c>
      <c r="F221" s="45"/>
      <c r="G221" s="45">
        <v>5408668</v>
      </c>
      <c r="H221" s="45"/>
      <c r="I221" s="45">
        <v>491912</v>
      </c>
      <c r="J221" s="45"/>
      <c r="K221" s="45">
        <v>0</v>
      </c>
      <c r="L221" s="45"/>
      <c r="M221" s="45">
        <v>334691</v>
      </c>
      <c r="N221" s="45"/>
      <c r="O221" s="45">
        <v>396378</v>
      </c>
      <c r="P221" s="45"/>
      <c r="Q221" s="45">
        <v>0</v>
      </c>
      <c r="R221" s="45"/>
      <c r="S221" s="45">
        <v>166536</v>
      </c>
      <c r="T221" s="45"/>
      <c r="U221" s="45">
        <v>0</v>
      </c>
      <c r="V221" s="45"/>
      <c r="W221" s="45">
        <v>168199</v>
      </c>
      <c r="X221" s="45"/>
      <c r="Y221" s="45">
        <v>253591</v>
      </c>
      <c r="Z221" s="44"/>
      <c r="AA221" s="45">
        <v>0</v>
      </c>
      <c r="AB221" s="44"/>
      <c r="AC221" s="45">
        <f t="shared" si="6"/>
        <v>9988178</v>
      </c>
      <c r="AD221" s="45"/>
      <c r="AE221" s="48">
        <v>0</v>
      </c>
      <c r="AF221" s="48"/>
      <c r="AG221" s="45">
        <v>366750</v>
      </c>
      <c r="AH221" s="45"/>
      <c r="AI221" s="45">
        <v>2051072</v>
      </c>
      <c r="AJ221" s="45"/>
      <c r="AK221" s="45">
        <v>0</v>
      </c>
      <c r="AL221" s="45"/>
      <c r="AM221" s="45">
        <f>+'Gen rev'!U221-'Gen exp'!AC221-AG221+'Gen rev'!W221+AI221+AK221-'Gen Bal'!S222-'Gen exp'!AE221</f>
        <v>0</v>
      </c>
      <c r="AN221" s="45"/>
      <c r="AO221" s="45"/>
      <c r="AP221" s="45"/>
      <c r="AQ221" s="45"/>
      <c r="AR221" s="52"/>
      <c r="AS221" s="50"/>
    </row>
    <row r="222" spans="1:45" s="49" customFormat="1" ht="12.75" customHeight="1">
      <c r="A222" s="64" t="s">
        <v>252</v>
      </c>
      <c r="B222" s="46"/>
      <c r="C222" s="64" t="s">
        <v>209</v>
      </c>
      <c r="D222" s="46"/>
      <c r="E222" s="45">
        <v>4098466</v>
      </c>
      <c r="F222" s="45"/>
      <c r="G222" s="45">
        <v>9113511</v>
      </c>
      <c r="H222" s="45"/>
      <c r="I222" s="45">
        <v>592800</v>
      </c>
      <c r="J222" s="45"/>
      <c r="K222" s="45">
        <v>0</v>
      </c>
      <c r="L222" s="45"/>
      <c r="M222" s="45">
        <v>0</v>
      </c>
      <c r="N222" s="45"/>
      <c r="O222" s="45">
        <v>1290500</v>
      </c>
      <c r="P222" s="45"/>
      <c r="Q222" s="45">
        <v>1211206</v>
      </c>
      <c r="R222" s="45"/>
      <c r="S222" s="45">
        <v>0</v>
      </c>
      <c r="T222" s="45"/>
      <c r="U222" s="45">
        <v>0</v>
      </c>
      <c r="V222" s="45"/>
      <c r="W222" s="45">
        <v>0</v>
      </c>
      <c r="X222" s="45"/>
      <c r="Y222" s="45">
        <v>0</v>
      </c>
      <c r="Z222" s="44"/>
      <c r="AA222" s="45">
        <v>0</v>
      </c>
      <c r="AB222" s="44"/>
      <c r="AC222" s="45">
        <f t="shared" si="6"/>
        <v>16306483</v>
      </c>
      <c r="AD222" s="45"/>
      <c r="AE222" s="48">
        <v>0</v>
      </c>
      <c r="AF222" s="48"/>
      <c r="AG222" s="45">
        <v>2338120</v>
      </c>
      <c r="AH222" s="45"/>
      <c r="AI222" s="45">
        <v>40648579</v>
      </c>
      <c r="AJ222" s="45"/>
      <c r="AK222" s="45">
        <v>0</v>
      </c>
      <c r="AL222" s="45"/>
      <c r="AM222" s="45">
        <f>+'Gen rev'!U222-'Gen exp'!AC222-AG222+'Gen rev'!W222+AI222+AK222-'Gen Bal'!S223-'Gen exp'!AE222</f>
        <v>0</v>
      </c>
      <c r="AN222" s="45"/>
      <c r="AO222" s="45"/>
      <c r="AP222" s="45"/>
      <c r="AQ222" s="45"/>
      <c r="AR222" s="52"/>
      <c r="AS222" s="50"/>
    </row>
    <row r="223" spans="1:45" s="49" customFormat="1" ht="12.75" customHeight="1">
      <c r="A223" s="28" t="s">
        <v>253</v>
      </c>
      <c r="C223" s="28" t="s">
        <v>13</v>
      </c>
      <c r="E223" s="45">
        <v>5216211</v>
      </c>
      <c r="F223" s="45"/>
      <c r="G223" s="45">
        <v>6125683</v>
      </c>
      <c r="H223" s="45"/>
      <c r="I223" s="45">
        <v>1085479</v>
      </c>
      <c r="J223" s="45"/>
      <c r="K223" s="45">
        <v>0</v>
      </c>
      <c r="L223" s="45"/>
      <c r="M223" s="45">
        <v>3556089</v>
      </c>
      <c r="N223" s="45"/>
      <c r="O223" s="45">
        <v>2086631</v>
      </c>
      <c r="P223" s="45"/>
      <c r="Q223" s="45">
        <v>126232</v>
      </c>
      <c r="R223" s="45"/>
      <c r="S223" s="45">
        <v>0</v>
      </c>
      <c r="T223" s="45"/>
      <c r="U223" s="45">
        <v>0</v>
      </c>
      <c r="V223" s="45"/>
      <c r="W223" s="45">
        <v>0</v>
      </c>
      <c r="X223" s="45"/>
      <c r="Y223" s="45">
        <v>0</v>
      </c>
      <c r="Z223" s="44"/>
      <c r="AA223" s="45">
        <v>0</v>
      </c>
      <c r="AB223" s="44"/>
      <c r="AC223" s="45">
        <f t="shared" si="6"/>
        <v>18196325</v>
      </c>
      <c r="AD223" s="45"/>
      <c r="AE223" s="48">
        <v>0</v>
      </c>
      <c r="AF223" s="48"/>
      <c r="AG223" s="45">
        <v>817075</v>
      </c>
      <c r="AH223" s="45"/>
      <c r="AI223" s="45">
        <v>7256611</v>
      </c>
      <c r="AJ223" s="45"/>
      <c r="AK223" s="45">
        <v>0</v>
      </c>
      <c r="AL223" s="45"/>
      <c r="AM223" s="45">
        <f>+'Gen rev'!U223-'Gen exp'!AC223-AG223+'Gen rev'!W223+AI223+AK223-'Gen Bal'!S224-'Gen exp'!AE223</f>
        <v>0</v>
      </c>
      <c r="AN223" s="45"/>
      <c r="AO223" s="45"/>
      <c r="AP223" s="45"/>
      <c r="AQ223" s="45"/>
      <c r="AR223" s="52"/>
      <c r="AS223" s="50"/>
    </row>
    <row r="224" spans="1:45" s="49" customFormat="1" ht="12.75" customHeight="1">
      <c r="A224" s="28" t="s">
        <v>254</v>
      </c>
      <c r="C224" s="28" t="s">
        <v>89</v>
      </c>
      <c r="E224" s="45">
        <v>640983</v>
      </c>
      <c r="F224" s="45"/>
      <c r="G224" s="45">
        <v>1143925</v>
      </c>
      <c r="H224" s="45"/>
      <c r="I224" s="45">
        <v>0</v>
      </c>
      <c r="J224" s="45"/>
      <c r="K224" s="45">
        <v>1655</v>
      </c>
      <c r="L224" s="45"/>
      <c r="M224" s="45">
        <v>0</v>
      </c>
      <c r="N224" s="45"/>
      <c r="O224" s="45">
        <v>0</v>
      </c>
      <c r="P224" s="45"/>
      <c r="Q224" s="45">
        <v>0</v>
      </c>
      <c r="R224" s="45"/>
      <c r="S224" s="45">
        <v>0</v>
      </c>
      <c r="T224" s="45"/>
      <c r="U224" s="45">
        <v>0</v>
      </c>
      <c r="V224" s="45"/>
      <c r="W224" s="45">
        <v>0</v>
      </c>
      <c r="X224" s="45"/>
      <c r="Y224" s="45">
        <v>0</v>
      </c>
      <c r="Z224" s="44"/>
      <c r="AA224" s="45">
        <v>0</v>
      </c>
      <c r="AB224" s="44"/>
      <c r="AC224" s="45">
        <f t="shared" si="6"/>
        <v>1786563</v>
      </c>
      <c r="AD224" s="45"/>
      <c r="AE224" s="48">
        <v>0</v>
      </c>
      <c r="AF224" s="48"/>
      <c r="AG224" s="45">
        <v>83000</v>
      </c>
      <c r="AH224" s="45"/>
      <c r="AI224" s="45">
        <v>1249042</v>
      </c>
      <c r="AJ224" s="45"/>
      <c r="AK224" s="45">
        <v>0</v>
      </c>
      <c r="AL224" s="45"/>
      <c r="AM224" s="45">
        <f>+'Gen rev'!U224-'Gen exp'!AC224-AG224+'Gen rev'!W224+AI224+AK224-'Gen Bal'!S225-'Gen exp'!AE224</f>
        <v>0</v>
      </c>
      <c r="AN224" s="45"/>
      <c r="AO224" s="45"/>
      <c r="AP224" s="45"/>
      <c r="AQ224" s="45"/>
      <c r="AR224" s="52"/>
      <c r="AS224" s="50"/>
    </row>
    <row r="225" spans="1:45" s="49" customFormat="1" ht="12.75" customHeight="1">
      <c r="A225" s="28" t="s">
        <v>159</v>
      </c>
      <c r="C225" s="28" t="s">
        <v>66</v>
      </c>
      <c r="E225" s="45">
        <v>641334</v>
      </c>
      <c r="F225" s="45"/>
      <c r="G225" s="45">
        <v>0</v>
      </c>
      <c r="H225" s="45"/>
      <c r="I225" s="45">
        <v>0</v>
      </c>
      <c r="J225" s="45"/>
      <c r="K225" s="45">
        <v>0</v>
      </c>
      <c r="L225" s="45"/>
      <c r="M225" s="45">
        <v>0</v>
      </c>
      <c r="N225" s="45"/>
      <c r="O225" s="45">
        <v>0</v>
      </c>
      <c r="P225" s="45"/>
      <c r="Q225" s="45">
        <v>0</v>
      </c>
      <c r="R225" s="45"/>
      <c r="S225" s="45">
        <v>452394</v>
      </c>
      <c r="T225" s="45"/>
      <c r="U225" s="45">
        <v>0</v>
      </c>
      <c r="V225" s="45"/>
      <c r="W225" s="45">
        <v>16750</v>
      </c>
      <c r="X225" s="45"/>
      <c r="Y225" s="45">
        <v>4214</v>
      </c>
      <c r="Z225" s="44"/>
      <c r="AA225" s="45">
        <v>0</v>
      </c>
      <c r="AB225" s="44"/>
      <c r="AC225" s="45">
        <f t="shared" si="6"/>
        <v>1114692</v>
      </c>
      <c r="AD225" s="45"/>
      <c r="AE225" s="48">
        <v>0</v>
      </c>
      <c r="AF225" s="48"/>
      <c r="AG225" s="45">
        <v>98000</v>
      </c>
      <c r="AH225" s="45"/>
      <c r="AI225" s="45">
        <v>634681</v>
      </c>
      <c r="AJ225" s="45"/>
      <c r="AK225" s="45">
        <v>0</v>
      </c>
      <c r="AL225" s="45"/>
      <c r="AM225" s="45">
        <f>+'Gen rev'!U225-'Gen exp'!AC225-AG225+'Gen rev'!W225+AI225+AK225-'Gen Bal'!S226-'Gen exp'!AE225</f>
        <v>0</v>
      </c>
      <c r="AN225" s="45"/>
      <c r="AO225" s="45"/>
      <c r="AP225" s="45"/>
      <c r="AQ225" s="45"/>
      <c r="AR225" s="52"/>
      <c r="AS225" s="50"/>
    </row>
    <row r="226" spans="1:45" s="49" customFormat="1" ht="12.75" customHeight="1">
      <c r="A226" s="28" t="s">
        <v>255</v>
      </c>
      <c r="C226" s="28" t="s">
        <v>27</v>
      </c>
      <c r="E226" s="45">
        <v>1552030</v>
      </c>
      <c r="F226" s="45"/>
      <c r="G226" s="45">
        <v>6733832</v>
      </c>
      <c r="H226" s="45"/>
      <c r="I226" s="45">
        <v>777343</v>
      </c>
      <c r="J226" s="45"/>
      <c r="K226" s="45">
        <v>52340</v>
      </c>
      <c r="L226" s="45"/>
      <c r="M226" s="45">
        <v>461242</v>
      </c>
      <c r="N226" s="45"/>
      <c r="O226" s="45">
        <v>372523</v>
      </c>
      <c r="P226" s="45"/>
      <c r="Q226" s="45">
        <v>993045</v>
      </c>
      <c r="R226" s="45"/>
      <c r="S226" s="45">
        <v>50306</v>
      </c>
      <c r="T226" s="45"/>
      <c r="U226" s="45">
        <v>0</v>
      </c>
      <c r="V226" s="45"/>
      <c r="W226" s="45">
        <v>45124</v>
      </c>
      <c r="X226" s="45"/>
      <c r="Y226" s="45">
        <v>8922</v>
      </c>
      <c r="Z226" s="44"/>
      <c r="AA226" s="45">
        <v>0</v>
      </c>
      <c r="AB226" s="44"/>
      <c r="AC226" s="45">
        <f t="shared" si="6"/>
        <v>11046707</v>
      </c>
      <c r="AD226" s="45"/>
      <c r="AE226" s="48">
        <v>0</v>
      </c>
      <c r="AF226" s="48"/>
      <c r="AG226" s="45">
        <v>1751917</v>
      </c>
      <c r="AH226" s="45"/>
      <c r="AI226" s="45">
        <v>638458</v>
      </c>
      <c r="AJ226" s="45"/>
      <c r="AK226" s="45">
        <v>0</v>
      </c>
      <c r="AL226" s="45"/>
      <c r="AM226" s="45">
        <f>+'Gen rev'!U226-'Gen exp'!AC226-AG226+'Gen rev'!W226+AI226+AK226-'Gen Bal'!S227-'Gen exp'!AE226</f>
        <v>0</v>
      </c>
      <c r="AN226" s="35"/>
      <c r="AO226" s="35"/>
      <c r="AP226" s="35"/>
      <c r="AQ226" s="35"/>
      <c r="AR226" s="50"/>
      <c r="AS226" s="50"/>
    </row>
    <row r="227" spans="1:45" s="44" customFormat="1" ht="12.75" customHeight="1">
      <c r="A227" s="35" t="s">
        <v>256</v>
      </c>
      <c r="C227" s="35" t="s">
        <v>43</v>
      </c>
      <c r="E227" s="45">
        <v>7676611</v>
      </c>
      <c r="F227" s="45"/>
      <c r="G227" s="45">
        <v>16122842</v>
      </c>
      <c r="H227" s="45"/>
      <c r="I227" s="45">
        <v>975685</v>
      </c>
      <c r="J227" s="45"/>
      <c r="K227" s="45">
        <v>0</v>
      </c>
      <c r="L227" s="45"/>
      <c r="M227" s="45">
        <v>1092736</v>
      </c>
      <c r="N227" s="45"/>
      <c r="O227" s="45">
        <v>2902302</v>
      </c>
      <c r="P227" s="45"/>
      <c r="Q227" s="45">
        <v>0</v>
      </c>
      <c r="R227" s="45"/>
      <c r="S227" s="45">
        <v>1618830</v>
      </c>
      <c r="T227" s="45"/>
      <c r="U227" s="45">
        <v>0</v>
      </c>
      <c r="V227" s="45"/>
      <c r="W227" s="45">
        <v>104846</v>
      </c>
      <c r="X227" s="45"/>
      <c r="Y227" s="45">
        <v>2348</v>
      </c>
      <c r="AA227" s="45">
        <v>0</v>
      </c>
      <c r="AC227" s="45">
        <f t="shared" si="6"/>
        <v>30496200</v>
      </c>
      <c r="AD227" s="45"/>
      <c r="AE227" s="48">
        <v>0</v>
      </c>
      <c r="AF227" s="48"/>
      <c r="AG227" s="45">
        <v>5800538</v>
      </c>
      <c r="AH227" s="45"/>
      <c r="AI227" s="45">
        <v>29973349</v>
      </c>
      <c r="AJ227" s="45"/>
      <c r="AK227" s="45">
        <v>0</v>
      </c>
      <c r="AL227" s="45"/>
      <c r="AM227" s="45">
        <f>+'Gen rev'!U227-'Gen exp'!AC227-AG227+'Gen rev'!W227+AI227+AK227-'Gen Bal'!S228-'Gen exp'!AE227</f>
        <v>0</v>
      </c>
    </row>
    <row r="228" spans="1:45" s="49" customFormat="1" ht="12.75" customHeight="1">
      <c r="A228" s="28" t="s">
        <v>257</v>
      </c>
      <c r="C228" s="28" t="s">
        <v>258</v>
      </c>
      <c r="E228" s="45">
        <f>494481+588506</f>
        <v>1082987</v>
      </c>
      <c r="F228" s="45"/>
      <c r="G228" s="45">
        <v>1688178</v>
      </c>
      <c r="H228" s="45"/>
      <c r="I228" s="45">
        <v>59676</v>
      </c>
      <c r="J228" s="45"/>
      <c r="K228" s="45">
        <v>41819</v>
      </c>
      <c r="L228" s="45"/>
      <c r="M228" s="45">
        <v>0</v>
      </c>
      <c r="N228" s="45"/>
      <c r="O228" s="45">
        <v>0</v>
      </c>
      <c r="P228" s="45"/>
      <c r="Q228" s="45">
        <v>0</v>
      </c>
      <c r="R228" s="45"/>
      <c r="S228" s="45">
        <v>0</v>
      </c>
      <c r="T228" s="45"/>
      <c r="U228" s="45">
        <v>0</v>
      </c>
      <c r="V228" s="45"/>
      <c r="W228" s="45">
        <v>25785</v>
      </c>
      <c r="X228" s="45"/>
      <c r="Y228" s="45">
        <v>2189</v>
      </c>
      <c r="Z228" s="44"/>
      <c r="AA228" s="45">
        <v>0</v>
      </c>
      <c r="AB228" s="44"/>
      <c r="AC228" s="45">
        <f t="shared" si="6"/>
        <v>2900634</v>
      </c>
      <c r="AD228" s="45"/>
      <c r="AE228" s="48">
        <v>0</v>
      </c>
      <c r="AF228" s="48"/>
      <c r="AG228" s="45">
        <v>832410</v>
      </c>
      <c r="AH228" s="45"/>
      <c r="AI228" s="45">
        <v>195389</v>
      </c>
      <c r="AJ228" s="45"/>
      <c r="AK228" s="45">
        <v>-46</v>
      </c>
      <c r="AL228" s="45"/>
      <c r="AM228" s="45">
        <f>+'Gen rev'!U228-'Gen exp'!AC228-AG228+'Gen rev'!W228+AI228+AK228-'Gen Bal'!S229-'Gen exp'!AE228</f>
        <v>0</v>
      </c>
      <c r="AN228" s="44"/>
      <c r="AO228" s="44"/>
      <c r="AP228" s="44"/>
      <c r="AQ228" s="44"/>
    </row>
    <row r="229" spans="1:45" s="49" customFormat="1" ht="12.75" customHeight="1">
      <c r="A229" s="28" t="s">
        <v>259</v>
      </c>
      <c r="C229" s="28" t="s">
        <v>260</v>
      </c>
      <c r="E229" s="45">
        <v>1590354</v>
      </c>
      <c r="F229" s="45"/>
      <c r="G229" s="45">
        <v>3581208</v>
      </c>
      <c r="H229" s="45"/>
      <c r="I229" s="45">
        <v>0</v>
      </c>
      <c r="J229" s="45"/>
      <c r="K229" s="45">
        <v>48952</v>
      </c>
      <c r="L229" s="45"/>
      <c r="M229" s="45">
        <v>0</v>
      </c>
      <c r="N229" s="45"/>
      <c r="O229" s="45">
        <v>346525</v>
      </c>
      <c r="P229" s="45"/>
      <c r="Q229" s="45">
        <v>0</v>
      </c>
      <c r="R229" s="45"/>
      <c r="S229" s="45">
        <v>0</v>
      </c>
      <c r="T229" s="45"/>
      <c r="U229" s="45">
        <v>0</v>
      </c>
      <c r="V229" s="45"/>
      <c r="W229" s="45">
        <v>0</v>
      </c>
      <c r="X229" s="45"/>
      <c r="Y229" s="45">
        <v>0</v>
      </c>
      <c r="Z229" s="44"/>
      <c r="AA229" s="45">
        <v>0</v>
      </c>
      <c r="AB229" s="44"/>
      <c r="AC229" s="45">
        <f t="shared" si="6"/>
        <v>5567039</v>
      </c>
      <c r="AD229" s="45"/>
      <c r="AE229" s="48">
        <v>0</v>
      </c>
      <c r="AF229" s="48"/>
      <c r="AG229" s="45">
        <v>293870</v>
      </c>
      <c r="AH229" s="45"/>
      <c r="AI229" s="45">
        <v>1045842</v>
      </c>
      <c r="AJ229" s="45"/>
      <c r="AK229" s="45">
        <v>0</v>
      </c>
      <c r="AL229" s="45"/>
      <c r="AM229" s="45">
        <f>+'Gen rev'!U229-'Gen exp'!AC229-AG229+'Gen rev'!W229+AI229+AK229-'Gen Bal'!S230-'Gen exp'!AE229</f>
        <v>0</v>
      </c>
      <c r="AN229" s="44"/>
      <c r="AO229" s="44"/>
      <c r="AP229" s="44"/>
      <c r="AQ229" s="44"/>
    </row>
    <row r="230" spans="1:45" s="49" customFormat="1" ht="12.75" customHeight="1">
      <c r="A230" s="28" t="s">
        <v>261</v>
      </c>
      <c r="C230" s="28" t="s">
        <v>66</v>
      </c>
      <c r="E230" s="45">
        <f>4908666+2023620</f>
        <v>6932286</v>
      </c>
      <c r="F230" s="45"/>
      <c r="G230" s="45">
        <f>4090396+1663613</f>
        <v>5754009</v>
      </c>
      <c r="H230" s="45"/>
      <c r="I230" s="45">
        <v>0</v>
      </c>
      <c r="J230" s="45"/>
      <c r="K230" s="45">
        <v>866058</v>
      </c>
      <c r="L230" s="45"/>
      <c r="M230" s="45">
        <f>863496+613625</f>
        <v>1477121</v>
      </c>
      <c r="N230" s="45"/>
      <c r="O230" s="45">
        <v>3214614</v>
      </c>
      <c r="P230" s="45"/>
      <c r="Q230" s="45">
        <v>0</v>
      </c>
      <c r="R230" s="45"/>
      <c r="S230" s="45">
        <v>77858</v>
      </c>
      <c r="T230" s="45"/>
      <c r="U230" s="45">
        <v>0</v>
      </c>
      <c r="V230" s="45"/>
      <c r="W230" s="45">
        <v>0</v>
      </c>
      <c r="X230" s="45"/>
      <c r="Y230" s="45">
        <v>0</v>
      </c>
      <c r="Z230" s="44"/>
      <c r="AA230" s="45">
        <v>0</v>
      </c>
      <c r="AB230" s="44"/>
      <c r="AC230" s="45">
        <f t="shared" si="6"/>
        <v>18321946</v>
      </c>
      <c r="AD230" s="45"/>
      <c r="AE230" s="48">
        <v>0</v>
      </c>
      <c r="AF230" s="48"/>
      <c r="AG230" s="45">
        <v>6841691</v>
      </c>
      <c r="AH230" s="45"/>
      <c r="AI230" s="45">
        <v>20981929</v>
      </c>
      <c r="AJ230" s="45"/>
      <c r="AK230" s="45">
        <v>0</v>
      </c>
      <c r="AL230" s="45"/>
      <c r="AM230" s="45">
        <f>+'Gen rev'!U230-'Gen exp'!AC230-AG230+'Gen rev'!W230+AI230+AK230-'Gen Bal'!S231-'Gen exp'!AE230</f>
        <v>0</v>
      </c>
      <c r="AN230" s="44"/>
      <c r="AO230" s="44"/>
      <c r="AP230" s="44"/>
      <c r="AQ230" s="44"/>
    </row>
    <row r="231" spans="1:45" s="49" customFormat="1" ht="12.75" customHeight="1">
      <c r="A231" s="28" t="s">
        <v>262</v>
      </c>
      <c r="C231" s="28" t="s">
        <v>132</v>
      </c>
      <c r="E231" s="45">
        <v>2191957</v>
      </c>
      <c r="F231" s="45"/>
      <c r="G231" s="45">
        <v>1909330</v>
      </c>
      <c r="H231" s="45"/>
      <c r="I231" s="45">
        <v>203277</v>
      </c>
      <c r="J231" s="45"/>
      <c r="K231" s="45">
        <v>0</v>
      </c>
      <c r="L231" s="45"/>
      <c r="M231" s="45">
        <v>0</v>
      </c>
      <c r="N231" s="45"/>
      <c r="O231" s="45">
        <v>125635</v>
      </c>
      <c r="P231" s="45"/>
      <c r="Q231" s="45">
        <v>94899</v>
      </c>
      <c r="R231" s="45"/>
      <c r="S231" s="45">
        <v>48332</v>
      </c>
      <c r="T231" s="45"/>
      <c r="U231" s="45">
        <v>0</v>
      </c>
      <c r="V231" s="45"/>
      <c r="W231" s="45">
        <v>35259</v>
      </c>
      <c r="X231" s="45"/>
      <c r="Y231" s="45">
        <v>4334</v>
      </c>
      <c r="Z231" s="44"/>
      <c r="AA231" s="45">
        <v>0</v>
      </c>
      <c r="AB231" s="44"/>
      <c r="AC231" s="45">
        <f t="shared" si="6"/>
        <v>4613023</v>
      </c>
      <c r="AD231" s="45"/>
      <c r="AE231" s="48">
        <v>0</v>
      </c>
      <c r="AF231" s="48"/>
      <c r="AG231" s="45">
        <v>1580700</v>
      </c>
      <c r="AH231" s="45"/>
      <c r="AI231" s="45">
        <v>1653585</v>
      </c>
      <c r="AJ231" s="45"/>
      <c r="AK231" s="45">
        <v>0</v>
      </c>
      <c r="AL231" s="45"/>
      <c r="AM231" s="45">
        <f>+'Gen rev'!U231-'Gen exp'!AC231-AG231+'Gen rev'!W231+AI231+AK231-'Gen Bal'!S232-'Gen exp'!AE231</f>
        <v>0</v>
      </c>
      <c r="AN231" s="44"/>
      <c r="AO231" s="44"/>
      <c r="AP231" s="44"/>
      <c r="AQ231" s="44"/>
    </row>
    <row r="232" spans="1:45" s="49" customFormat="1" ht="12.75" customHeight="1">
      <c r="A232" s="28" t="s">
        <v>263</v>
      </c>
      <c r="C232" s="28" t="s">
        <v>53</v>
      </c>
      <c r="E232" s="45">
        <v>3260307</v>
      </c>
      <c r="F232" s="45"/>
      <c r="G232" s="45">
        <v>3793142</v>
      </c>
      <c r="H232" s="45"/>
      <c r="I232" s="45">
        <v>290700</v>
      </c>
      <c r="J232" s="45"/>
      <c r="K232" s="45">
        <v>81567</v>
      </c>
      <c r="L232" s="45"/>
      <c r="M232" s="45">
        <v>0</v>
      </c>
      <c r="N232" s="45"/>
      <c r="O232" s="45">
        <v>693472</v>
      </c>
      <c r="P232" s="45"/>
      <c r="Q232" s="45">
        <v>0</v>
      </c>
      <c r="R232" s="45"/>
      <c r="S232" s="45">
        <v>66364</v>
      </c>
      <c r="T232" s="45"/>
      <c r="U232" s="45">
        <v>0</v>
      </c>
      <c r="V232" s="45"/>
      <c r="W232" s="45">
        <v>2072</v>
      </c>
      <c r="X232" s="45"/>
      <c r="Y232" s="45">
        <v>4166</v>
      </c>
      <c r="Z232" s="44"/>
      <c r="AA232" s="45">
        <v>0</v>
      </c>
      <c r="AB232" s="44"/>
      <c r="AC232" s="45">
        <f t="shared" si="6"/>
        <v>8191790</v>
      </c>
      <c r="AD232" s="45"/>
      <c r="AE232" s="48">
        <v>0</v>
      </c>
      <c r="AF232" s="48"/>
      <c r="AG232" s="45">
        <v>4800</v>
      </c>
      <c r="AH232" s="45"/>
      <c r="AI232" s="45">
        <v>2953472</v>
      </c>
      <c r="AJ232" s="45"/>
      <c r="AK232" s="45">
        <v>0</v>
      </c>
      <c r="AL232" s="45"/>
      <c r="AM232" s="45">
        <f>+'Gen rev'!U232-'Gen exp'!AC232-AG232+'Gen rev'!W232+AI232+AK232-'Gen Bal'!S233-'Gen exp'!AE232</f>
        <v>0</v>
      </c>
      <c r="AN232" s="45"/>
      <c r="AO232" s="45"/>
      <c r="AP232" s="45"/>
      <c r="AQ232" s="45"/>
      <c r="AR232" s="52"/>
      <c r="AS232" s="50"/>
    </row>
    <row r="233" spans="1:45" s="46" customFormat="1" ht="12.75" customHeight="1">
      <c r="A233" s="28" t="s">
        <v>264</v>
      </c>
      <c r="B233" s="49"/>
      <c r="C233" s="28" t="s">
        <v>239</v>
      </c>
      <c r="D233" s="49"/>
      <c r="E233" s="45">
        <v>679793</v>
      </c>
      <c r="F233" s="45"/>
      <c r="G233" s="45">
        <f>1487979+1642841+14842</f>
        <v>3145662</v>
      </c>
      <c r="H233" s="45"/>
      <c r="I233" s="45">
        <v>78287</v>
      </c>
      <c r="J233" s="45"/>
      <c r="K233" s="45">
        <v>171546</v>
      </c>
      <c r="L233" s="45"/>
      <c r="M233" s="45">
        <v>0</v>
      </c>
      <c r="N233" s="45"/>
      <c r="O233" s="45">
        <v>0</v>
      </c>
      <c r="P233" s="45"/>
      <c r="Q233" s="45">
        <v>0</v>
      </c>
      <c r="R233" s="45"/>
      <c r="S233" s="45">
        <v>0</v>
      </c>
      <c r="T233" s="45"/>
      <c r="U233" s="45">
        <v>0</v>
      </c>
      <c r="V233" s="45"/>
      <c r="W233" s="45">
        <v>20346</v>
      </c>
      <c r="X233" s="45"/>
      <c r="Y233" s="45">
        <v>25998</v>
      </c>
      <c r="Z233" s="44"/>
      <c r="AA233" s="45">
        <v>0</v>
      </c>
      <c r="AB233" s="44"/>
      <c r="AC233" s="45">
        <f t="shared" si="6"/>
        <v>4121632</v>
      </c>
      <c r="AD233" s="45"/>
      <c r="AE233" s="48">
        <v>0</v>
      </c>
      <c r="AF233" s="48"/>
      <c r="AG233" s="45">
        <v>1325000</v>
      </c>
      <c r="AH233" s="45"/>
      <c r="AI233" s="45">
        <v>3329496</v>
      </c>
      <c r="AJ233" s="45"/>
      <c r="AK233" s="45">
        <v>0</v>
      </c>
      <c r="AL233" s="45"/>
      <c r="AM233" s="45">
        <f>+'Gen rev'!U233-'Gen exp'!AC233-AG233+'Gen rev'!W233+AI233+AK233-'Gen Bal'!S234-'Gen exp'!AE233</f>
        <v>0</v>
      </c>
      <c r="AN233" s="94"/>
      <c r="AO233" s="94"/>
      <c r="AP233" s="94"/>
      <c r="AQ233" s="94"/>
      <c r="AR233" s="90"/>
      <c r="AS233" s="64"/>
    </row>
    <row r="234" spans="1:45" s="49" customFormat="1" ht="12.75" customHeight="1">
      <c r="A234" s="28" t="s">
        <v>111</v>
      </c>
      <c r="C234" s="28" t="s">
        <v>80</v>
      </c>
      <c r="E234" s="45">
        <v>7109856</v>
      </c>
      <c r="F234" s="45"/>
      <c r="G234" s="45">
        <v>14722965</v>
      </c>
      <c r="H234" s="45"/>
      <c r="I234" s="45">
        <v>1761935</v>
      </c>
      <c r="J234" s="45"/>
      <c r="K234" s="45">
        <v>585216</v>
      </c>
      <c r="L234" s="45"/>
      <c r="M234" s="45">
        <v>0</v>
      </c>
      <c r="N234" s="45"/>
      <c r="O234" s="45">
        <v>491804</v>
      </c>
      <c r="P234" s="45"/>
      <c r="Q234" s="45">
        <v>0</v>
      </c>
      <c r="R234" s="45"/>
      <c r="S234" s="45">
        <v>0</v>
      </c>
      <c r="T234" s="45"/>
      <c r="U234" s="45">
        <v>0</v>
      </c>
      <c r="V234" s="45"/>
      <c r="W234" s="45">
        <v>56416</v>
      </c>
      <c r="X234" s="45"/>
      <c r="Y234" s="45">
        <v>13338</v>
      </c>
      <c r="Z234" s="44"/>
      <c r="AA234" s="45">
        <v>0</v>
      </c>
      <c r="AB234" s="44"/>
      <c r="AC234" s="45">
        <f t="shared" si="6"/>
        <v>24741530</v>
      </c>
      <c r="AD234" s="45"/>
      <c r="AE234" s="48">
        <v>0</v>
      </c>
      <c r="AF234" s="48"/>
      <c r="AG234" s="45">
        <v>816500</v>
      </c>
      <c r="AH234" s="45"/>
      <c r="AI234" s="45">
        <v>4202225</v>
      </c>
      <c r="AJ234" s="45"/>
      <c r="AK234" s="45">
        <v>0</v>
      </c>
      <c r="AL234" s="45"/>
      <c r="AM234" s="45">
        <f>+'Gen rev'!U234-'Gen exp'!AC234-AG234+'Gen rev'!W234+AI234+AK234-'Gen Bal'!S235-'Gen exp'!AE234</f>
        <v>0</v>
      </c>
      <c r="AN234" s="45"/>
      <c r="AO234" s="45"/>
      <c r="AP234" s="45"/>
      <c r="AQ234" s="45"/>
      <c r="AR234" s="52"/>
      <c r="AS234" s="50"/>
    </row>
    <row r="235" spans="1:45" s="49" customFormat="1" ht="12.75" customHeight="1">
      <c r="A235" s="28" t="s">
        <v>265</v>
      </c>
      <c r="C235" s="28" t="s">
        <v>27</v>
      </c>
      <c r="E235" s="45">
        <v>2618813</v>
      </c>
      <c r="F235" s="45"/>
      <c r="G235" s="45">
        <f>4798053+3953190</f>
        <v>8751243</v>
      </c>
      <c r="H235" s="45"/>
      <c r="I235" s="45">
        <v>708679</v>
      </c>
      <c r="J235" s="45"/>
      <c r="K235" s="45">
        <v>55903</v>
      </c>
      <c r="L235" s="45"/>
      <c r="M235" s="45">
        <v>1507734</v>
      </c>
      <c r="N235" s="45"/>
      <c r="O235" s="45">
        <v>288646</v>
      </c>
      <c r="P235" s="45"/>
      <c r="Q235" s="45">
        <v>1310451</v>
      </c>
      <c r="R235" s="45"/>
      <c r="S235" s="45">
        <v>0</v>
      </c>
      <c r="T235" s="45"/>
      <c r="U235" s="45">
        <v>0</v>
      </c>
      <c r="V235" s="45"/>
      <c r="W235" s="45">
        <v>0</v>
      </c>
      <c r="X235" s="45"/>
      <c r="Y235" s="45">
        <v>9488</v>
      </c>
      <c r="Z235" s="44"/>
      <c r="AA235" s="45">
        <v>0</v>
      </c>
      <c r="AB235" s="44"/>
      <c r="AC235" s="45">
        <f t="shared" si="6"/>
        <v>15250957</v>
      </c>
      <c r="AD235" s="45"/>
      <c r="AE235" s="48">
        <v>0</v>
      </c>
      <c r="AF235" s="48"/>
      <c r="AG235" s="45">
        <v>0</v>
      </c>
      <c r="AH235" s="45"/>
      <c r="AI235" s="45">
        <v>653425</v>
      </c>
      <c r="AJ235" s="45"/>
      <c r="AK235" s="45">
        <v>0</v>
      </c>
      <c r="AL235" s="45"/>
      <c r="AM235" s="45">
        <f>+'Gen rev'!U235-'Gen exp'!AC235-AG235+'Gen rev'!W235+AI235+AK235-'Gen Bal'!S236-'Gen exp'!AE235</f>
        <v>0</v>
      </c>
      <c r="AN235" s="44"/>
      <c r="AO235" s="44"/>
      <c r="AP235" s="44"/>
      <c r="AQ235" s="44"/>
    </row>
    <row r="236" spans="1:45" s="49" customFormat="1" ht="12.75" customHeight="1">
      <c r="A236" s="28" t="s">
        <v>40</v>
      </c>
      <c r="C236" s="47" t="s">
        <v>451</v>
      </c>
      <c r="E236" s="45">
        <v>2388014</v>
      </c>
      <c r="F236" s="45"/>
      <c r="G236" s="45">
        <v>3553298</v>
      </c>
      <c r="H236" s="45"/>
      <c r="I236" s="45">
        <v>894899</v>
      </c>
      <c r="J236" s="45"/>
      <c r="K236" s="45">
        <v>33717</v>
      </c>
      <c r="L236" s="45"/>
      <c r="M236" s="45">
        <v>0</v>
      </c>
      <c r="N236" s="45"/>
      <c r="O236" s="45">
        <v>65096</v>
      </c>
      <c r="P236" s="45"/>
      <c r="Q236" s="45">
        <v>0</v>
      </c>
      <c r="R236" s="45"/>
      <c r="S236" s="45">
        <v>0</v>
      </c>
      <c r="T236" s="45"/>
      <c r="U236" s="45">
        <v>0</v>
      </c>
      <c r="V236" s="45"/>
      <c r="W236" s="45">
        <v>0</v>
      </c>
      <c r="X236" s="45"/>
      <c r="Y236" s="45">
        <v>0</v>
      </c>
      <c r="Z236" s="44"/>
      <c r="AA236" s="45">
        <v>0</v>
      </c>
      <c r="AB236" s="44"/>
      <c r="AC236" s="45">
        <f t="shared" si="6"/>
        <v>6935024</v>
      </c>
      <c r="AD236" s="45"/>
      <c r="AE236" s="48">
        <v>0</v>
      </c>
      <c r="AF236" s="48"/>
      <c r="AG236" s="45">
        <v>27500</v>
      </c>
      <c r="AH236" s="45"/>
      <c r="AI236" s="45">
        <v>1100028</v>
      </c>
      <c r="AJ236" s="45"/>
      <c r="AK236" s="45">
        <v>0</v>
      </c>
      <c r="AL236" s="45"/>
      <c r="AM236" s="45">
        <f>+'Gen rev'!U236-'Gen exp'!AC236-AG236+'Gen rev'!W236+AI236+AK236-'Gen Bal'!S237-'Gen exp'!AE236</f>
        <v>0</v>
      </c>
      <c r="AN236" s="44"/>
      <c r="AO236" s="44"/>
      <c r="AP236" s="44"/>
      <c r="AQ236" s="44"/>
    </row>
    <row r="237" spans="1:45" s="46" customFormat="1" ht="12.75" customHeight="1">
      <c r="A237" s="28" t="s">
        <v>266</v>
      </c>
      <c r="B237" s="49"/>
      <c r="C237" s="28" t="s">
        <v>267</v>
      </c>
      <c r="D237" s="49"/>
      <c r="E237" s="45">
        <v>688318</v>
      </c>
      <c r="F237" s="45"/>
      <c r="G237" s="45">
        <v>2227712</v>
      </c>
      <c r="H237" s="45"/>
      <c r="I237" s="45">
        <v>189198</v>
      </c>
      <c r="J237" s="45"/>
      <c r="K237" s="45">
        <v>0</v>
      </c>
      <c r="L237" s="45"/>
      <c r="M237" s="45">
        <v>279796</v>
      </c>
      <c r="N237" s="45"/>
      <c r="O237" s="45">
        <v>562362</v>
      </c>
      <c r="P237" s="45"/>
      <c r="Q237" s="45">
        <v>55896</v>
      </c>
      <c r="R237" s="45"/>
      <c r="S237" s="45">
        <v>19042</v>
      </c>
      <c r="T237" s="45"/>
      <c r="U237" s="45">
        <v>0</v>
      </c>
      <c r="V237" s="45"/>
      <c r="W237" s="45">
        <v>0</v>
      </c>
      <c r="X237" s="45"/>
      <c r="Y237" s="45">
        <v>0</v>
      </c>
      <c r="Z237" s="44"/>
      <c r="AA237" s="45">
        <v>0</v>
      </c>
      <c r="AB237" s="44"/>
      <c r="AC237" s="45">
        <f t="shared" si="6"/>
        <v>4022324</v>
      </c>
      <c r="AD237" s="45"/>
      <c r="AE237" s="48">
        <v>0</v>
      </c>
      <c r="AF237" s="48"/>
      <c r="AG237" s="45">
        <v>80076</v>
      </c>
      <c r="AH237" s="45"/>
      <c r="AI237" s="45">
        <v>1326886</v>
      </c>
      <c r="AJ237" s="45"/>
      <c r="AK237" s="45">
        <v>-4560</v>
      </c>
      <c r="AL237" s="45"/>
      <c r="AM237" s="45">
        <f>+'Gen rev'!U237-'Gen exp'!AC237-AG237+'Gen rev'!W237+AI237+AK237-'Gen Bal'!S238-'Gen exp'!AE237</f>
        <v>0</v>
      </c>
      <c r="AN237" s="94"/>
      <c r="AO237" s="94"/>
      <c r="AP237" s="94"/>
      <c r="AQ237" s="94"/>
      <c r="AR237" s="90"/>
      <c r="AS237" s="64"/>
    </row>
    <row r="238" spans="1:45" s="49" customFormat="1" ht="12.75" customHeight="1">
      <c r="A238" s="28" t="s">
        <v>268</v>
      </c>
      <c r="C238" s="28" t="s">
        <v>269</v>
      </c>
      <c r="E238" s="45">
        <v>894155</v>
      </c>
      <c r="F238" s="45"/>
      <c r="G238" s="45">
        <v>92860</v>
      </c>
      <c r="H238" s="45"/>
      <c r="I238" s="45">
        <v>0</v>
      </c>
      <c r="J238" s="45"/>
      <c r="K238" s="45">
        <v>1470</v>
      </c>
      <c r="L238" s="45"/>
      <c r="M238" s="45">
        <v>85208</v>
      </c>
      <c r="N238" s="45"/>
      <c r="O238" s="45">
        <v>0</v>
      </c>
      <c r="P238" s="45"/>
      <c r="Q238" s="45">
        <v>0</v>
      </c>
      <c r="R238" s="45"/>
      <c r="S238" s="45">
        <v>11989</v>
      </c>
      <c r="T238" s="45"/>
      <c r="U238" s="45">
        <v>0</v>
      </c>
      <c r="V238" s="45"/>
      <c r="W238" s="45">
        <v>0</v>
      </c>
      <c r="X238" s="45"/>
      <c r="Y238" s="45">
        <v>0</v>
      </c>
      <c r="Z238" s="44"/>
      <c r="AA238" s="45">
        <v>0</v>
      </c>
      <c r="AB238" s="44"/>
      <c r="AC238" s="45">
        <f t="shared" si="6"/>
        <v>1085682</v>
      </c>
      <c r="AD238" s="45"/>
      <c r="AE238" s="48">
        <v>0</v>
      </c>
      <c r="AF238" s="48"/>
      <c r="AG238" s="45">
        <v>1081527</v>
      </c>
      <c r="AH238" s="45"/>
      <c r="AI238" s="45">
        <v>1138609</v>
      </c>
      <c r="AJ238" s="45"/>
      <c r="AK238" s="45">
        <v>0</v>
      </c>
      <c r="AL238" s="45"/>
      <c r="AM238" s="45">
        <f>+'Gen rev'!U238-'Gen exp'!AC238-AG238+'Gen rev'!W238+AI238+AK238-'Gen Bal'!S239-'Gen exp'!AE238</f>
        <v>0</v>
      </c>
      <c r="AN238" s="44"/>
      <c r="AO238" s="44"/>
      <c r="AP238" s="44"/>
      <c r="AQ238" s="44"/>
    </row>
    <row r="239" spans="1:45" s="49" customFormat="1" ht="12.75" customHeight="1">
      <c r="A239" s="28" t="s">
        <v>270</v>
      </c>
      <c r="C239" s="28" t="s">
        <v>136</v>
      </c>
      <c r="E239" s="45">
        <v>691409</v>
      </c>
      <c r="F239" s="45"/>
      <c r="G239" s="45">
        <v>1388105</v>
      </c>
      <c r="H239" s="45"/>
      <c r="I239" s="45">
        <v>0</v>
      </c>
      <c r="J239" s="45"/>
      <c r="K239" s="45">
        <v>0</v>
      </c>
      <c r="L239" s="45"/>
      <c r="M239" s="45">
        <v>0</v>
      </c>
      <c r="N239" s="45"/>
      <c r="O239" s="45">
        <v>0</v>
      </c>
      <c r="P239" s="45"/>
      <c r="Q239" s="45">
        <v>0</v>
      </c>
      <c r="R239" s="45"/>
      <c r="S239" s="45">
        <v>0</v>
      </c>
      <c r="T239" s="45"/>
      <c r="U239" s="45">
        <v>0</v>
      </c>
      <c r="V239" s="45"/>
      <c r="W239" s="45">
        <v>60486</v>
      </c>
      <c r="X239" s="45"/>
      <c r="Y239" s="45">
        <v>12209</v>
      </c>
      <c r="Z239" s="44"/>
      <c r="AA239" s="45">
        <v>0</v>
      </c>
      <c r="AB239" s="44"/>
      <c r="AC239" s="45">
        <f t="shared" si="6"/>
        <v>2152209</v>
      </c>
      <c r="AD239" s="45"/>
      <c r="AE239" s="48">
        <v>0</v>
      </c>
      <c r="AF239" s="48"/>
      <c r="AG239" s="45">
        <v>66087</v>
      </c>
      <c r="AH239" s="45"/>
      <c r="AI239" s="45">
        <v>262263</v>
      </c>
      <c r="AJ239" s="45"/>
      <c r="AK239" s="45">
        <v>0</v>
      </c>
      <c r="AL239" s="45"/>
      <c r="AM239" s="45">
        <f>+'Gen rev'!U239-'Gen exp'!AC239-AG239+'Gen rev'!W239+AI239+AK239-'Gen Bal'!S240-'Gen exp'!AE239</f>
        <v>0</v>
      </c>
      <c r="AN239" s="44"/>
      <c r="AO239" s="44"/>
      <c r="AP239" s="44"/>
      <c r="AQ239" s="44"/>
    </row>
    <row r="240" spans="1:45" s="46" customFormat="1" ht="12.75" customHeight="1">
      <c r="A240" s="28" t="s">
        <v>271</v>
      </c>
      <c r="B240" s="49"/>
      <c r="C240" s="28" t="s">
        <v>66</v>
      </c>
      <c r="D240" s="49"/>
      <c r="E240" s="45">
        <v>829903</v>
      </c>
      <c r="F240" s="45"/>
      <c r="G240" s="45">
        <v>4681042</v>
      </c>
      <c r="H240" s="45"/>
      <c r="I240" s="45">
        <v>608589</v>
      </c>
      <c r="J240" s="45"/>
      <c r="K240" s="45">
        <v>0</v>
      </c>
      <c r="L240" s="45"/>
      <c r="M240" s="45">
        <v>0</v>
      </c>
      <c r="N240" s="45"/>
      <c r="O240" s="45">
        <v>661900</v>
      </c>
      <c r="P240" s="45"/>
      <c r="Q240" s="45">
        <v>0</v>
      </c>
      <c r="R240" s="45"/>
      <c r="S240" s="45">
        <v>0</v>
      </c>
      <c r="T240" s="45"/>
      <c r="U240" s="45">
        <v>0</v>
      </c>
      <c r="V240" s="45"/>
      <c r="W240" s="45">
        <v>0</v>
      </c>
      <c r="X240" s="45"/>
      <c r="Y240" s="45">
        <v>0</v>
      </c>
      <c r="Z240" s="44"/>
      <c r="AA240" s="45">
        <v>0</v>
      </c>
      <c r="AB240" s="44"/>
      <c r="AC240" s="45">
        <f t="shared" si="6"/>
        <v>6781434</v>
      </c>
      <c r="AD240" s="45"/>
      <c r="AE240" s="48">
        <v>0</v>
      </c>
      <c r="AF240" s="48"/>
      <c r="AG240" s="45">
        <v>353892</v>
      </c>
      <c r="AH240" s="45"/>
      <c r="AI240" s="45">
        <v>2098092</v>
      </c>
      <c r="AJ240" s="45"/>
      <c r="AK240" s="45">
        <v>0</v>
      </c>
      <c r="AL240" s="45"/>
      <c r="AM240" s="45">
        <f>+'Gen rev'!U240-'Gen exp'!AC240-AG240+'Gen rev'!W240+AI240+AK240-'Gen Bal'!S241-'Gen exp'!AE240</f>
        <v>0</v>
      </c>
    </row>
    <row r="241" spans="1:45" s="49" customFormat="1" ht="12.75" customHeight="1">
      <c r="A241" s="28" t="s">
        <v>272</v>
      </c>
      <c r="C241" s="28" t="s">
        <v>43</v>
      </c>
      <c r="E241" s="45">
        <v>9445227</v>
      </c>
      <c r="F241" s="45"/>
      <c r="G241" s="45">
        <v>12311931</v>
      </c>
      <c r="H241" s="45"/>
      <c r="I241" s="45">
        <v>2401381</v>
      </c>
      <c r="J241" s="45"/>
      <c r="K241" s="45">
        <v>51422</v>
      </c>
      <c r="L241" s="45"/>
      <c r="M241" s="45">
        <v>0</v>
      </c>
      <c r="N241" s="45"/>
      <c r="O241" s="45">
        <v>0</v>
      </c>
      <c r="P241" s="45"/>
      <c r="Q241" s="45">
        <v>508432</v>
      </c>
      <c r="R241" s="45"/>
      <c r="S241" s="45">
        <v>0</v>
      </c>
      <c r="T241" s="45"/>
      <c r="U241" s="45">
        <v>0</v>
      </c>
      <c r="V241" s="45"/>
      <c r="W241" s="45">
        <v>611</v>
      </c>
      <c r="X241" s="45"/>
      <c r="Y241" s="45">
        <v>881</v>
      </c>
      <c r="Z241" s="44"/>
      <c r="AA241" s="45">
        <v>0</v>
      </c>
      <c r="AB241" s="44"/>
      <c r="AC241" s="45">
        <f t="shared" si="6"/>
        <v>24719885</v>
      </c>
      <c r="AD241" s="45"/>
      <c r="AE241" s="48">
        <v>0</v>
      </c>
      <c r="AF241" s="48"/>
      <c r="AG241" s="45">
        <v>13389144</v>
      </c>
      <c r="AH241" s="45"/>
      <c r="AI241" s="45">
        <v>28346318</v>
      </c>
      <c r="AJ241" s="45"/>
      <c r="AK241" s="45">
        <v>0</v>
      </c>
      <c r="AL241" s="45"/>
      <c r="AM241" s="45">
        <f>+'Gen rev'!U242-'Gen exp'!AC241-AG241+'Gen rev'!W242+AI241+AK241-'Gen Bal'!S242-'Gen exp'!AE241</f>
        <v>0</v>
      </c>
      <c r="AN241" s="45"/>
      <c r="AO241" s="45"/>
      <c r="AP241" s="45"/>
      <c r="AQ241" s="45"/>
      <c r="AR241" s="52"/>
      <c r="AS241" s="50"/>
    </row>
    <row r="242" spans="1:45" s="49" customFormat="1" ht="12.75" customHeight="1">
      <c r="A242" s="28" t="s">
        <v>273</v>
      </c>
      <c r="C242" s="28" t="s">
        <v>27</v>
      </c>
      <c r="E242" s="45">
        <v>7602214</v>
      </c>
      <c r="F242" s="45"/>
      <c r="G242" s="45">
        <v>10122958</v>
      </c>
      <c r="H242" s="45"/>
      <c r="I242" s="45">
        <v>1448226</v>
      </c>
      <c r="J242" s="45"/>
      <c r="K242" s="45">
        <v>933362</v>
      </c>
      <c r="L242" s="45"/>
      <c r="M242" s="45">
        <v>4568331</v>
      </c>
      <c r="N242" s="45"/>
      <c r="O242" s="45">
        <v>806115</v>
      </c>
      <c r="P242" s="45"/>
      <c r="Q242" s="45">
        <v>658769</v>
      </c>
      <c r="R242" s="45"/>
      <c r="S242" s="45">
        <v>30773</v>
      </c>
      <c r="T242" s="45"/>
      <c r="U242" s="45">
        <v>0</v>
      </c>
      <c r="V242" s="45"/>
      <c r="W242" s="45">
        <v>0</v>
      </c>
      <c r="X242" s="45"/>
      <c r="Y242" s="45">
        <v>0</v>
      </c>
      <c r="Z242" s="44"/>
      <c r="AA242" s="45">
        <v>0</v>
      </c>
      <c r="AB242" s="44"/>
      <c r="AC242" s="45">
        <f t="shared" si="6"/>
        <v>26170748</v>
      </c>
      <c r="AD242" s="45"/>
      <c r="AE242" s="48">
        <v>0</v>
      </c>
      <c r="AF242" s="48"/>
      <c r="AG242" s="45">
        <v>460800</v>
      </c>
      <c r="AH242" s="45"/>
      <c r="AI242" s="45">
        <v>21255439</v>
      </c>
      <c r="AJ242" s="45"/>
      <c r="AK242" s="45">
        <v>0</v>
      </c>
      <c r="AL242" s="45"/>
      <c r="AM242" s="45">
        <f>+'Gen rev'!U243-'Gen exp'!AC242-AG242+'Gen rev'!W243+AI242+AK242-'Gen Bal'!S243-'Gen exp'!AE242</f>
        <v>0</v>
      </c>
      <c r="AN242" s="45"/>
      <c r="AO242" s="45"/>
      <c r="AP242" s="45"/>
      <c r="AQ242" s="45"/>
      <c r="AR242" s="52"/>
      <c r="AS242" s="50"/>
    </row>
    <row r="243" spans="1:45" s="49" customFormat="1" ht="12.75" customHeight="1">
      <c r="A243" s="28" t="s">
        <v>274</v>
      </c>
      <c r="C243" s="28" t="s">
        <v>43</v>
      </c>
      <c r="E243" s="45">
        <v>5967360</v>
      </c>
      <c r="F243" s="45"/>
      <c r="G243" s="45">
        <v>10354634</v>
      </c>
      <c r="H243" s="45"/>
      <c r="I243" s="45">
        <v>19183</v>
      </c>
      <c r="J243" s="45"/>
      <c r="K243" s="45">
        <v>110079</v>
      </c>
      <c r="L243" s="45"/>
      <c r="M243" s="45">
        <v>469869</v>
      </c>
      <c r="N243" s="45"/>
      <c r="O243" s="45">
        <v>654297</v>
      </c>
      <c r="P243" s="45"/>
      <c r="Q243" s="45">
        <v>614424</v>
      </c>
      <c r="R243" s="45"/>
      <c r="S243" s="45">
        <v>351604</v>
      </c>
      <c r="T243" s="45"/>
      <c r="U243" s="45">
        <v>0</v>
      </c>
      <c r="V243" s="45"/>
      <c r="W243" s="45">
        <v>1209</v>
      </c>
      <c r="X243" s="45"/>
      <c r="Y243" s="45">
        <v>110</v>
      </c>
      <c r="Z243" s="44"/>
      <c r="AA243" s="45">
        <v>0</v>
      </c>
      <c r="AB243" s="44"/>
      <c r="AC243" s="45">
        <f t="shared" si="6"/>
        <v>18542769</v>
      </c>
      <c r="AD243" s="45"/>
      <c r="AE243" s="48">
        <v>0</v>
      </c>
      <c r="AF243" s="48"/>
      <c r="AG243" s="45">
        <v>1334677</v>
      </c>
      <c r="AH243" s="45"/>
      <c r="AI243" s="45">
        <v>5164916</v>
      </c>
      <c r="AJ243" s="45"/>
      <c r="AK243" s="45">
        <v>0</v>
      </c>
      <c r="AL243" s="45"/>
      <c r="AM243" s="45">
        <f>+'Gen rev'!U244-'Gen exp'!AC243-AG243+'Gen rev'!W244+AI243+AK243-'Gen Bal'!S244-'Gen exp'!AE243</f>
        <v>0</v>
      </c>
      <c r="AN243" s="44"/>
      <c r="AO243" s="44"/>
      <c r="AP243" s="44"/>
      <c r="AQ243" s="44"/>
    </row>
    <row r="244" spans="1:45" s="49" customFormat="1" ht="12.75" customHeight="1">
      <c r="A244" s="28" t="s">
        <v>275</v>
      </c>
      <c r="C244" s="28" t="s">
        <v>92</v>
      </c>
      <c r="E244" s="45">
        <v>4111843</v>
      </c>
      <c r="F244" s="45"/>
      <c r="G244" s="45">
        <v>5902136</v>
      </c>
      <c r="H244" s="45"/>
      <c r="I244" s="45">
        <v>161890</v>
      </c>
      <c r="J244" s="45"/>
      <c r="K244" s="45">
        <v>6612</v>
      </c>
      <c r="L244" s="45"/>
      <c r="M244" s="45">
        <v>1350671</v>
      </c>
      <c r="N244" s="45"/>
      <c r="O244" s="45">
        <v>242278</v>
      </c>
      <c r="P244" s="45"/>
      <c r="Q244" s="45">
        <v>850335</v>
      </c>
      <c r="R244" s="45"/>
      <c r="S244" s="45">
        <v>0</v>
      </c>
      <c r="T244" s="45"/>
      <c r="U244" s="45">
        <v>0</v>
      </c>
      <c r="V244" s="45"/>
      <c r="W244" s="45">
        <v>0</v>
      </c>
      <c r="X244" s="45"/>
      <c r="Y244" s="45">
        <v>0</v>
      </c>
      <c r="Z244" s="44"/>
      <c r="AA244" s="45">
        <v>0</v>
      </c>
      <c r="AB244" s="44"/>
      <c r="AC244" s="45">
        <f t="shared" si="6"/>
        <v>12625765</v>
      </c>
      <c r="AD244" s="45"/>
      <c r="AE244" s="48">
        <v>0</v>
      </c>
      <c r="AF244" s="48"/>
      <c r="AG244" s="45">
        <v>307132</v>
      </c>
      <c r="AH244" s="45"/>
      <c r="AI244" s="45">
        <v>6669415</v>
      </c>
      <c r="AJ244" s="45"/>
      <c r="AK244" s="45">
        <v>57437</v>
      </c>
      <c r="AL244" s="45"/>
      <c r="AM244" s="45">
        <f>+'Gen rev'!U245-'Gen exp'!AC244-AG244+'Gen rev'!W245+AI244+AK244-'Gen Bal'!S245-'Gen exp'!AE244</f>
        <v>0</v>
      </c>
      <c r="AN244" s="44"/>
      <c r="AO244" s="44"/>
      <c r="AP244" s="44"/>
      <c r="AQ244" s="44"/>
    </row>
    <row r="245" spans="1:45" s="49" customFormat="1" ht="12.75" customHeight="1">
      <c r="A245" s="28" t="s">
        <v>276</v>
      </c>
      <c r="C245" s="28" t="s">
        <v>38</v>
      </c>
      <c r="E245" s="45">
        <v>489508</v>
      </c>
      <c r="F245" s="45"/>
      <c r="G245" s="45">
        <v>2316561</v>
      </c>
      <c r="H245" s="45"/>
      <c r="I245" s="45">
        <v>201023</v>
      </c>
      <c r="J245" s="45"/>
      <c r="K245" s="45">
        <v>35195</v>
      </c>
      <c r="L245" s="45"/>
      <c r="M245" s="45">
        <v>242592</v>
      </c>
      <c r="N245" s="45"/>
      <c r="O245" s="45">
        <v>0</v>
      </c>
      <c r="P245" s="45"/>
      <c r="Q245" s="45">
        <v>0</v>
      </c>
      <c r="R245" s="45"/>
      <c r="S245" s="45">
        <v>0</v>
      </c>
      <c r="T245" s="45"/>
      <c r="U245" s="45">
        <v>0</v>
      </c>
      <c r="V245" s="45"/>
      <c r="W245" s="45">
        <v>0</v>
      </c>
      <c r="X245" s="45"/>
      <c r="Y245" s="45">
        <v>0</v>
      </c>
      <c r="Z245" s="44"/>
      <c r="AA245" s="45">
        <v>0</v>
      </c>
      <c r="AB245" s="44"/>
      <c r="AC245" s="45">
        <f t="shared" si="6"/>
        <v>3284879</v>
      </c>
      <c r="AD245" s="45"/>
      <c r="AE245" s="48">
        <v>0</v>
      </c>
      <c r="AF245" s="48"/>
      <c r="AG245" s="45">
        <v>15400</v>
      </c>
      <c r="AH245" s="45"/>
      <c r="AI245" s="45">
        <v>1968704</v>
      </c>
      <c r="AJ245" s="45"/>
      <c r="AK245" s="45">
        <v>0</v>
      </c>
      <c r="AL245" s="45"/>
      <c r="AM245" s="45">
        <f>+'Gen rev'!U246-'Gen exp'!AC245-AG245+'Gen rev'!W246+AI245+AK245-'Gen Bal'!S246-'Gen exp'!AE245</f>
        <v>0</v>
      </c>
      <c r="AN245" s="45"/>
      <c r="AO245" s="45"/>
      <c r="AP245" s="45"/>
      <c r="AQ245" s="45"/>
      <c r="AR245" s="52"/>
      <c r="AS245" s="50"/>
    </row>
    <row r="246" spans="1:45" s="49" customFormat="1" ht="12.75" customHeight="1">
      <c r="A246" s="28" t="s">
        <v>277</v>
      </c>
      <c r="C246" s="28" t="s">
        <v>92</v>
      </c>
      <c r="E246" s="45">
        <v>6769996</v>
      </c>
      <c r="F246" s="45"/>
      <c r="G246" s="45">
        <v>11332735</v>
      </c>
      <c r="H246" s="45"/>
      <c r="I246" s="45">
        <v>888740</v>
      </c>
      <c r="J246" s="45"/>
      <c r="K246" s="45">
        <v>470782</v>
      </c>
      <c r="L246" s="45"/>
      <c r="M246" s="45">
        <v>0</v>
      </c>
      <c r="N246" s="45"/>
      <c r="O246" s="45">
        <v>931683</v>
      </c>
      <c r="P246" s="45"/>
      <c r="Q246" s="45">
        <v>1278807</v>
      </c>
      <c r="R246" s="45"/>
      <c r="S246" s="45">
        <v>107341</v>
      </c>
      <c r="T246" s="45"/>
      <c r="U246" s="45">
        <v>0</v>
      </c>
      <c r="V246" s="45"/>
      <c r="W246" s="45">
        <v>0</v>
      </c>
      <c r="X246" s="45"/>
      <c r="Y246" s="45">
        <v>0</v>
      </c>
      <c r="Z246" s="44"/>
      <c r="AA246" s="45">
        <v>0</v>
      </c>
      <c r="AB246" s="44"/>
      <c r="AC246" s="45">
        <f t="shared" si="6"/>
        <v>21780084</v>
      </c>
      <c r="AD246" s="45"/>
      <c r="AE246" s="48">
        <v>0</v>
      </c>
      <c r="AF246" s="48"/>
      <c r="AG246" s="45">
        <v>2692693</v>
      </c>
      <c r="AH246" s="45"/>
      <c r="AI246" s="45">
        <v>11681497</v>
      </c>
      <c r="AJ246" s="45"/>
      <c r="AK246" s="45">
        <v>21415</v>
      </c>
      <c r="AL246" s="45"/>
      <c r="AM246" s="45">
        <f>+'Gen rev'!U247-'Gen exp'!AC246-AG246+'Gen rev'!W247+AI246+AK246-'Gen Bal'!S247-'Gen exp'!AE246</f>
        <v>0</v>
      </c>
      <c r="AN246" s="44"/>
      <c r="AO246" s="44"/>
      <c r="AP246" s="44"/>
      <c r="AQ246" s="44"/>
    </row>
    <row r="247" spans="1:45" s="49" customFormat="1" ht="12.75" customHeight="1">
      <c r="A247" s="28" t="s">
        <v>278</v>
      </c>
      <c r="C247" s="28" t="s">
        <v>92</v>
      </c>
      <c r="E247" s="45">
        <v>2508162</v>
      </c>
      <c r="F247" s="45"/>
      <c r="G247" s="45">
        <f>2776217+1119654</f>
        <v>3895871</v>
      </c>
      <c r="H247" s="45"/>
      <c r="I247" s="45">
        <v>128412</v>
      </c>
      <c r="J247" s="45"/>
      <c r="K247" s="45">
        <v>0</v>
      </c>
      <c r="L247" s="45"/>
      <c r="M247" s="45">
        <v>0</v>
      </c>
      <c r="N247" s="45"/>
      <c r="O247" s="45">
        <v>138335</v>
      </c>
      <c r="P247" s="45"/>
      <c r="Q247" s="45">
        <v>0</v>
      </c>
      <c r="R247" s="45"/>
      <c r="S247" s="45">
        <v>0</v>
      </c>
      <c r="T247" s="45"/>
      <c r="U247" s="45">
        <v>0</v>
      </c>
      <c r="V247" s="45"/>
      <c r="W247" s="45">
        <v>0</v>
      </c>
      <c r="X247" s="45"/>
      <c r="Y247" s="45">
        <v>0</v>
      </c>
      <c r="Z247" s="44"/>
      <c r="AA247" s="45">
        <v>0</v>
      </c>
      <c r="AB247" s="44"/>
      <c r="AC247" s="45">
        <f t="shared" si="6"/>
        <v>6670780</v>
      </c>
      <c r="AD247" s="45"/>
      <c r="AE247" s="48">
        <v>0</v>
      </c>
      <c r="AF247" s="48"/>
      <c r="AG247" s="45">
        <v>443527</v>
      </c>
      <c r="AH247" s="45"/>
      <c r="AI247" s="45">
        <v>344669</v>
      </c>
      <c r="AJ247" s="45"/>
      <c r="AK247" s="45">
        <v>0</v>
      </c>
      <c r="AL247" s="45"/>
      <c r="AM247" s="45">
        <f>+'Gen rev'!U248-'Gen exp'!AC247-AG247+'Gen rev'!W248+AI247+AK247-'Gen Bal'!S248-'Gen exp'!AE247</f>
        <v>0</v>
      </c>
      <c r="AN247" s="44"/>
      <c r="AO247" s="44"/>
      <c r="AP247" s="44"/>
      <c r="AQ247" s="44"/>
    </row>
    <row r="248" spans="1:45" s="49" customFormat="1" ht="12.75" customHeight="1">
      <c r="A248" s="28" t="s">
        <v>279</v>
      </c>
      <c r="C248" s="28" t="s">
        <v>92</v>
      </c>
      <c r="E248" s="45">
        <v>1653110</v>
      </c>
      <c r="F248" s="45"/>
      <c r="G248" s="45">
        <v>3519054</v>
      </c>
      <c r="H248" s="45"/>
      <c r="I248" s="45">
        <v>372076</v>
      </c>
      <c r="J248" s="45"/>
      <c r="K248" s="45">
        <v>115592</v>
      </c>
      <c r="L248" s="45"/>
      <c r="M248" s="45">
        <v>252780</v>
      </c>
      <c r="N248" s="45"/>
      <c r="O248" s="45">
        <v>921080</v>
      </c>
      <c r="P248" s="45"/>
      <c r="Q248" s="45">
        <v>888712</v>
      </c>
      <c r="R248" s="45"/>
      <c r="S248" s="45">
        <v>0</v>
      </c>
      <c r="T248" s="45"/>
      <c r="U248" s="45">
        <v>0</v>
      </c>
      <c r="V248" s="45"/>
      <c r="W248" s="45">
        <v>8398</v>
      </c>
      <c r="X248" s="45"/>
      <c r="Y248" s="45">
        <v>1430</v>
      </c>
      <c r="Z248" s="44"/>
      <c r="AA248" s="45">
        <v>0</v>
      </c>
      <c r="AB248" s="44"/>
      <c r="AC248" s="45">
        <f t="shared" si="6"/>
        <v>7732232</v>
      </c>
      <c r="AD248" s="45"/>
      <c r="AE248" s="48">
        <v>0</v>
      </c>
      <c r="AF248" s="48"/>
      <c r="AG248" s="45">
        <v>680000</v>
      </c>
      <c r="AH248" s="45"/>
      <c r="AI248" s="45">
        <v>1536834</v>
      </c>
      <c r="AJ248" s="45"/>
      <c r="AK248" s="45">
        <v>0</v>
      </c>
      <c r="AL248" s="45"/>
      <c r="AM248" s="45">
        <f>+'Gen rev'!U249-'Gen exp'!AC248-AG248+'Gen rev'!W249+AI248+AK248-'Gen Bal'!S249-'Gen exp'!AE248</f>
        <v>0</v>
      </c>
      <c r="AN248" s="44"/>
      <c r="AO248" s="44"/>
      <c r="AP248" s="44"/>
      <c r="AQ248" s="44"/>
    </row>
    <row r="249" spans="1:45" s="49" customFormat="1" ht="12.75" customHeight="1">
      <c r="A249" s="28" t="s">
        <v>280</v>
      </c>
      <c r="C249" s="28" t="s">
        <v>281</v>
      </c>
      <c r="E249" s="45">
        <v>4628276</v>
      </c>
      <c r="F249" s="45"/>
      <c r="G249" s="45">
        <v>5098</v>
      </c>
      <c r="H249" s="45"/>
      <c r="I249" s="45">
        <v>0</v>
      </c>
      <c r="J249" s="45"/>
      <c r="K249" s="45">
        <v>0</v>
      </c>
      <c r="L249" s="45"/>
      <c r="M249" s="45">
        <v>0</v>
      </c>
      <c r="N249" s="45"/>
      <c r="O249" s="45">
        <v>0</v>
      </c>
      <c r="P249" s="45"/>
      <c r="Q249" s="45">
        <v>0</v>
      </c>
      <c r="R249" s="45"/>
      <c r="S249" s="45">
        <v>10901</v>
      </c>
      <c r="T249" s="45"/>
      <c r="U249" s="45">
        <v>0</v>
      </c>
      <c r="V249" s="45"/>
      <c r="W249" s="45">
        <v>0</v>
      </c>
      <c r="X249" s="45"/>
      <c r="Y249" s="45">
        <v>0</v>
      </c>
      <c r="Z249" s="44"/>
      <c r="AA249" s="45">
        <v>0</v>
      </c>
      <c r="AB249" s="44"/>
      <c r="AC249" s="45">
        <f t="shared" si="6"/>
        <v>4644275</v>
      </c>
      <c r="AD249" s="45"/>
      <c r="AE249" s="48">
        <v>0</v>
      </c>
      <c r="AF249" s="48"/>
      <c r="AG249" s="45">
        <v>4619198</v>
      </c>
      <c r="AH249" s="45"/>
      <c r="AI249" s="45">
        <v>4420075</v>
      </c>
      <c r="AJ249" s="45"/>
      <c r="AK249" s="45">
        <v>0</v>
      </c>
      <c r="AL249" s="45"/>
      <c r="AM249" s="45">
        <f>+'Gen rev'!U250-'Gen exp'!AC249-AG249+'Gen rev'!W250+AI249+AK249-'Gen Bal'!S250-'Gen exp'!AE249</f>
        <v>0</v>
      </c>
      <c r="AN249" s="44"/>
      <c r="AO249" s="44"/>
      <c r="AP249" s="44"/>
      <c r="AQ249" s="44"/>
    </row>
    <row r="250" spans="1:45" s="49" customFormat="1" ht="12.75" customHeight="1">
      <c r="A250" s="28" t="s">
        <v>282</v>
      </c>
      <c r="C250" s="28" t="s">
        <v>199</v>
      </c>
      <c r="E250" s="45">
        <v>3268646</v>
      </c>
      <c r="F250" s="45"/>
      <c r="G250" s="45">
        <v>9914083</v>
      </c>
      <c r="H250" s="45"/>
      <c r="I250" s="45">
        <v>833270</v>
      </c>
      <c r="J250" s="45"/>
      <c r="K250" s="45">
        <v>148395</v>
      </c>
      <c r="L250" s="45"/>
      <c r="M250" s="45">
        <v>1329985</v>
      </c>
      <c r="N250" s="45"/>
      <c r="O250" s="45">
        <v>1919313</v>
      </c>
      <c r="P250" s="45"/>
      <c r="Q250" s="45">
        <v>0</v>
      </c>
      <c r="R250" s="45"/>
      <c r="S250" s="45">
        <v>0</v>
      </c>
      <c r="T250" s="45"/>
      <c r="U250" s="45">
        <v>0</v>
      </c>
      <c r="V250" s="45"/>
      <c r="W250" s="45">
        <v>118621</v>
      </c>
      <c r="X250" s="45"/>
      <c r="Y250" s="45">
        <v>48243</v>
      </c>
      <c r="Z250" s="44"/>
      <c r="AA250" s="45">
        <v>0</v>
      </c>
      <c r="AB250" s="44"/>
      <c r="AC250" s="45">
        <f t="shared" si="6"/>
        <v>17580556</v>
      </c>
      <c r="AD250" s="45"/>
      <c r="AE250" s="48">
        <v>0</v>
      </c>
      <c r="AF250" s="48"/>
      <c r="AG250" s="45">
        <v>248019</v>
      </c>
      <c r="AH250" s="45"/>
      <c r="AI250" s="45">
        <v>12294260</v>
      </c>
      <c r="AJ250" s="45"/>
      <c r="AK250" s="45">
        <v>0</v>
      </c>
      <c r="AL250" s="45"/>
      <c r="AM250" s="45">
        <f>+'Gen rev'!U251-'Gen exp'!AC250-AG250+'Gen rev'!W251+AI250+AK250-'Gen Bal'!S251-'Gen exp'!AE250</f>
        <v>0</v>
      </c>
      <c r="AN250" s="45"/>
      <c r="AO250" s="45"/>
      <c r="AP250" s="45"/>
      <c r="AQ250" s="45"/>
      <c r="AR250" s="52"/>
      <c r="AS250" s="50"/>
    </row>
    <row r="251" spans="1:45" s="49" customFormat="1" ht="12.75" customHeight="1">
      <c r="A251" s="28" t="s">
        <v>283</v>
      </c>
      <c r="C251" s="28" t="s">
        <v>43</v>
      </c>
      <c r="E251" s="45">
        <v>4704172</v>
      </c>
      <c r="F251" s="45"/>
      <c r="G251" s="45">
        <v>9162953</v>
      </c>
      <c r="H251" s="45"/>
      <c r="I251" s="45">
        <v>577969</v>
      </c>
      <c r="J251" s="45"/>
      <c r="K251" s="45">
        <v>57774</v>
      </c>
      <c r="L251" s="45"/>
      <c r="M251" s="45">
        <v>1322105</v>
      </c>
      <c r="N251" s="45"/>
      <c r="O251" s="45">
        <v>3123344</v>
      </c>
      <c r="P251" s="45"/>
      <c r="Q251" s="45">
        <v>1743586</v>
      </c>
      <c r="R251" s="45"/>
      <c r="S251" s="45">
        <v>0</v>
      </c>
      <c r="T251" s="45"/>
      <c r="U251" s="45">
        <v>0</v>
      </c>
      <c r="V251" s="45"/>
      <c r="W251" s="45">
        <v>0</v>
      </c>
      <c r="X251" s="45"/>
      <c r="Y251" s="45">
        <v>0</v>
      </c>
      <c r="Z251" s="44"/>
      <c r="AA251" s="45">
        <v>0</v>
      </c>
      <c r="AB251" s="44"/>
      <c r="AC251" s="45">
        <f t="shared" si="6"/>
        <v>20691903</v>
      </c>
      <c r="AD251" s="45"/>
      <c r="AE251" s="48">
        <v>0</v>
      </c>
      <c r="AF251" s="48"/>
      <c r="AG251" s="45">
        <v>461340</v>
      </c>
      <c r="AH251" s="45"/>
      <c r="AI251" s="45">
        <v>3085468</v>
      </c>
      <c r="AJ251" s="45"/>
      <c r="AK251" s="45">
        <v>0</v>
      </c>
      <c r="AL251" s="45"/>
      <c r="AM251" s="45">
        <f>+'Gen rev'!U252-'Gen exp'!AC251-AG251+'Gen rev'!W252+AI251+AK251-'Gen Bal'!S252-'Gen exp'!AE251</f>
        <v>0</v>
      </c>
      <c r="AN251" s="45"/>
      <c r="AO251" s="45"/>
      <c r="AP251" s="45"/>
      <c r="AQ251" s="45"/>
      <c r="AR251" s="52"/>
      <c r="AS251" s="50"/>
    </row>
    <row r="252" spans="1:45" s="49" customFormat="1" ht="12.75" customHeight="1">
      <c r="A252" s="28" t="s">
        <v>284</v>
      </c>
      <c r="C252" s="28" t="s">
        <v>45</v>
      </c>
      <c r="E252" s="45">
        <v>3054323</v>
      </c>
      <c r="F252" s="45"/>
      <c r="G252" s="45">
        <v>2535528</v>
      </c>
      <c r="H252" s="45"/>
      <c r="I252" s="45">
        <v>229943</v>
      </c>
      <c r="J252" s="45"/>
      <c r="K252" s="45">
        <v>66801</v>
      </c>
      <c r="L252" s="45"/>
      <c r="M252" s="45">
        <v>635216</v>
      </c>
      <c r="N252" s="45"/>
      <c r="O252" s="45">
        <v>86129</v>
      </c>
      <c r="P252" s="45"/>
      <c r="Q252" s="45">
        <v>556496</v>
      </c>
      <c r="R252" s="45"/>
      <c r="S252" s="45">
        <v>0</v>
      </c>
      <c r="T252" s="45"/>
      <c r="U252" s="45">
        <v>0</v>
      </c>
      <c r="V252" s="45"/>
      <c r="W252" s="45">
        <v>3732</v>
      </c>
      <c r="X252" s="45"/>
      <c r="Y252" s="45">
        <v>7503</v>
      </c>
      <c r="Z252" s="44"/>
      <c r="AA252" s="45">
        <v>0</v>
      </c>
      <c r="AB252" s="44"/>
      <c r="AC252" s="45">
        <f t="shared" si="6"/>
        <v>7175671</v>
      </c>
      <c r="AD252" s="45"/>
      <c r="AE252" s="48">
        <v>0</v>
      </c>
      <c r="AF252" s="48"/>
      <c r="AG252" s="45">
        <v>2364211</v>
      </c>
      <c r="AH252" s="45"/>
      <c r="AI252" s="45">
        <v>3344488</v>
      </c>
      <c r="AJ252" s="45"/>
      <c r="AK252" s="45">
        <v>0</v>
      </c>
      <c r="AL252" s="45"/>
      <c r="AM252" s="45">
        <f>+'Gen rev'!U253-'Gen exp'!AC252-AG252+'Gen rev'!W253+AI252+AK252-'Gen Bal'!S253-'Gen exp'!AE252</f>
        <v>0</v>
      </c>
      <c r="AN252" s="44"/>
      <c r="AO252" s="44"/>
      <c r="AP252" s="44"/>
      <c r="AQ252" s="44"/>
    </row>
    <row r="253" spans="1:45" s="49" customFormat="1" ht="12.75" customHeight="1">
      <c r="A253" s="28" t="s">
        <v>285</v>
      </c>
      <c r="C253" s="28" t="s">
        <v>30</v>
      </c>
      <c r="E253" s="45">
        <v>2516100</v>
      </c>
      <c r="F253" s="45"/>
      <c r="G253" s="45">
        <v>11315075</v>
      </c>
      <c r="H253" s="45"/>
      <c r="I253" s="45">
        <v>289694</v>
      </c>
      <c r="J253" s="45"/>
      <c r="K253" s="45">
        <v>51780</v>
      </c>
      <c r="L253" s="45"/>
      <c r="M253" s="45">
        <v>270859</v>
      </c>
      <c r="N253" s="45"/>
      <c r="O253" s="45">
        <v>317151</v>
      </c>
      <c r="P253" s="45"/>
      <c r="Q253" s="45">
        <v>0</v>
      </c>
      <c r="R253" s="45"/>
      <c r="S253" s="45">
        <v>0</v>
      </c>
      <c r="T253" s="45"/>
      <c r="U253" s="45">
        <v>0</v>
      </c>
      <c r="V253" s="45"/>
      <c r="W253" s="45">
        <v>0</v>
      </c>
      <c r="X253" s="45"/>
      <c r="Y253" s="45">
        <v>0</v>
      </c>
      <c r="Z253" s="44"/>
      <c r="AA253" s="45">
        <v>0</v>
      </c>
      <c r="AB253" s="44"/>
      <c r="AC253" s="45">
        <f t="shared" si="6"/>
        <v>14760659</v>
      </c>
      <c r="AD253" s="45"/>
      <c r="AE253" s="48">
        <v>0</v>
      </c>
      <c r="AF253" s="48"/>
      <c r="AG253" s="45">
        <v>247000</v>
      </c>
      <c r="AH253" s="45"/>
      <c r="AI253" s="45">
        <v>4208412</v>
      </c>
      <c r="AJ253" s="45"/>
      <c r="AK253" s="45">
        <v>875</v>
      </c>
      <c r="AL253" s="45"/>
      <c r="AM253" s="45">
        <f>+'Gen rev'!U254-'Gen exp'!AC253-AG253+'Gen rev'!W254+AI253+AK253-'Gen Bal'!S254-'Gen exp'!AE253</f>
        <v>0</v>
      </c>
      <c r="AN253" s="44"/>
      <c r="AO253" s="44"/>
      <c r="AP253" s="44"/>
      <c r="AQ253" s="44"/>
    </row>
    <row r="254" spans="1:45" s="49" customFormat="1" ht="12.75" customHeight="1">
      <c r="A254" s="28" t="s">
        <v>286</v>
      </c>
      <c r="C254" s="28" t="s">
        <v>61</v>
      </c>
      <c r="E254" s="45">
        <v>11880936</v>
      </c>
      <c r="F254" s="45"/>
      <c r="G254" s="45">
        <v>3060420</v>
      </c>
      <c r="H254" s="45"/>
      <c r="I254" s="45">
        <v>542041</v>
      </c>
      <c r="J254" s="45"/>
      <c r="K254" s="45">
        <v>1282207</v>
      </c>
      <c r="L254" s="45"/>
      <c r="M254" s="45">
        <v>0</v>
      </c>
      <c r="N254" s="45"/>
      <c r="O254" s="45">
        <v>79652</v>
      </c>
      <c r="P254" s="45"/>
      <c r="Q254" s="45">
        <v>3136676</v>
      </c>
      <c r="R254" s="45"/>
      <c r="S254" s="45">
        <v>0</v>
      </c>
      <c r="T254" s="45"/>
      <c r="U254" s="45">
        <v>0</v>
      </c>
      <c r="V254" s="45"/>
      <c r="W254" s="45">
        <v>25361</v>
      </c>
      <c r="X254" s="45"/>
      <c r="Y254" s="45">
        <v>5157</v>
      </c>
      <c r="Z254" s="44"/>
      <c r="AA254" s="45">
        <v>0</v>
      </c>
      <c r="AB254" s="44"/>
      <c r="AC254" s="45">
        <f t="shared" si="6"/>
        <v>20012450</v>
      </c>
      <c r="AD254" s="45"/>
      <c r="AE254" s="48">
        <v>0</v>
      </c>
      <c r="AF254" s="48"/>
      <c r="AG254" s="45">
        <v>18613537</v>
      </c>
      <c r="AH254" s="45"/>
      <c r="AI254" s="45">
        <v>3723042</v>
      </c>
      <c r="AJ254" s="45"/>
      <c r="AK254" s="45">
        <v>0</v>
      </c>
      <c r="AL254" s="45"/>
      <c r="AM254" s="45">
        <f>+'Gen rev'!U255-'Gen exp'!AC254-AG254+'Gen rev'!W255+AI254+AK254-'Gen Bal'!S255-'Gen exp'!AE254</f>
        <v>0</v>
      </c>
      <c r="AN254" s="44"/>
      <c r="AO254" s="44"/>
      <c r="AP254" s="44"/>
      <c r="AQ254" s="44"/>
    </row>
    <row r="255" spans="1:45" s="49" customFormat="1" ht="12.75" customHeight="1">
      <c r="A255" s="28" t="s">
        <v>287</v>
      </c>
      <c r="C255" s="28" t="s">
        <v>288</v>
      </c>
      <c r="E255" s="45">
        <v>3919889</v>
      </c>
      <c r="F255" s="45"/>
      <c r="G255" s="45">
        <v>770153</v>
      </c>
      <c r="H255" s="45"/>
      <c r="I255" s="45">
        <v>308729</v>
      </c>
      <c r="J255" s="45"/>
      <c r="K255" s="45">
        <v>62599</v>
      </c>
      <c r="L255" s="45"/>
      <c r="M255" s="45">
        <v>0</v>
      </c>
      <c r="N255" s="45"/>
      <c r="O255" s="45">
        <v>713564</v>
      </c>
      <c r="P255" s="45"/>
      <c r="Q255" s="45">
        <v>0</v>
      </c>
      <c r="R255" s="45"/>
      <c r="S255" s="45">
        <v>574495</v>
      </c>
      <c r="T255" s="45"/>
      <c r="U255" s="45">
        <v>0</v>
      </c>
      <c r="V255" s="45"/>
      <c r="W255" s="45">
        <v>0</v>
      </c>
      <c r="X255" s="45"/>
      <c r="Y255" s="45">
        <v>28220</v>
      </c>
      <c r="Z255" s="44"/>
      <c r="AA255" s="45">
        <v>0</v>
      </c>
      <c r="AB255" s="44"/>
      <c r="AC255" s="45">
        <f t="shared" si="6"/>
        <v>6377649</v>
      </c>
      <c r="AD255" s="45"/>
      <c r="AE255" s="48">
        <v>0</v>
      </c>
      <c r="AF255" s="48"/>
      <c r="AG255" s="45">
        <v>6673871</v>
      </c>
      <c r="AH255" s="45"/>
      <c r="AI255" s="45">
        <v>1628214</v>
      </c>
      <c r="AJ255" s="45"/>
      <c r="AK255" s="45">
        <v>0</v>
      </c>
      <c r="AL255" s="45"/>
      <c r="AM255" s="45">
        <f>+'Gen rev'!U256-'Gen exp'!AC255-AG255+'Gen rev'!W256+AI255+AK255-'Gen Bal'!S256-'Gen exp'!AE255</f>
        <v>0</v>
      </c>
      <c r="AN255" s="44"/>
      <c r="AO255" s="44"/>
      <c r="AP255" s="44"/>
      <c r="AQ255" s="44"/>
    </row>
    <row r="256" spans="1:45" s="47" customFormat="1" ht="12.75" customHeight="1">
      <c r="A256" s="50"/>
      <c r="B256" s="51"/>
      <c r="C256" s="50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51"/>
      <c r="AA256" s="49"/>
      <c r="AB256" s="51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</row>
    <row r="257" spans="1:45" s="49" customFormat="1" ht="12.75" customHeight="1">
      <c r="A257" s="50"/>
      <c r="C257" s="50"/>
      <c r="D257" s="47"/>
    </row>
    <row r="258" spans="1:45" s="49" customFormat="1" ht="12.75" customHeight="1">
      <c r="A258" s="50"/>
      <c r="C258" s="50"/>
    </row>
    <row r="259" spans="1:45" s="49" customFormat="1" ht="12.75" customHeight="1">
      <c r="A259" s="50"/>
      <c r="C259" s="50"/>
    </row>
    <row r="260" spans="1:45" s="49" customFormat="1" ht="12.75" customHeight="1">
      <c r="A260" s="50"/>
      <c r="C260" s="50"/>
    </row>
    <row r="261" spans="1:45" s="49" customFormat="1" ht="12.75" customHeight="1">
      <c r="A261" s="50"/>
      <c r="C261" s="50"/>
      <c r="D261" s="47"/>
    </row>
    <row r="262" spans="1:45" s="49" customFormat="1" ht="12.75" customHeight="1">
      <c r="A262" s="50"/>
      <c r="C262" s="50"/>
      <c r="D262" s="47"/>
    </row>
    <row r="263" spans="1:45" s="49" customFormat="1" ht="12.75" customHeight="1">
      <c r="A263" s="50"/>
      <c r="C263" s="50"/>
      <c r="D263" s="47"/>
    </row>
    <row r="264" spans="1:45" s="49" customFormat="1" ht="12.75" customHeight="1">
      <c r="A264" s="50"/>
      <c r="C264" s="50"/>
      <c r="D264" s="47"/>
    </row>
    <row r="265" spans="1:45" s="49" customFormat="1" ht="12.75" customHeight="1">
      <c r="A265" s="50"/>
      <c r="C265" s="50"/>
      <c r="D265" s="47"/>
    </row>
    <row r="266" spans="1:45" s="49" customFormat="1" ht="12.75" customHeight="1">
      <c r="A266" s="50"/>
      <c r="C266" s="50"/>
      <c r="D266" s="47"/>
    </row>
    <row r="267" spans="1:45" s="49" customFormat="1" ht="12.75" customHeight="1">
      <c r="A267" s="50"/>
      <c r="C267" s="50"/>
      <c r="D267" s="47"/>
    </row>
    <row r="268" spans="1:45" s="49" customFormat="1" ht="12.75" customHeight="1">
      <c r="A268" s="50"/>
      <c r="C268" s="50"/>
      <c r="D268" s="47"/>
    </row>
    <row r="269" spans="1:45" s="49" customFormat="1" ht="12.75" customHeight="1">
      <c r="A269" s="50"/>
      <c r="C269" s="50"/>
      <c r="D269" s="47"/>
    </row>
    <row r="270" spans="1:45" s="49" customFormat="1" ht="12.75" customHeight="1">
      <c r="A270" s="50"/>
      <c r="C270" s="50"/>
      <c r="D270" s="47"/>
      <c r="AR270" s="47"/>
      <c r="AS270" s="47"/>
    </row>
    <row r="271" spans="1:45" s="49" customFormat="1" ht="12.75" customHeight="1">
      <c r="A271" s="50"/>
      <c r="C271" s="50"/>
      <c r="D271" s="47"/>
      <c r="AR271" s="47"/>
      <c r="AS271" s="47"/>
    </row>
    <row r="272" spans="1:45" s="49" customFormat="1" ht="12.75" customHeight="1">
      <c r="A272" s="50"/>
      <c r="C272" s="50"/>
      <c r="D272" s="47"/>
      <c r="AR272" s="47"/>
      <c r="AS272" s="47"/>
    </row>
    <row r="273" spans="1:45" s="49" customFormat="1" ht="12.75" customHeight="1">
      <c r="A273" s="50"/>
      <c r="C273" s="50"/>
      <c r="D273" s="47"/>
      <c r="AR273" s="47"/>
      <c r="AS273" s="47"/>
    </row>
    <row r="274" spans="1:45" s="49" customFormat="1" ht="12.75" customHeight="1">
      <c r="A274" s="50"/>
      <c r="C274" s="50"/>
      <c r="D274" s="47"/>
      <c r="AR274" s="47"/>
      <c r="AS274" s="47"/>
    </row>
    <row r="275" spans="1:45" s="49" customFormat="1" ht="12.75" customHeight="1">
      <c r="A275" s="50"/>
      <c r="C275" s="50"/>
      <c r="D275" s="47"/>
      <c r="AR275" s="47"/>
      <c r="AS275" s="47"/>
    </row>
    <row r="276" spans="1:45" s="49" customFormat="1" ht="12.75" customHeight="1">
      <c r="A276" s="50"/>
      <c r="C276" s="50"/>
      <c r="D276" s="47"/>
      <c r="AR276" s="47"/>
      <c r="AS276" s="47"/>
    </row>
    <row r="277" spans="1:45" s="49" customFormat="1" ht="12.75" customHeight="1">
      <c r="A277" s="50"/>
      <c r="C277" s="50"/>
      <c r="D277" s="47"/>
      <c r="AR277" s="47"/>
      <c r="AS277" s="47"/>
    </row>
    <row r="278" spans="1:45" s="49" customFormat="1" ht="12.75" customHeight="1">
      <c r="A278" s="50"/>
      <c r="C278" s="50"/>
      <c r="D278" s="47"/>
      <c r="AR278" s="47"/>
      <c r="AS278" s="47"/>
    </row>
    <row r="279" spans="1:45" s="49" customFormat="1" ht="12.75" customHeight="1">
      <c r="A279" s="50"/>
      <c r="C279" s="50"/>
      <c r="D279" s="47"/>
      <c r="AR279" s="47"/>
      <c r="AS279" s="47"/>
    </row>
    <row r="280" spans="1:45" s="49" customFormat="1" ht="12.75" customHeight="1">
      <c r="A280" s="50"/>
      <c r="C280" s="50"/>
      <c r="D280" s="47"/>
      <c r="AR280" s="47"/>
      <c r="AS280" s="47"/>
    </row>
    <row r="281" spans="1:45" s="49" customFormat="1" ht="12.75" customHeight="1">
      <c r="A281" s="50"/>
      <c r="C281" s="50"/>
      <c r="D281" s="47"/>
      <c r="AR281" s="47"/>
      <c r="AS281" s="47"/>
    </row>
    <row r="282" spans="1:45" s="49" customFormat="1" ht="12.75" customHeight="1">
      <c r="A282" s="50"/>
      <c r="C282" s="50"/>
      <c r="D282" s="47"/>
      <c r="AR282" s="47"/>
      <c r="AS282" s="47"/>
    </row>
    <row r="283" spans="1:45" s="49" customFormat="1" ht="12.75" customHeight="1">
      <c r="A283" s="50"/>
      <c r="C283" s="50"/>
      <c r="D283" s="47"/>
      <c r="AR283" s="47"/>
      <c r="AS283" s="47"/>
    </row>
    <row r="284" spans="1:45" s="49" customFormat="1" ht="12.75" customHeight="1">
      <c r="A284" s="50"/>
      <c r="C284" s="50"/>
      <c r="D284" s="47"/>
      <c r="AR284" s="47"/>
      <c r="AS284" s="47"/>
    </row>
    <row r="285" spans="1:45" s="49" customFormat="1" ht="12.75" customHeight="1">
      <c r="A285" s="50"/>
      <c r="C285" s="50"/>
      <c r="D285" s="47"/>
      <c r="AR285" s="47"/>
      <c r="AS285" s="47"/>
    </row>
    <row r="286" spans="1:45" s="49" customFormat="1" ht="12.75" customHeight="1">
      <c r="A286" s="50"/>
      <c r="C286" s="50"/>
      <c r="D286" s="47"/>
      <c r="AR286" s="47"/>
      <c r="AS286" s="47"/>
    </row>
    <row r="287" spans="1:45" s="49" customFormat="1" ht="12.75" customHeight="1">
      <c r="A287" s="50"/>
      <c r="C287" s="50"/>
      <c r="D287" s="47"/>
      <c r="AR287" s="47"/>
      <c r="AS287" s="47"/>
    </row>
    <row r="288" spans="1:45" s="49" customFormat="1" ht="12.75" customHeight="1">
      <c r="A288" s="50"/>
      <c r="C288" s="50"/>
      <c r="D288" s="47"/>
      <c r="AR288" s="47"/>
      <c r="AS288" s="47"/>
    </row>
    <row r="289" spans="1:45" s="49" customFormat="1" ht="12.75" customHeight="1">
      <c r="A289" s="50"/>
      <c r="C289" s="50"/>
      <c r="D289" s="47"/>
      <c r="AR289" s="47"/>
      <c r="AS289" s="47"/>
    </row>
    <row r="290" spans="1:45" s="49" customFormat="1" ht="12.75" customHeight="1">
      <c r="A290" s="50"/>
      <c r="C290" s="50"/>
      <c r="D290" s="47"/>
      <c r="AR290" s="47"/>
      <c r="AS290" s="47"/>
    </row>
    <row r="291" spans="1:45" s="49" customFormat="1" ht="12.75" customHeight="1">
      <c r="A291" s="50"/>
      <c r="C291" s="50"/>
      <c r="D291" s="47"/>
      <c r="AR291" s="47"/>
      <c r="AS291" s="47"/>
    </row>
    <row r="292" spans="1:45" s="49" customFormat="1" ht="12.75" customHeight="1">
      <c r="A292" s="50"/>
      <c r="C292" s="50"/>
      <c r="D292" s="47"/>
      <c r="AR292" s="47"/>
      <c r="AS292" s="47"/>
    </row>
    <row r="293" spans="1:45" s="49" customFormat="1" ht="12.75" customHeight="1">
      <c r="A293" s="50"/>
      <c r="C293" s="50"/>
      <c r="D293" s="47"/>
      <c r="AR293" s="47"/>
      <c r="AS293" s="47"/>
    </row>
    <row r="294" spans="1:45" s="49" customFormat="1" ht="12.75" customHeight="1">
      <c r="A294" s="50"/>
      <c r="C294" s="50"/>
      <c r="D294" s="47"/>
      <c r="AR294" s="47"/>
      <c r="AS294" s="47"/>
    </row>
    <row r="295" spans="1:45" s="49" customFormat="1" ht="12.75" customHeight="1">
      <c r="A295" s="50"/>
      <c r="C295" s="50"/>
      <c r="D295" s="47"/>
      <c r="AR295" s="47"/>
      <c r="AS295" s="47"/>
    </row>
    <row r="296" spans="1:45" s="49" customFormat="1" ht="12.75" customHeight="1">
      <c r="A296" s="50"/>
      <c r="C296" s="50"/>
      <c r="D296" s="47"/>
      <c r="AR296" s="47"/>
      <c r="AS296" s="47"/>
    </row>
    <row r="297" spans="1:45" s="49" customFormat="1" ht="12.75" customHeight="1">
      <c r="A297" s="50"/>
      <c r="C297" s="50"/>
      <c r="D297" s="47"/>
      <c r="AR297" s="47"/>
      <c r="AS297" s="47"/>
    </row>
    <row r="298" spans="1:45" s="49" customFormat="1" ht="12.75" customHeight="1">
      <c r="A298" s="50"/>
      <c r="C298" s="50"/>
      <c r="D298" s="47"/>
      <c r="AR298" s="47"/>
      <c r="AS298" s="47"/>
    </row>
    <row r="299" spans="1:45" s="49" customFormat="1" ht="12.75" customHeight="1">
      <c r="A299" s="50"/>
      <c r="C299" s="50"/>
      <c r="D299" s="47"/>
      <c r="AR299" s="47"/>
      <c r="AS299" s="47"/>
    </row>
    <row r="300" spans="1:45" s="49" customFormat="1" ht="12.75" customHeight="1">
      <c r="A300" s="50"/>
      <c r="C300" s="50"/>
      <c r="D300" s="47"/>
      <c r="AR300" s="47"/>
      <c r="AS300" s="47"/>
    </row>
    <row r="301" spans="1:45" s="49" customFormat="1" ht="12.75" customHeight="1">
      <c r="A301" s="50"/>
      <c r="C301" s="50"/>
      <c r="D301" s="47"/>
      <c r="AR301" s="47"/>
      <c r="AS301" s="47"/>
    </row>
    <row r="302" spans="1:45" s="49" customFormat="1" ht="12.75" customHeight="1">
      <c r="A302" s="50"/>
      <c r="C302" s="50"/>
      <c r="D302" s="47"/>
      <c r="AR302" s="47"/>
      <c r="AS302" s="47"/>
    </row>
    <row r="303" spans="1:45" s="49" customFormat="1" ht="12.75" customHeight="1">
      <c r="A303" s="50"/>
      <c r="C303" s="50"/>
      <c r="D303" s="47"/>
      <c r="AR303" s="47"/>
      <c r="AS303" s="47"/>
    </row>
    <row r="304" spans="1:45" s="49" customFormat="1" ht="12.75" customHeight="1">
      <c r="A304" s="50"/>
      <c r="C304" s="50"/>
      <c r="D304" s="47"/>
      <c r="AR304" s="47"/>
      <c r="AS304" s="47"/>
    </row>
    <row r="305" spans="1:45" s="49" customFormat="1" ht="12.75" customHeight="1">
      <c r="A305" s="50"/>
      <c r="C305" s="50"/>
      <c r="D305" s="47"/>
      <c r="AR305" s="47"/>
      <c r="AS305" s="47"/>
    </row>
    <row r="306" spans="1:45" s="17" customFormat="1" ht="12.75" customHeight="1">
      <c r="A306" s="11"/>
      <c r="C306" s="11"/>
      <c r="D306" s="10"/>
      <c r="AR306" s="10"/>
      <c r="AS306" s="10"/>
    </row>
    <row r="307" spans="1:45" s="17" customFormat="1" ht="12.75" customHeight="1">
      <c r="A307" s="11"/>
      <c r="C307" s="11"/>
      <c r="D307" s="10"/>
      <c r="AR307" s="10"/>
      <c r="AS307" s="10"/>
    </row>
    <row r="308" spans="1:45" s="17" customFormat="1" ht="12.75" customHeight="1">
      <c r="A308" s="11"/>
      <c r="C308" s="11"/>
      <c r="D308" s="10"/>
      <c r="AR308" s="10"/>
      <c r="AS308" s="10"/>
    </row>
    <row r="309" spans="1:45" s="17" customFormat="1" ht="12.75" customHeight="1">
      <c r="A309" s="11"/>
      <c r="C309" s="11"/>
      <c r="D309" s="10"/>
      <c r="AR309" s="10"/>
      <c r="AS309" s="10"/>
    </row>
    <row r="310" spans="1:45" s="17" customFormat="1" ht="12.75" customHeight="1">
      <c r="A310" s="11"/>
      <c r="C310" s="11"/>
      <c r="D310" s="10"/>
      <c r="AR310" s="10"/>
      <c r="AS310" s="10"/>
    </row>
    <row r="311" spans="1:45" s="17" customFormat="1" ht="12.75" customHeight="1">
      <c r="A311" s="11"/>
      <c r="C311" s="11"/>
      <c r="D311" s="10"/>
      <c r="AR311" s="10"/>
      <c r="AS311" s="10"/>
    </row>
    <row r="312" spans="1:45" s="17" customFormat="1" ht="12.75" customHeight="1">
      <c r="A312" s="11"/>
      <c r="C312" s="11"/>
      <c r="D312" s="10"/>
      <c r="AR312" s="10"/>
      <c r="AS312" s="10"/>
    </row>
    <row r="313" spans="1:45" s="17" customFormat="1" ht="12.75" customHeight="1">
      <c r="A313" s="11"/>
      <c r="C313" s="11"/>
      <c r="D313" s="10"/>
      <c r="AR313" s="10"/>
      <c r="AS313" s="10"/>
    </row>
    <row r="314" spans="1:45" s="17" customFormat="1" ht="12.75" customHeight="1">
      <c r="A314" s="11"/>
      <c r="C314" s="11"/>
      <c r="D314" s="10"/>
      <c r="AR314" s="10"/>
      <c r="AS314" s="10"/>
    </row>
    <row r="315" spans="1:45" s="17" customFormat="1" ht="12.75" customHeight="1">
      <c r="A315" s="11"/>
      <c r="C315" s="11"/>
      <c r="D315" s="10"/>
      <c r="AR315" s="10"/>
      <c r="AS315" s="10"/>
    </row>
    <row r="316" spans="1:45" s="17" customFormat="1" ht="12.75" customHeight="1">
      <c r="A316" s="11"/>
      <c r="C316" s="11"/>
      <c r="D316" s="10"/>
      <c r="AR316" s="10"/>
      <c r="AS316" s="10"/>
    </row>
    <row r="317" spans="1:45" s="17" customFormat="1" ht="12.75" customHeight="1">
      <c r="A317" s="11"/>
      <c r="C317" s="11"/>
      <c r="D317" s="10"/>
      <c r="AR317" s="10"/>
      <c r="AS317" s="10"/>
    </row>
    <row r="318" spans="1:45" s="17" customFormat="1" ht="12.75" customHeight="1">
      <c r="A318" s="11"/>
      <c r="C318" s="11"/>
      <c r="D318" s="10"/>
      <c r="AR318" s="10"/>
      <c r="AS318" s="10"/>
    </row>
    <row r="319" spans="1:45" s="17" customFormat="1" ht="12.75" customHeight="1">
      <c r="A319" s="11"/>
      <c r="C319" s="11"/>
      <c r="D319" s="10"/>
      <c r="AR319" s="10"/>
      <c r="AS319" s="10"/>
    </row>
    <row r="320" spans="1:45" s="17" customFormat="1" ht="12.75" customHeight="1">
      <c r="A320" s="11"/>
      <c r="C320" s="11"/>
      <c r="D320" s="10"/>
      <c r="AR320" s="10"/>
      <c r="AS320" s="10"/>
    </row>
    <row r="321" spans="1:45" s="17" customFormat="1" ht="12.75" customHeight="1">
      <c r="A321" s="11"/>
      <c r="C321" s="11"/>
      <c r="D321" s="10"/>
      <c r="AR321" s="10"/>
      <c r="AS321" s="10"/>
    </row>
    <row r="322" spans="1:45" s="17" customFormat="1" ht="12.75" customHeight="1">
      <c r="A322" s="11"/>
      <c r="C322" s="11"/>
      <c r="D322" s="10"/>
      <c r="AR322" s="10"/>
      <c r="AS322" s="10"/>
    </row>
    <row r="323" spans="1:45" s="17" customFormat="1" ht="12.75" customHeight="1">
      <c r="A323" s="11"/>
      <c r="C323" s="11"/>
      <c r="D323" s="10"/>
      <c r="AR323" s="10"/>
      <c r="AS323" s="10"/>
    </row>
    <row r="324" spans="1:45" s="17" customFormat="1" ht="12.75" customHeight="1">
      <c r="A324" s="11"/>
      <c r="C324" s="11"/>
      <c r="D324" s="10"/>
      <c r="AR324" s="10"/>
      <c r="AS324" s="10"/>
    </row>
    <row r="325" spans="1:45" s="17" customFormat="1" ht="12.75" customHeight="1">
      <c r="A325" s="11"/>
      <c r="C325" s="11"/>
      <c r="D325" s="10"/>
      <c r="AR325" s="10"/>
      <c r="AS325" s="10"/>
    </row>
    <row r="326" spans="1:45" s="17" customFormat="1" ht="12.75" customHeight="1">
      <c r="A326" s="11"/>
      <c r="C326" s="11"/>
      <c r="D326" s="10"/>
      <c r="AR326" s="10"/>
      <c r="AS326" s="10"/>
    </row>
    <row r="327" spans="1:45" s="17" customFormat="1" ht="12.75" customHeight="1">
      <c r="A327" s="11"/>
      <c r="C327" s="11"/>
      <c r="D327" s="10"/>
      <c r="AR327" s="10"/>
      <c r="AS327" s="10"/>
    </row>
    <row r="328" spans="1:45" s="17" customFormat="1" ht="12.75" customHeight="1">
      <c r="A328" s="11"/>
      <c r="C328" s="11"/>
      <c r="D328" s="10"/>
      <c r="AR328" s="10"/>
      <c r="AS328" s="10"/>
    </row>
    <row r="329" spans="1:45" s="17" customFormat="1" ht="12.75" customHeight="1">
      <c r="A329" s="11"/>
      <c r="C329" s="11"/>
      <c r="D329" s="10"/>
      <c r="AR329" s="10"/>
      <c r="AS329" s="10"/>
    </row>
    <row r="330" spans="1:45" s="17" customFormat="1" ht="12.75" customHeight="1">
      <c r="A330" s="11"/>
      <c r="C330" s="11"/>
      <c r="D330" s="10"/>
      <c r="AR330" s="10"/>
      <c r="AS330" s="10"/>
    </row>
    <row r="331" spans="1:45" s="17" customFormat="1" ht="12.75" customHeight="1">
      <c r="A331" s="11"/>
      <c r="C331" s="11"/>
      <c r="D331" s="10"/>
      <c r="AR331" s="10"/>
      <c r="AS331" s="10"/>
    </row>
    <row r="332" spans="1:45" s="17" customFormat="1" ht="12.75" customHeight="1">
      <c r="A332" s="11"/>
      <c r="C332" s="11"/>
      <c r="D332" s="10"/>
      <c r="AR332" s="10"/>
      <c r="AS332" s="10"/>
    </row>
    <row r="333" spans="1:45" s="17" customFormat="1" ht="12.75" customHeight="1">
      <c r="A333" s="11"/>
      <c r="C333" s="11"/>
      <c r="D333" s="10"/>
      <c r="AR333" s="10"/>
      <c r="AS333" s="10"/>
    </row>
    <row r="334" spans="1:45" s="17" customFormat="1" ht="12.75" customHeight="1">
      <c r="A334" s="11"/>
      <c r="C334" s="11"/>
      <c r="D334" s="10"/>
      <c r="AR334" s="10"/>
      <c r="AS334" s="10"/>
    </row>
    <row r="335" spans="1:45" s="17" customFormat="1" ht="12.75" customHeight="1">
      <c r="A335" s="11"/>
      <c r="C335" s="11"/>
      <c r="D335" s="10"/>
      <c r="AR335" s="10"/>
      <c r="AS335" s="10"/>
    </row>
    <row r="336" spans="1:45" s="17" customFormat="1" ht="12.75" customHeight="1">
      <c r="A336" s="11"/>
      <c r="C336" s="11"/>
      <c r="D336" s="10"/>
      <c r="AR336" s="10"/>
      <c r="AS336" s="10"/>
    </row>
    <row r="337" spans="1:45" s="17" customFormat="1" ht="12.75" customHeight="1">
      <c r="A337" s="11"/>
      <c r="C337" s="11"/>
      <c r="D337" s="10"/>
      <c r="AR337" s="10"/>
      <c r="AS337" s="10"/>
    </row>
    <row r="338" spans="1:45" s="17" customFormat="1" ht="12.75" customHeight="1">
      <c r="A338" s="11"/>
      <c r="C338" s="11"/>
      <c r="D338" s="10"/>
      <c r="AR338" s="10"/>
      <c r="AS338" s="10"/>
    </row>
    <row r="339" spans="1:45" s="17" customFormat="1" ht="12.75" customHeight="1">
      <c r="A339" s="11"/>
      <c r="C339" s="11"/>
      <c r="D339" s="10"/>
      <c r="AR339" s="10"/>
      <c r="AS339" s="10"/>
    </row>
    <row r="340" spans="1:45" s="17" customFormat="1" ht="12.75" customHeight="1">
      <c r="A340" s="11"/>
      <c r="C340" s="11"/>
      <c r="D340" s="10"/>
      <c r="AR340" s="10"/>
      <c r="AS340" s="10"/>
    </row>
    <row r="341" spans="1:45" s="17" customFormat="1" ht="12.75" customHeight="1">
      <c r="A341" s="11"/>
      <c r="C341" s="11"/>
      <c r="D341" s="10"/>
      <c r="AR341" s="10"/>
      <c r="AS341" s="10"/>
    </row>
    <row r="342" spans="1:45" s="17" customFormat="1" ht="12.75" customHeight="1">
      <c r="A342" s="11"/>
      <c r="C342" s="11"/>
      <c r="D342" s="10"/>
      <c r="AR342" s="10"/>
      <c r="AS342" s="10"/>
    </row>
    <row r="343" spans="1:45" s="17" customFormat="1" ht="12.75" customHeight="1">
      <c r="A343" s="11"/>
      <c r="C343" s="11"/>
      <c r="D343" s="10"/>
      <c r="AR343" s="10"/>
      <c r="AS343" s="10"/>
    </row>
    <row r="344" spans="1:45" s="17" customFormat="1" ht="12.75" customHeight="1">
      <c r="A344" s="11"/>
      <c r="C344" s="11"/>
      <c r="D344" s="10"/>
      <c r="AR344" s="10"/>
      <c r="AS344" s="10"/>
    </row>
    <row r="345" spans="1:45" s="17" customFormat="1" ht="12.75" customHeight="1">
      <c r="A345" s="11"/>
      <c r="C345" s="11"/>
      <c r="D345" s="10"/>
      <c r="AR345" s="10"/>
      <c r="AS345" s="10"/>
    </row>
    <row r="346" spans="1:45" s="17" customFormat="1" ht="12.75" customHeight="1">
      <c r="A346" s="11"/>
      <c r="C346" s="11"/>
      <c r="D346" s="10"/>
      <c r="AR346" s="10"/>
      <c r="AS346" s="10"/>
    </row>
    <row r="347" spans="1:45" s="17" customFormat="1" ht="12.75" customHeight="1">
      <c r="A347" s="11"/>
      <c r="C347" s="11"/>
      <c r="D347" s="10"/>
      <c r="AR347" s="10"/>
      <c r="AS347" s="10"/>
    </row>
    <row r="348" spans="1:45" s="17" customFormat="1" ht="12.75" customHeight="1">
      <c r="A348" s="11"/>
      <c r="C348" s="11"/>
      <c r="D348" s="10"/>
      <c r="AR348" s="10"/>
      <c r="AS348" s="10"/>
    </row>
    <row r="349" spans="1:45" s="17" customFormat="1" ht="12.75" customHeight="1">
      <c r="A349" s="11"/>
      <c r="C349" s="11"/>
      <c r="D349" s="10"/>
      <c r="AR349" s="10"/>
      <c r="AS349" s="10"/>
    </row>
    <row r="350" spans="1:45" s="17" customFormat="1" ht="12.75" customHeight="1">
      <c r="A350" s="11"/>
      <c r="C350" s="11"/>
      <c r="D350" s="10"/>
      <c r="AR350" s="10"/>
      <c r="AS350" s="10"/>
    </row>
    <row r="351" spans="1:45" s="17" customFormat="1" ht="12.75" customHeight="1">
      <c r="A351" s="11"/>
      <c r="C351" s="11"/>
      <c r="D351" s="10"/>
      <c r="AR351" s="10"/>
      <c r="AS351" s="10"/>
    </row>
    <row r="352" spans="1:45" s="17" customFormat="1" ht="12.75" customHeight="1">
      <c r="A352" s="11"/>
      <c r="C352" s="11"/>
      <c r="D352" s="10"/>
      <c r="AR352" s="10"/>
      <c r="AS352" s="10"/>
    </row>
    <row r="353" spans="1:45" s="17" customFormat="1" ht="12.75" customHeight="1">
      <c r="A353" s="11"/>
      <c r="C353" s="11"/>
      <c r="D353" s="10"/>
      <c r="AR353" s="10"/>
      <c r="AS353" s="10"/>
    </row>
    <row r="354" spans="1:45" s="17" customFormat="1" ht="12.75" customHeight="1">
      <c r="A354" s="11"/>
      <c r="C354" s="11"/>
      <c r="D354" s="10"/>
      <c r="AR354" s="10"/>
      <c r="AS354" s="10"/>
    </row>
    <row r="355" spans="1:45" s="17" customFormat="1" ht="12.75" customHeight="1">
      <c r="A355" s="11"/>
      <c r="C355" s="11"/>
      <c r="D355" s="10"/>
      <c r="AR355" s="10"/>
      <c r="AS355" s="10"/>
    </row>
    <row r="356" spans="1:45" s="17" customFormat="1" ht="12.75" customHeight="1">
      <c r="A356" s="11"/>
      <c r="C356" s="11"/>
      <c r="D356" s="10"/>
      <c r="AR356" s="10"/>
      <c r="AS356" s="10"/>
    </row>
    <row r="357" spans="1:45" s="17" customFormat="1" ht="12.75" customHeight="1">
      <c r="A357" s="11"/>
      <c r="C357" s="11"/>
      <c r="D357" s="10"/>
      <c r="AR357" s="10"/>
      <c r="AS357" s="10"/>
    </row>
    <row r="358" spans="1:45" s="17" customFormat="1" ht="12.75" customHeight="1">
      <c r="A358" s="11"/>
      <c r="C358" s="11"/>
      <c r="D358" s="10"/>
      <c r="AR358" s="10"/>
      <c r="AS358" s="10"/>
    </row>
    <row r="359" spans="1:45" s="17" customFormat="1" ht="12.75" customHeight="1">
      <c r="A359" s="11"/>
      <c r="C359" s="11"/>
      <c r="D359" s="10"/>
      <c r="AR359" s="10"/>
      <c r="AS359" s="10"/>
    </row>
    <row r="360" spans="1:45" s="17" customFormat="1" ht="12.75" customHeight="1">
      <c r="A360" s="11"/>
      <c r="C360" s="11"/>
      <c r="D360" s="10"/>
      <c r="AR360" s="10"/>
      <c r="AS360" s="10"/>
    </row>
    <row r="361" spans="1:45" s="17" customFormat="1" ht="12.75" customHeight="1">
      <c r="A361" s="11"/>
      <c r="C361" s="11"/>
      <c r="D361" s="10"/>
      <c r="AR361" s="10"/>
      <c r="AS361" s="10"/>
    </row>
    <row r="362" spans="1:45" s="17" customFormat="1" ht="12.75" customHeight="1">
      <c r="A362" s="11"/>
      <c r="C362" s="11"/>
      <c r="D362" s="10"/>
      <c r="AR362" s="10"/>
      <c r="AS362" s="10"/>
    </row>
    <row r="363" spans="1:45" s="17" customFormat="1" ht="12.75" customHeight="1">
      <c r="A363" s="11"/>
      <c r="C363" s="11"/>
      <c r="D363" s="10"/>
      <c r="AR363" s="10"/>
      <c r="AS363" s="10"/>
    </row>
    <row r="364" spans="1:45" s="17" customFormat="1" ht="12.75" customHeight="1">
      <c r="A364" s="11"/>
      <c r="C364" s="11"/>
      <c r="D364" s="10"/>
      <c r="AR364" s="10"/>
      <c r="AS364" s="10"/>
    </row>
    <row r="365" spans="1:45" s="17" customFormat="1" ht="12.75" customHeight="1">
      <c r="A365" s="11"/>
      <c r="C365" s="11"/>
      <c r="D365" s="10"/>
      <c r="AR365" s="10"/>
      <c r="AS365" s="10"/>
    </row>
    <row r="366" spans="1:45" s="17" customFormat="1" ht="12.75" customHeight="1">
      <c r="A366" s="11"/>
      <c r="C366" s="11"/>
      <c r="D366" s="10"/>
      <c r="AR366" s="10"/>
      <c r="AS366" s="10"/>
    </row>
    <row r="367" spans="1:45" s="17" customFormat="1" ht="12.75" customHeight="1">
      <c r="A367" s="11"/>
      <c r="C367" s="11"/>
      <c r="D367" s="10"/>
      <c r="AR367" s="10"/>
      <c r="AS367" s="10"/>
    </row>
    <row r="368" spans="1:45" s="17" customFormat="1" ht="12.75" customHeight="1">
      <c r="A368" s="11"/>
      <c r="C368" s="11"/>
      <c r="D368" s="10"/>
      <c r="AR368" s="10"/>
      <c r="AS368" s="10"/>
    </row>
    <row r="369" spans="1:45" s="17" customFormat="1" ht="12.75" customHeight="1">
      <c r="A369" s="11"/>
      <c r="C369" s="11"/>
      <c r="D369" s="10"/>
      <c r="AR369" s="10"/>
      <c r="AS369" s="10"/>
    </row>
    <row r="370" spans="1:45" s="17" customFormat="1" ht="12.75" customHeight="1">
      <c r="A370" s="11"/>
      <c r="C370" s="11"/>
      <c r="D370" s="10"/>
      <c r="AR370" s="10"/>
      <c r="AS370" s="10"/>
    </row>
    <row r="371" spans="1:45" s="17" customFormat="1" ht="12.75" customHeight="1">
      <c r="A371" s="11"/>
      <c r="C371" s="11"/>
      <c r="D371" s="10"/>
      <c r="AR371" s="10"/>
      <c r="AS371" s="10"/>
    </row>
    <row r="372" spans="1:45" s="17" customFormat="1" ht="12.75" customHeight="1">
      <c r="A372" s="11"/>
      <c r="C372" s="11"/>
      <c r="D372" s="10"/>
      <c r="AR372" s="10"/>
      <c r="AS372" s="10"/>
    </row>
    <row r="373" spans="1:45" s="17" customFormat="1" ht="12.75" customHeight="1">
      <c r="A373" s="11"/>
      <c r="C373" s="11"/>
      <c r="D373" s="10"/>
      <c r="AR373" s="10"/>
      <c r="AS373" s="10"/>
    </row>
    <row r="374" spans="1:45" s="17" customFormat="1" ht="12.75" customHeight="1">
      <c r="A374" s="11"/>
      <c r="C374" s="11"/>
      <c r="D374" s="10"/>
      <c r="AR374" s="10"/>
      <c r="AS374" s="10"/>
    </row>
    <row r="375" spans="1:45" s="17" customFormat="1" ht="12.75" customHeight="1">
      <c r="A375" s="11"/>
      <c r="C375" s="11"/>
      <c r="D375" s="10"/>
      <c r="AR375" s="10"/>
      <c r="AS375" s="10"/>
    </row>
    <row r="376" spans="1:45" s="17" customFormat="1" ht="12.75" customHeight="1">
      <c r="A376" s="11"/>
      <c r="C376" s="11"/>
      <c r="D376" s="10"/>
      <c r="AR376" s="10"/>
      <c r="AS376" s="10"/>
    </row>
    <row r="377" spans="1:45" s="17" customFormat="1" ht="12.75" customHeight="1">
      <c r="A377" s="11"/>
      <c r="C377" s="11"/>
      <c r="D377" s="10"/>
      <c r="AR377" s="10"/>
      <c r="AS377" s="10"/>
    </row>
    <row r="378" spans="1:45" s="17" customFormat="1" ht="12.75" customHeight="1">
      <c r="A378" s="11"/>
      <c r="C378" s="11"/>
      <c r="D378" s="10"/>
      <c r="AR378" s="10"/>
      <c r="AS378" s="10"/>
    </row>
    <row r="379" spans="1:45" s="17" customFormat="1" ht="12.75" customHeight="1">
      <c r="A379" s="11"/>
      <c r="C379" s="11"/>
      <c r="D379" s="10"/>
      <c r="AR379" s="10"/>
      <c r="AS379" s="10"/>
    </row>
    <row r="380" spans="1:45" s="17" customFormat="1" ht="12.75" customHeight="1">
      <c r="A380" s="11"/>
      <c r="C380" s="11"/>
      <c r="D380" s="10"/>
      <c r="AR380" s="10"/>
      <c r="AS380" s="10"/>
    </row>
    <row r="381" spans="1:45" s="17" customFormat="1" ht="12.75" customHeight="1">
      <c r="A381" s="11"/>
      <c r="C381" s="11"/>
      <c r="D381" s="10"/>
      <c r="AR381" s="10"/>
      <c r="AS381" s="10"/>
    </row>
    <row r="382" spans="1:45" s="17" customFormat="1" ht="12.75" customHeight="1">
      <c r="A382" s="11"/>
      <c r="C382" s="11"/>
      <c r="D382" s="10"/>
      <c r="AR382" s="10"/>
      <c r="AS382" s="10"/>
    </row>
    <row r="383" spans="1:45" s="17" customFormat="1" ht="12.75" customHeight="1">
      <c r="A383" s="11"/>
      <c r="C383" s="11"/>
      <c r="D383" s="10"/>
      <c r="AR383" s="10"/>
      <c r="AS383" s="10"/>
    </row>
    <row r="384" spans="1:45" s="17" customFormat="1" ht="12.75" customHeight="1">
      <c r="A384" s="11"/>
      <c r="C384" s="11"/>
      <c r="D384" s="10"/>
      <c r="AR384" s="10"/>
      <c r="AS384" s="10"/>
    </row>
    <row r="385" spans="1:45" s="17" customFormat="1" ht="12.75" customHeight="1">
      <c r="A385" s="11"/>
      <c r="C385" s="11"/>
      <c r="D385" s="10"/>
      <c r="AR385" s="10"/>
      <c r="AS385" s="10"/>
    </row>
    <row r="386" spans="1:45" s="17" customFormat="1" ht="12.75" customHeight="1">
      <c r="A386" s="11"/>
      <c r="C386" s="11"/>
      <c r="D386" s="10"/>
      <c r="AR386" s="10"/>
      <c r="AS386" s="10"/>
    </row>
    <row r="387" spans="1:45" s="17" customFormat="1" ht="12.75" customHeight="1">
      <c r="A387" s="11"/>
      <c r="C387" s="11"/>
      <c r="D387" s="10"/>
      <c r="AR387" s="10"/>
      <c r="AS387" s="10"/>
    </row>
    <row r="388" spans="1:45" s="17" customFormat="1" ht="12.75" customHeight="1">
      <c r="A388" s="11"/>
      <c r="C388" s="11"/>
      <c r="D388" s="10"/>
      <c r="AR388" s="10"/>
      <c r="AS388" s="10"/>
    </row>
    <row r="389" spans="1:45" s="17" customFormat="1" ht="12.75" customHeight="1">
      <c r="A389" s="11"/>
      <c r="C389" s="11"/>
      <c r="D389" s="10"/>
      <c r="AR389" s="10"/>
      <c r="AS389" s="10"/>
    </row>
    <row r="390" spans="1:45" s="17" customFormat="1" ht="12.75" customHeight="1">
      <c r="A390" s="11"/>
      <c r="C390" s="11"/>
      <c r="D390" s="10"/>
      <c r="AR390" s="10"/>
      <c r="AS390" s="10"/>
    </row>
    <row r="391" spans="1:45" s="17" customFormat="1" ht="12.75" customHeight="1">
      <c r="A391" s="11"/>
      <c r="C391" s="11"/>
      <c r="D391" s="10"/>
      <c r="AR391" s="10"/>
      <c r="AS391" s="10"/>
    </row>
    <row r="392" spans="1:45" s="17" customFormat="1" ht="12.75" customHeight="1">
      <c r="A392" s="11"/>
      <c r="C392" s="11"/>
      <c r="D392" s="10"/>
      <c r="AR392" s="10"/>
      <c r="AS392" s="10"/>
    </row>
    <row r="393" spans="1:45" s="17" customFormat="1" ht="12.75" customHeight="1">
      <c r="A393" s="11"/>
      <c r="C393" s="11"/>
      <c r="D393" s="10"/>
      <c r="AR393" s="10"/>
      <c r="AS393" s="10"/>
    </row>
    <row r="394" spans="1:45" s="17" customFormat="1" ht="12.75" customHeight="1">
      <c r="A394" s="11"/>
      <c r="C394" s="11"/>
      <c r="D394" s="10"/>
      <c r="AR394" s="10"/>
      <c r="AS394" s="10"/>
    </row>
    <row r="395" spans="1:45" s="17" customFormat="1" ht="12.75" customHeight="1">
      <c r="A395" s="11"/>
      <c r="C395" s="11"/>
      <c r="D395" s="10"/>
      <c r="AR395" s="10"/>
      <c r="AS395" s="10"/>
    </row>
    <row r="396" spans="1:45" s="17" customFormat="1" ht="12.75" customHeight="1">
      <c r="A396" s="11"/>
      <c r="C396" s="11"/>
      <c r="D396" s="10"/>
      <c r="AR396" s="10"/>
      <c r="AS396" s="10"/>
    </row>
    <row r="397" spans="1:45" s="17" customFormat="1" ht="12.75" customHeight="1">
      <c r="A397" s="11"/>
      <c r="C397" s="11"/>
      <c r="D397" s="10"/>
      <c r="AR397" s="10"/>
      <c r="AS397" s="10"/>
    </row>
    <row r="398" spans="1:45" s="17" customFormat="1" ht="12.75" customHeight="1">
      <c r="A398" s="11"/>
      <c r="C398" s="11"/>
      <c r="D398" s="10"/>
      <c r="AR398" s="10"/>
      <c r="AS398" s="10"/>
    </row>
    <row r="399" spans="1:45" s="17" customFormat="1" ht="12.75" customHeight="1">
      <c r="A399" s="11"/>
      <c r="C399" s="11"/>
      <c r="D399" s="10"/>
      <c r="AR399" s="10"/>
      <c r="AS399" s="10"/>
    </row>
    <row r="400" spans="1:45" s="17" customFormat="1" ht="12.75" customHeight="1">
      <c r="A400" s="11"/>
      <c r="C400" s="11"/>
      <c r="D400" s="10"/>
      <c r="AR400" s="10"/>
      <c r="AS400" s="10"/>
    </row>
    <row r="401" spans="1:45" s="17" customFormat="1" ht="12.75" customHeight="1">
      <c r="A401" s="11"/>
      <c r="C401" s="11"/>
      <c r="D401" s="10"/>
      <c r="AR401" s="10"/>
      <c r="AS401" s="10"/>
    </row>
    <row r="402" spans="1:45" s="17" customFormat="1" ht="12.75" customHeight="1">
      <c r="A402" s="11"/>
      <c r="C402" s="11"/>
      <c r="D402" s="10"/>
      <c r="AR402" s="10"/>
      <c r="AS402" s="10"/>
    </row>
    <row r="403" spans="1:45" s="17" customFormat="1" ht="12.75" customHeight="1">
      <c r="A403" s="11"/>
      <c r="C403" s="11"/>
      <c r="D403" s="10"/>
      <c r="AR403" s="10"/>
      <c r="AS403" s="10"/>
    </row>
    <row r="404" spans="1:45" s="17" customFormat="1" ht="12.75" customHeight="1">
      <c r="A404" s="11"/>
      <c r="C404" s="11"/>
      <c r="D404" s="10"/>
      <c r="AR404" s="10"/>
      <c r="AS404" s="10"/>
    </row>
    <row r="405" spans="1:45" s="17" customFormat="1" ht="12.75" customHeight="1">
      <c r="A405" s="11"/>
      <c r="C405" s="11"/>
      <c r="D405" s="10"/>
      <c r="AR405" s="10"/>
      <c r="AS405" s="10"/>
    </row>
    <row r="406" spans="1:45" s="17" customFormat="1" ht="12.75" customHeight="1">
      <c r="A406" s="11"/>
      <c r="C406" s="11"/>
      <c r="D406" s="10"/>
      <c r="AR406" s="10"/>
      <c r="AS406" s="10"/>
    </row>
    <row r="407" spans="1:45" s="17" customFormat="1" ht="12.75" customHeight="1">
      <c r="A407" s="11"/>
      <c r="C407" s="11"/>
      <c r="D407" s="10"/>
      <c r="AR407" s="10"/>
      <c r="AS407" s="10"/>
    </row>
    <row r="408" spans="1:45" s="17" customFormat="1" ht="12.75" customHeight="1">
      <c r="A408" s="11"/>
      <c r="C408" s="11"/>
      <c r="D408" s="10"/>
      <c r="AR408" s="10"/>
      <c r="AS408" s="10"/>
    </row>
    <row r="409" spans="1:45" s="17" customFormat="1" ht="12.75" customHeight="1">
      <c r="A409" s="11"/>
      <c r="C409" s="11"/>
      <c r="D409" s="10"/>
      <c r="AR409" s="10"/>
      <c r="AS409" s="10"/>
    </row>
    <row r="410" spans="1:45" s="17" customFormat="1" ht="12.75" customHeight="1">
      <c r="A410" s="11"/>
      <c r="C410" s="11"/>
      <c r="D410" s="10"/>
      <c r="AR410" s="10"/>
      <c r="AS410" s="10"/>
    </row>
    <row r="411" spans="1:45" s="17" customFormat="1" ht="12.75" customHeight="1">
      <c r="A411" s="11"/>
      <c r="C411" s="11"/>
      <c r="D411" s="10"/>
      <c r="AR411" s="10"/>
      <c r="AS411" s="10"/>
    </row>
    <row r="412" spans="1:45" s="17" customFormat="1" ht="12.75" customHeight="1">
      <c r="A412" s="11"/>
      <c r="C412" s="11"/>
      <c r="D412" s="10"/>
      <c r="AR412" s="10"/>
      <c r="AS412" s="10"/>
    </row>
    <row r="413" spans="1:45" s="17" customFormat="1" ht="12.75" customHeight="1">
      <c r="A413" s="11"/>
      <c r="C413" s="11"/>
      <c r="D413" s="10"/>
      <c r="AR413" s="10"/>
      <c r="AS413" s="10"/>
    </row>
    <row r="414" spans="1:45" s="17" customFormat="1" ht="12.75" customHeight="1">
      <c r="A414" s="11"/>
      <c r="C414" s="11"/>
      <c r="D414" s="10"/>
      <c r="AR414" s="10"/>
      <c r="AS414" s="10"/>
    </row>
    <row r="415" spans="1:45" s="17" customFormat="1" ht="12.75" customHeight="1">
      <c r="A415" s="11"/>
      <c r="C415" s="11"/>
      <c r="D415" s="10"/>
      <c r="AR415" s="10"/>
      <c r="AS415" s="10"/>
    </row>
    <row r="416" spans="1:45" s="17" customFormat="1" ht="12.75" customHeight="1">
      <c r="A416" s="11"/>
      <c r="C416" s="11"/>
      <c r="D416" s="10"/>
      <c r="AR416" s="10"/>
      <c r="AS416" s="10"/>
    </row>
    <row r="417" spans="1:45" s="17" customFormat="1" ht="12.75" customHeight="1">
      <c r="A417" s="11"/>
      <c r="C417" s="11"/>
      <c r="D417" s="10"/>
      <c r="AR417" s="10"/>
      <c r="AS417" s="10"/>
    </row>
    <row r="418" spans="1:45" s="17" customFormat="1" ht="12.75" customHeight="1">
      <c r="A418" s="11"/>
      <c r="C418" s="11"/>
      <c r="D418" s="10"/>
      <c r="AR418" s="10"/>
      <c r="AS418" s="10"/>
    </row>
    <row r="419" spans="1:45" s="17" customFormat="1" ht="12.75" customHeight="1">
      <c r="A419" s="11"/>
      <c r="C419" s="11"/>
      <c r="D419" s="10"/>
      <c r="AR419" s="10"/>
      <c r="AS419" s="10"/>
    </row>
    <row r="420" spans="1:45" s="17" customFormat="1" ht="12.75" customHeight="1">
      <c r="A420" s="11"/>
      <c r="C420" s="11"/>
      <c r="D420" s="10"/>
      <c r="AR420" s="10"/>
      <c r="AS420" s="10"/>
    </row>
    <row r="421" spans="1:45" s="17" customFormat="1" ht="12.75" customHeight="1">
      <c r="A421" s="11"/>
      <c r="C421" s="11"/>
      <c r="D421" s="10"/>
      <c r="AR421" s="10"/>
      <c r="AS421" s="10"/>
    </row>
    <row r="422" spans="1:45" s="17" customFormat="1" ht="12.75" customHeight="1">
      <c r="A422" s="11"/>
      <c r="C422" s="11"/>
      <c r="D422" s="10"/>
      <c r="AR422" s="10"/>
      <c r="AS422" s="10"/>
    </row>
    <row r="423" spans="1:45" s="17" customFormat="1" ht="12.75" customHeight="1">
      <c r="A423" s="11"/>
      <c r="C423" s="11"/>
      <c r="D423" s="10"/>
      <c r="AR423" s="10"/>
      <c r="AS423" s="10"/>
    </row>
    <row r="424" spans="1:45" s="17" customFormat="1" ht="12.75" customHeight="1">
      <c r="A424" s="11"/>
      <c r="C424" s="11"/>
      <c r="D424" s="10"/>
      <c r="AR424" s="10"/>
      <c r="AS424" s="10"/>
    </row>
    <row r="425" spans="1:45" s="17" customFormat="1" ht="12.75" customHeight="1">
      <c r="A425" s="11"/>
      <c r="C425" s="11"/>
      <c r="D425" s="10"/>
      <c r="AR425" s="10"/>
      <c r="AS425" s="10"/>
    </row>
    <row r="426" spans="1:45" s="17" customFormat="1" ht="12.75" customHeight="1">
      <c r="A426" s="11"/>
      <c r="C426" s="11"/>
      <c r="D426" s="10"/>
      <c r="AR426" s="10"/>
      <c r="AS426" s="10"/>
    </row>
    <row r="427" spans="1:45" s="17" customFormat="1" ht="12.75" customHeight="1">
      <c r="A427" s="11"/>
      <c r="C427" s="11"/>
      <c r="D427" s="10"/>
      <c r="AR427" s="10"/>
      <c r="AS427" s="10"/>
    </row>
    <row r="428" spans="1:45" s="17" customFormat="1" ht="12.75" customHeight="1">
      <c r="A428" s="11"/>
      <c r="C428" s="11"/>
      <c r="D428" s="10"/>
      <c r="AR428" s="10"/>
      <c r="AS428" s="10"/>
    </row>
    <row r="429" spans="1:45" s="17" customFormat="1" ht="12.75" customHeight="1">
      <c r="A429" s="11"/>
      <c r="C429" s="11"/>
      <c r="D429" s="10"/>
      <c r="AR429" s="10"/>
      <c r="AS429" s="10"/>
    </row>
    <row r="430" spans="1:45" s="17" customFormat="1" ht="12.75" customHeight="1">
      <c r="A430" s="11"/>
      <c r="C430" s="11"/>
      <c r="D430" s="10"/>
      <c r="AR430" s="10"/>
      <c r="AS430" s="10"/>
    </row>
    <row r="431" spans="1:45" s="17" customFormat="1" ht="12.75" customHeight="1">
      <c r="A431" s="11"/>
      <c r="C431" s="11"/>
      <c r="D431" s="10"/>
      <c r="AR431" s="10"/>
      <c r="AS431" s="10"/>
    </row>
    <row r="432" spans="1:45" s="17" customFormat="1" ht="12.75" customHeight="1">
      <c r="A432" s="11"/>
      <c r="C432" s="11"/>
      <c r="D432" s="10"/>
      <c r="AR432" s="10"/>
      <c r="AS432" s="10"/>
    </row>
    <row r="433" spans="1:45" s="17" customFormat="1" ht="12.75" customHeight="1">
      <c r="A433" s="11"/>
      <c r="C433" s="11"/>
      <c r="D433" s="10"/>
      <c r="AR433" s="10"/>
      <c r="AS433" s="10"/>
    </row>
    <row r="434" spans="1:45" s="17" customFormat="1" ht="12.75" customHeight="1">
      <c r="A434" s="11"/>
      <c r="C434" s="11"/>
      <c r="D434" s="10"/>
      <c r="AR434" s="10"/>
      <c r="AS434" s="10"/>
    </row>
    <row r="435" spans="1:45" s="17" customFormat="1" ht="12.75" customHeight="1">
      <c r="A435" s="11"/>
      <c r="C435" s="11"/>
      <c r="D435" s="10"/>
      <c r="AR435" s="10"/>
      <c r="AS435" s="10"/>
    </row>
    <row r="436" spans="1:45" s="17" customFormat="1" ht="12.75" customHeight="1">
      <c r="A436" s="11"/>
      <c r="C436" s="11"/>
      <c r="D436" s="10"/>
      <c r="AR436" s="10"/>
      <c r="AS436" s="10"/>
    </row>
    <row r="437" spans="1:45" s="17" customFormat="1" ht="12.75" customHeight="1">
      <c r="A437" s="11"/>
      <c r="C437" s="11"/>
      <c r="D437" s="10"/>
      <c r="AR437" s="10"/>
      <c r="AS437" s="10"/>
    </row>
    <row r="438" spans="1:45" s="17" customFormat="1" ht="12.75" customHeight="1">
      <c r="A438" s="11"/>
      <c r="C438" s="11"/>
      <c r="D438" s="10"/>
      <c r="AR438" s="10"/>
      <c r="AS438" s="10"/>
    </row>
    <row r="439" spans="1:45" s="17" customFormat="1" ht="12.75" customHeight="1">
      <c r="A439" s="11"/>
      <c r="C439" s="11"/>
      <c r="D439" s="10"/>
      <c r="AR439" s="10"/>
      <c r="AS439" s="10"/>
    </row>
    <row r="440" spans="1:45" s="17" customFormat="1" ht="12.75" customHeight="1">
      <c r="A440" s="11"/>
      <c r="C440" s="11"/>
      <c r="D440" s="10"/>
      <c r="AR440" s="10"/>
      <c r="AS440" s="10"/>
    </row>
    <row r="441" spans="1:45" s="17" customFormat="1" ht="12.75" customHeight="1">
      <c r="A441" s="11"/>
      <c r="C441" s="11"/>
      <c r="D441" s="10"/>
      <c r="AR441" s="10"/>
      <c r="AS441" s="10"/>
    </row>
    <row r="442" spans="1:45" s="17" customFormat="1" ht="12.75" customHeight="1">
      <c r="A442" s="11"/>
      <c r="C442" s="11"/>
      <c r="D442" s="10"/>
      <c r="AR442" s="10"/>
      <c r="AS442" s="10"/>
    </row>
    <row r="443" spans="1:45" s="17" customFormat="1" ht="12.75" customHeight="1">
      <c r="A443" s="11"/>
      <c r="C443" s="11"/>
      <c r="D443" s="10"/>
      <c r="AR443" s="10"/>
      <c r="AS443" s="10"/>
    </row>
    <row r="444" spans="1:45" s="17" customFormat="1" ht="12.75" customHeight="1">
      <c r="A444" s="11"/>
      <c r="C444" s="11"/>
      <c r="D444" s="10"/>
      <c r="AR444" s="10"/>
      <c r="AS444" s="10"/>
    </row>
    <row r="445" spans="1:45" s="17" customFormat="1" ht="12.75" customHeight="1">
      <c r="A445" s="11"/>
      <c r="C445" s="11"/>
      <c r="D445" s="10"/>
      <c r="AR445" s="10"/>
      <c r="AS445" s="10"/>
    </row>
    <row r="446" spans="1:45" s="17" customFormat="1" ht="12.75" customHeight="1">
      <c r="A446" s="11"/>
      <c r="C446" s="11"/>
      <c r="D446" s="10"/>
      <c r="AR446" s="10"/>
      <c r="AS446" s="10"/>
    </row>
    <row r="447" spans="1:45" s="17" customFormat="1" ht="12.75" customHeight="1">
      <c r="A447" s="11"/>
      <c r="C447" s="11"/>
      <c r="D447" s="10"/>
      <c r="AR447" s="10"/>
      <c r="AS447" s="10"/>
    </row>
    <row r="448" spans="1:45" s="17" customFormat="1" ht="12.75" customHeight="1">
      <c r="A448" s="11"/>
      <c r="C448" s="11"/>
      <c r="D448" s="10"/>
      <c r="AR448" s="10"/>
      <c r="AS448" s="10"/>
    </row>
    <row r="449" spans="1:45" s="17" customFormat="1" ht="12.75" customHeight="1">
      <c r="A449" s="11"/>
      <c r="C449" s="11"/>
      <c r="D449" s="10"/>
      <c r="AR449" s="10"/>
      <c r="AS449" s="10"/>
    </row>
    <row r="450" spans="1:45" s="17" customFormat="1" ht="12.75" customHeight="1">
      <c r="A450" s="11"/>
      <c r="C450" s="11"/>
      <c r="D450" s="10"/>
      <c r="AR450" s="10"/>
      <c r="AS450" s="10"/>
    </row>
    <row r="451" spans="1:45" s="17" customFormat="1" ht="12.75" customHeight="1">
      <c r="A451" s="11"/>
      <c r="C451" s="11"/>
      <c r="D451" s="10"/>
      <c r="AR451" s="10"/>
      <c r="AS451" s="10"/>
    </row>
    <row r="452" spans="1:45" s="17" customFormat="1" ht="12.75" customHeight="1">
      <c r="A452" s="11"/>
      <c r="C452" s="11"/>
      <c r="D452" s="10"/>
      <c r="AR452" s="10"/>
      <c r="AS452" s="10"/>
    </row>
    <row r="453" spans="1:45" s="17" customFormat="1" ht="12.75" customHeight="1">
      <c r="A453" s="11"/>
      <c r="C453" s="11"/>
      <c r="D453" s="10"/>
      <c r="AR453" s="10"/>
      <c r="AS453" s="10"/>
    </row>
    <row r="454" spans="1:45" s="17" customFormat="1" ht="12.75" customHeight="1">
      <c r="A454" s="11"/>
      <c r="C454" s="11"/>
      <c r="D454" s="10"/>
      <c r="AR454" s="10"/>
      <c r="AS454" s="10"/>
    </row>
    <row r="455" spans="1:45" s="17" customFormat="1" ht="12.75" customHeight="1">
      <c r="A455" s="11"/>
      <c r="C455" s="11"/>
      <c r="D455" s="10"/>
      <c r="AR455" s="10"/>
      <c r="AS455" s="10"/>
    </row>
    <row r="456" spans="1:45" s="17" customFormat="1" ht="12.75" customHeight="1">
      <c r="A456" s="11"/>
      <c r="C456" s="11"/>
      <c r="D456" s="10"/>
      <c r="AR456" s="10"/>
      <c r="AS456" s="10"/>
    </row>
    <row r="457" spans="1:45" s="17" customFormat="1" ht="12.75" customHeight="1">
      <c r="A457" s="11"/>
      <c r="C457" s="11"/>
      <c r="D457" s="10"/>
      <c r="AR457" s="10"/>
      <c r="AS457" s="10"/>
    </row>
    <row r="458" spans="1:45" s="17" customFormat="1" ht="12.75" customHeight="1">
      <c r="A458" s="11"/>
      <c r="C458" s="11"/>
      <c r="D458" s="10"/>
      <c r="AR458" s="10"/>
      <c r="AS458" s="10"/>
    </row>
    <row r="459" spans="1:45" s="17" customFormat="1" ht="12.75" customHeight="1">
      <c r="A459" s="11"/>
      <c r="C459" s="11"/>
      <c r="D459" s="10"/>
      <c r="AR459" s="10"/>
      <c r="AS459" s="10"/>
    </row>
    <row r="460" spans="1:45" s="17" customFormat="1" ht="12.75" customHeight="1">
      <c r="A460" s="11"/>
      <c r="C460" s="11"/>
      <c r="D460" s="10"/>
      <c r="AR460" s="10"/>
      <c r="AS460" s="10"/>
    </row>
    <row r="461" spans="1:45" s="17" customFormat="1" ht="12.75" customHeight="1">
      <c r="A461" s="11"/>
      <c r="C461" s="11"/>
      <c r="D461" s="10"/>
      <c r="AR461" s="10"/>
      <c r="AS461" s="10"/>
    </row>
    <row r="462" spans="1:45" s="17" customFormat="1" ht="12.75" customHeight="1">
      <c r="A462" s="11"/>
      <c r="C462" s="11"/>
      <c r="D462" s="10"/>
      <c r="AR462" s="10"/>
      <c r="AS462" s="10"/>
    </row>
    <row r="463" spans="1:45" s="17" customFormat="1" ht="12.75" customHeight="1">
      <c r="A463" s="11"/>
      <c r="C463" s="11"/>
      <c r="D463" s="10"/>
      <c r="AR463" s="10"/>
      <c r="AS463" s="10"/>
    </row>
    <row r="464" spans="1:45" s="17" customFormat="1" ht="12.75" customHeight="1">
      <c r="A464" s="11"/>
      <c r="C464" s="11"/>
      <c r="D464" s="10"/>
      <c r="AR464" s="10"/>
      <c r="AS464" s="10"/>
    </row>
    <row r="465" spans="1:45" s="17" customFormat="1" ht="12.75" customHeight="1">
      <c r="A465" s="11"/>
      <c r="C465" s="11"/>
      <c r="D465" s="10"/>
      <c r="AR465" s="10"/>
      <c r="AS465" s="10"/>
    </row>
    <row r="466" spans="1:45" s="17" customFormat="1" ht="12.75" customHeight="1">
      <c r="A466" s="11"/>
      <c r="C466" s="11"/>
      <c r="D466" s="10"/>
      <c r="AR466" s="10"/>
      <c r="AS466" s="10"/>
    </row>
    <row r="467" spans="1:45" s="17" customFormat="1" ht="12.75" customHeight="1">
      <c r="A467" s="11"/>
      <c r="C467" s="11"/>
      <c r="D467" s="10"/>
      <c r="AR467" s="10"/>
      <c r="AS467" s="10"/>
    </row>
    <row r="468" spans="1:45" s="17" customFormat="1" ht="12.75" customHeight="1">
      <c r="A468" s="11"/>
      <c r="C468" s="11"/>
      <c r="D468" s="10"/>
      <c r="AR468" s="10"/>
      <c r="AS468" s="10"/>
    </row>
    <row r="469" spans="1:45" s="17" customFormat="1" ht="12.75" customHeight="1">
      <c r="A469" s="11"/>
      <c r="C469" s="11"/>
      <c r="D469" s="10"/>
      <c r="AR469" s="10"/>
      <c r="AS469" s="10"/>
    </row>
    <row r="470" spans="1:45" s="17" customFormat="1" ht="12.75" customHeight="1">
      <c r="A470" s="11"/>
      <c r="C470" s="11"/>
      <c r="D470" s="10"/>
      <c r="AR470" s="10"/>
      <c r="AS470" s="10"/>
    </row>
    <row r="471" spans="1:45" s="17" customFormat="1" ht="12.75" customHeight="1">
      <c r="A471" s="11"/>
      <c r="C471" s="11"/>
      <c r="D471" s="10"/>
      <c r="AR471" s="10"/>
      <c r="AS471" s="10"/>
    </row>
    <row r="472" spans="1:45" s="17" customFormat="1" ht="12.75" customHeight="1">
      <c r="A472" s="11"/>
      <c r="C472" s="11"/>
      <c r="D472" s="10"/>
      <c r="AR472" s="10"/>
      <c r="AS472" s="10"/>
    </row>
    <row r="473" spans="1:45" s="17" customFormat="1" ht="12.75" customHeight="1">
      <c r="A473" s="11"/>
      <c r="C473" s="11"/>
      <c r="D473" s="10"/>
      <c r="AR473" s="10"/>
      <c r="AS473" s="10"/>
    </row>
    <row r="474" spans="1:45" s="17" customFormat="1" ht="12.75" customHeight="1">
      <c r="A474" s="11"/>
      <c r="C474" s="11"/>
      <c r="D474" s="10"/>
      <c r="AR474" s="10"/>
      <c r="AS474" s="10"/>
    </row>
    <row r="475" spans="1:45" s="17" customFormat="1" ht="12.75" customHeight="1">
      <c r="A475" s="11"/>
      <c r="C475" s="11"/>
      <c r="D475" s="10"/>
      <c r="AR475" s="10"/>
      <c r="AS475" s="10"/>
    </row>
    <row r="476" spans="1:45" s="17" customFormat="1" ht="12.75" customHeight="1">
      <c r="A476" s="11"/>
      <c r="C476" s="11"/>
      <c r="D476" s="10"/>
      <c r="AR476" s="10"/>
      <c r="AS476" s="10"/>
    </row>
    <row r="477" spans="1:45" s="17" customFormat="1" ht="12.75" customHeight="1">
      <c r="A477" s="11"/>
      <c r="C477" s="11"/>
      <c r="D477" s="10"/>
      <c r="AR477" s="10"/>
      <c r="AS477" s="10"/>
    </row>
    <row r="478" spans="1:45" s="17" customFormat="1" ht="12.75" customHeight="1">
      <c r="A478" s="11"/>
      <c r="C478" s="11"/>
      <c r="D478" s="10"/>
      <c r="AR478" s="10"/>
      <c r="AS478" s="10"/>
    </row>
    <row r="479" spans="1:45" s="17" customFormat="1" ht="12.75" customHeight="1">
      <c r="A479" s="11"/>
      <c r="C479" s="11"/>
      <c r="D479" s="10"/>
      <c r="AR479" s="10"/>
      <c r="AS479" s="10"/>
    </row>
    <row r="480" spans="1:45" s="17" customFormat="1" ht="12.75" customHeight="1">
      <c r="A480" s="11"/>
      <c r="C480" s="11"/>
      <c r="D480" s="10"/>
      <c r="AR480" s="10"/>
      <c r="AS480" s="10"/>
    </row>
    <row r="481" spans="1:45" s="17" customFormat="1" ht="12.75" customHeight="1">
      <c r="A481" s="11"/>
      <c r="C481" s="11"/>
      <c r="D481" s="10"/>
      <c r="AR481" s="10"/>
      <c r="AS481" s="10"/>
    </row>
    <row r="482" spans="1:45" s="17" customFormat="1" ht="12.75" customHeight="1">
      <c r="A482" s="11"/>
      <c r="C482" s="11"/>
      <c r="D482" s="10"/>
      <c r="AR482" s="10"/>
      <c r="AS482" s="10"/>
    </row>
    <row r="483" spans="1:45" s="17" customFormat="1" ht="12.75" customHeight="1">
      <c r="A483" s="11"/>
      <c r="C483" s="11"/>
      <c r="D483" s="10"/>
      <c r="AR483" s="10"/>
      <c r="AS483" s="10"/>
    </row>
    <row r="484" spans="1:45" s="17" customFormat="1" ht="12.75" customHeight="1">
      <c r="A484" s="11"/>
      <c r="C484" s="11"/>
      <c r="D484" s="10"/>
      <c r="AR484" s="10"/>
      <c r="AS484" s="10"/>
    </row>
    <row r="485" spans="1:45" s="17" customFormat="1" ht="12.75" customHeight="1">
      <c r="A485" s="11"/>
      <c r="C485" s="11"/>
      <c r="D485" s="10"/>
      <c r="AR485" s="10"/>
      <c r="AS485" s="10"/>
    </row>
    <row r="486" spans="1:45" s="17" customFormat="1" ht="12.75" customHeight="1">
      <c r="A486" s="11"/>
      <c r="C486" s="11"/>
      <c r="D486" s="10"/>
      <c r="AR486" s="10"/>
      <c r="AS486" s="10"/>
    </row>
    <row r="487" spans="1:45" s="17" customFormat="1" ht="12.75" customHeight="1">
      <c r="A487" s="11"/>
      <c r="C487" s="11"/>
      <c r="D487" s="10"/>
      <c r="AR487" s="10"/>
      <c r="AS487" s="10"/>
    </row>
    <row r="488" spans="1:45" s="17" customFormat="1" ht="12.75" customHeight="1">
      <c r="A488" s="11"/>
      <c r="C488" s="11"/>
      <c r="D488" s="10"/>
      <c r="AR488" s="10"/>
      <c r="AS488" s="10"/>
    </row>
    <row r="489" spans="1:45" s="17" customFormat="1" ht="12.75" customHeight="1">
      <c r="A489" s="11"/>
      <c r="C489" s="11"/>
      <c r="D489" s="10"/>
      <c r="AR489" s="10"/>
      <c r="AS489" s="10"/>
    </row>
    <row r="490" spans="1:45" s="17" customFormat="1" ht="12.75" customHeight="1">
      <c r="A490" s="11"/>
      <c r="C490" s="11"/>
      <c r="D490" s="10"/>
      <c r="AR490" s="10"/>
      <c r="AS490" s="10"/>
    </row>
    <row r="491" spans="1:45" s="17" customFormat="1" ht="12.75" customHeight="1">
      <c r="A491" s="11"/>
      <c r="C491" s="11"/>
      <c r="D491" s="10"/>
      <c r="AR491" s="10"/>
      <c r="AS491" s="10"/>
    </row>
    <row r="492" spans="1:45" s="17" customFormat="1" ht="12.75" customHeight="1">
      <c r="A492" s="11"/>
      <c r="C492" s="11"/>
      <c r="D492" s="10"/>
      <c r="AR492" s="10"/>
      <c r="AS492" s="10"/>
    </row>
    <row r="493" spans="1:45" s="17" customFormat="1" ht="12.75" customHeight="1">
      <c r="A493" s="11"/>
      <c r="C493" s="11"/>
      <c r="D493" s="10"/>
      <c r="AR493" s="10"/>
      <c r="AS493" s="10"/>
    </row>
    <row r="494" spans="1:45" s="17" customFormat="1" ht="12.75" customHeight="1">
      <c r="A494" s="11"/>
      <c r="C494" s="11"/>
      <c r="D494" s="10"/>
      <c r="AR494" s="10"/>
      <c r="AS494" s="10"/>
    </row>
    <row r="495" spans="1:45" s="17" customFormat="1" ht="12.75" customHeight="1">
      <c r="A495" s="11"/>
      <c r="C495" s="11"/>
      <c r="D495" s="10"/>
      <c r="AR495" s="10"/>
      <c r="AS495" s="10"/>
    </row>
    <row r="496" spans="1:45" s="17" customFormat="1" ht="12.75" customHeight="1">
      <c r="A496" s="11"/>
      <c r="C496" s="11"/>
      <c r="D496" s="10"/>
      <c r="AR496" s="10"/>
      <c r="AS496" s="10"/>
    </row>
    <row r="497" spans="1:45" s="17" customFormat="1" ht="12.75" customHeight="1">
      <c r="A497" s="11"/>
      <c r="C497" s="11"/>
      <c r="D497" s="10"/>
      <c r="AR497" s="10"/>
      <c r="AS497" s="10"/>
    </row>
    <row r="498" spans="1:45" s="17" customFormat="1" ht="12.75" customHeight="1">
      <c r="A498" s="11"/>
      <c r="C498" s="11"/>
      <c r="D498" s="10"/>
      <c r="AR498" s="10"/>
      <c r="AS498" s="10"/>
    </row>
    <row r="499" spans="1:45" s="17" customFormat="1" ht="12.75" customHeight="1">
      <c r="A499" s="11"/>
      <c r="C499" s="11"/>
      <c r="D499" s="10"/>
      <c r="AR499" s="10"/>
      <c r="AS499" s="10"/>
    </row>
    <row r="500" spans="1:45" s="17" customFormat="1" ht="12.75" customHeight="1">
      <c r="A500" s="11"/>
      <c r="C500" s="11"/>
      <c r="D500" s="10"/>
      <c r="AR500" s="10"/>
      <c r="AS500" s="10"/>
    </row>
    <row r="501" spans="1:45" s="17" customFormat="1" ht="12.75" customHeight="1">
      <c r="A501" s="11"/>
      <c r="C501" s="11"/>
      <c r="D501" s="10"/>
      <c r="AR501" s="10"/>
      <c r="AS501" s="10"/>
    </row>
    <row r="502" spans="1:45" s="17" customFormat="1" ht="12.75" customHeight="1">
      <c r="A502" s="11"/>
      <c r="C502" s="11"/>
      <c r="D502" s="10"/>
      <c r="AR502" s="10"/>
      <c r="AS502" s="10"/>
    </row>
    <row r="503" spans="1:45" s="17" customFormat="1" ht="12.75" customHeight="1">
      <c r="A503" s="11"/>
      <c r="C503" s="11"/>
      <c r="D503" s="10"/>
      <c r="AR503" s="10"/>
      <c r="AS503" s="10"/>
    </row>
    <row r="504" spans="1:45" s="17" customFormat="1" ht="12.75" customHeight="1">
      <c r="A504" s="11"/>
      <c r="C504" s="11"/>
      <c r="D504" s="10"/>
      <c r="AR504" s="10"/>
      <c r="AS504" s="10"/>
    </row>
    <row r="505" spans="1:45" s="17" customFormat="1" ht="12.75" customHeight="1">
      <c r="A505" s="11"/>
      <c r="C505" s="11"/>
      <c r="D505" s="10"/>
      <c r="AR505" s="10"/>
      <c r="AS505" s="10"/>
    </row>
    <row r="506" spans="1:45" s="17" customFormat="1" ht="12.75" customHeight="1">
      <c r="A506" s="11"/>
      <c r="C506" s="11"/>
      <c r="D506" s="10"/>
      <c r="AR506" s="10"/>
      <c r="AS506" s="10"/>
    </row>
    <row r="507" spans="1:45" s="17" customFormat="1" ht="12.75" customHeight="1">
      <c r="A507" s="11"/>
      <c r="C507" s="11"/>
      <c r="D507" s="10"/>
      <c r="AR507" s="10"/>
      <c r="AS507" s="10"/>
    </row>
    <row r="508" spans="1:45" s="17" customFormat="1" ht="12.75" customHeight="1">
      <c r="A508" s="11"/>
      <c r="C508" s="11"/>
      <c r="D508" s="10"/>
      <c r="AR508" s="10"/>
      <c r="AS508" s="10"/>
    </row>
    <row r="509" spans="1:45" s="17" customFormat="1" ht="12.75" customHeight="1">
      <c r="A509" s="11"/>
      <c r="C509" s="11"/>
      <c r="D509" s="10"/>
      <c r="AR509" s="10"/>
      <c r="AS509" s="10"/>
    </row>
    <row r="510" spans="1:45" s="17" customFormat="1" ht="12.75" customHeight="1">
      <c r="A510" s="11"/>
      <c r="C510" s="11"/>
      <c r="D510" s="10"/>
      <c r="AR510" s="10"/>
      <c r="AS510" s="10"/>
    </row>
    <row r="511" spans="1:45" s="17" customFormat="1" ht="12.75" customHeight="1">
      <c r="A511" s="11"/>
      <c r="C511" s="11"/>
      <c r="D511" s="10"/>
      <c r="AR511" s="10"/>
      <c r="AS511" s="10"/>
    </row>
    <row r="512" spans="1:45" s="17" customFormat="1" ht="12.75" customHeight="1">
      <c r="A512" s="11"/>
      <c r="C512" s="11"/>
      <c r="D512" s="10"/>
      <c r="AR512" s="10"/>
      <c r="AS512" s="10"/>
    </row>
    <row r="513" spans="1:45" s="17" customFormat="1" ht="12.75" customHeight="1">
      <c r="A513" s="11"/>
      <c r="C513" s="11"/>
      <c r="D513" s="10"/>
      <c r="AR513" s="10"/>
      <c r="AS513" s="10"/>
    </row>
    <row r="514" spans="1:45" s="17" customFormat="1" ht="12.75" customHeight="1">
      <c r="A514" s="11"/>
      <c r="C514" s="11"/>
      <c r="D514" s="10"/>
      <c r="AR514" s="10"/>
      <c r="AS514" s="10"/>
    </row>
    <row r="515" spans="1:45" s="17" customFormat="1" ht="12.75" customHeight="1">
      <c r="A515" s="11"/>
      <c r="C515" s="11"/>
      <c r="D515" s="10"/>
      <c r="AR515" s="10"/>
      <c r="AS515" s="10"/>
    </row>
    <row r="516" spans="1:45" s="17" customFormat="1" ht="12.75" customHeight="1">
      <c r="A516" s="11"/>
      <c r="C516" s="11"/>
      <c r="D516" s="10"/>
      <c r="AR516" s="10"/>
      <c r="AS516" s="10"/>
    </row>
    <row r="517" spans="1:45" s="17" customFormat="1" ht="12.75" customHeight="1">
      <c r="A517" s="11"/>
      <c r="C517" s="11"/>
      <c r="D517" s="10"/>
      <c r="AR517" s="10"/>
      <c r="AS517" s="10"/>
    </row>
    <row r="518" spans="1:45" s="17" customFormat="1" ht="12.75" customHeight="1">
      <c r="A518" s="11"/>
      <c r="C518" s="11"/>
      <c r="D518" s="10"/>
      <c r="AR518" s="10"/>
      <c r="AS518" s="10"/>
    </row>
    <row r="519" spans="1:45" s="17" customFormat="1" ht="12.75" customHeight="1">
      <c r="A519" s="11"/>
      <c r="C519" s="11"/>
      <c r="D519" s="10"/>
      <c r="AR519" s="10"/>
      <c r="AS519" s="10"/>
    </row>
    <row r="520" spans="1:45" s="17" customFormat="1" ht="12.75" customHeight="1">
      <c r="A520" s="11"/>
      <c r="C520" s="11"/>
      <c r="D520" s="10"/>
      <c r="AR520" s="10"/>
      <c r="AS520" s="10"/>
    </row>
    <row r="521" spans="1:45" s="17" customFormat="1" ht="12.75" customHeight="1">
      <c r="A521" s="11"/>
      <c r="C521" s="11"/>
      <c r="D521" s="10"/>
      <c r="AR521" s="10"/>
      <c r="AS521" s="10"/>
    </row>
    <row r="522" spans="1:45" s="17" customFormat="1" ht="12.75" customHeight="1">
      <c r="A522" s="11"/>
      <c r="C522" s="11"/>
      <c r="D522" s="10"/>
      <c r="AR522" s="10"/>
      <c r="AS522" s="10"/>
    </row>
    <row r="523" spans="1:45" s="17" customFormat="1" ht="12.75" customHeight="1">
      <c r="A523" s="11"/>
      <c r="C523" s="11"/>
      <c r="D523" s="10"/>
      <c r="AR523" s="10"/>
      <c r="AS523" s="10"/>
    </row>
    <row r="524" spans="1:45" s="17" customFormat="1" ht="12.75" customHeight="1">
      <c r="A524" s="11"/>
      <c r="C524" s="11"/>
      <c r="D524" s="10"/>
      <c r="AR524" s="10"/>
      <c r="AS524" s="10"/>
    </row>
    <row r="525" spans="1:45" s="17" customFormat="1" ht="12.75" customHeight="1">
      <c r="A525" s="11"/>
      <c r="C525" s="11"/>
      <c r="D525" s="10"/>
      <c r="AR525" s="10"/>
      <c r="AS525" s="10"/>
    </row>
    <row r="526" spans="1:45" s="17" customFormat="1" ht="12.75" customHeight="1">
      <c r="A526" s="11"/>
      <c r="C526" s="11"/>
      <c r="D526" s="10"/>
      <c r="AR526" s="10"/>
      <c r="AS526" s="10"/>
    </row>
    <row r="527" spans="1:45" s="17" customFormat="1" ht="12.75" customHeight="1">
      <c r="A527" s="11"/>
      <c r="C527" s="11"/>
      <c r="D527" s="10"/>
      <c r="AR527" s="10"/>
      <c r="AS527" s="10"/>
    </row>
    <row r="528" spans="1:45" s="17" customFormat="1" ht="12.75" customHeight="1">
      <c r="A528" s="11"/>
      <c r="C528" s="11"/>
      <c r="D528" s="10"/>
      <c r="AR528" s="10"/>
      <c r="AS528" s="10"/>
    </row>
    <row r="529" spans="1:45" s="17" customFormat="1" ht="12.75" customHeight="1">
      <c r="A529" s="11"/>
      <c r="C529" s="11"/>
      <c r="D529" s="10"/>
      <c r="AR529" s="10"/>
      <c r="AS529" s="10"/>
    </row>
    <row r="530" spans="1:45" s="17" customFormat="1" ht="12.75" customHeight="1">
      <c r="A530" s="11"/>
      <c r="C530" s="11"/>
      <c r="D530" s="10"/>
      <c r="AR530" s="10"/>
      <c r="AS530" s="10"/>
    </row>
    <row r="531" spans="1:45" s="17" customFormat="1" ht="12.75" customHeight="1">
      <c r="A531" s="11"/>
      <c r="C531" s="11"/>
      <c r="D531" s="10"/>
      <c r="AR531" s="10"/>
      <c r="AS531" s="10"/>
    </row>
    <row r="532" spans="1:45" s="17" customFormat="1" ht="12.75" customHeight="1">
      <c r="A532" s="11"/>
      <c r="C532" s="11"/>
      <c r="D532" s="10"/>
      <c r="AR532" s="10"/>
      <c r="AS532" s="10"/>
    </row>
    <row r="533" spans="1:45" s="17" customFormat="1" ht="12.75" customHeight="1">
      <c r="A533" s="11"/>
      <c r="C533" s="11"/>
      <c r="D533" s="10"/>
      <c r="AR533" s="10"/>
      <c r="AS533" s="10"/>
    </row>
    <row r="534" spans="1:45" s="17" customFormat="1" ht="12.75" customHeight="1">
      <c r="A534" s="11"/>
      <c r="C534" s="11"/>
      <c r="D534" s="10"/>
      <c r="AR534" s="10"/>
      <c r="AS534" s="10"/>
    </row>
    <row r="535" spans="1:45" s="17" customFormat="1" ht="12.75" customHeight="1">
      <c r="A535" s="11"/>
      <c r="C535" s="11"/>
      <c r="D535" s="10"/>
      <c r="AR535" s="10"/>
      <c r="AS535" s="10"/>
    </row>
    <row r="536" spans="1:45" s="17" customFormat="1" ht="12.75" customHeight="1">
      <c r="A536" s="11"/>
      <c r="C536" s="11"/>
      <c r="D536" s="10"/>
      <c r="AR536" s="10"/>
      <c r="AS536" s="10"/>
    </row>
    <row r="537" spans="1:45" s="17" customFormat="1" ht="12.75" customHeight="1">
      <c r="A537" s="11"/>
      <c r="C537" s="11"/>
      <c r="D537" s="10"/>
      <c r="AR537" s="10"/>
      <c r="AS537" s="10"/>
    </row>
    <row r="538" spans="1:45" s="17" customFormat="1" ht="12.75" customHeight="1">
      <c r="A538" s="11"/>
      <c r="C538" s="11"/>
      <c r="D538" s="10"/>
      <c r="AR538" s="10"/>
      <c r="AS538" s="10"/>
    </row>
    <row r="539" spans="1:45" s="17" customFormat="1" ht="12.75" customHeight="1">
      <c r="A539" s="11"/>
      <c r="C539" s="11"/>
      <c r="D539" s="10"/>
      <c r="AR539" s="10"/>
      <c r="AS539" s="10"/>
    </row>
    <row r="540" spans="1:45" s="17" customFormat="1" ht="12.75" customHeight="1">
      <c r="A540" s="11"/>
      <c r="C540" s="11"/>
      <c r="D540" s="10"/>
      <c r="AR540" s="10"/>
      <c r="AS540" s="10"/>
    </row>
    <row r="541" spans="1:45" s="17" customFormat="1" ht="12.75" customHeight="1">
      <c r="A541" s="11"/>
      <c r="C541" s="11"/>
      <c r="D541" s="10"/>
      <c r="AR541" s="10"/>
      <c r="AS541" s="10"/>
    </row>
    <row r="542" spans="1:45" s="17" customFormat="1" ht="12.75" customHeight="1">
      <c r="A542" s="11"/>
      <c r="C542" s="11"/>
      <c r="D542" s="10"/>
      <c r="AR542" s="10"/>
      <c r="AS542" s="10"/>
    </row>
    <row r="543" spans="1:45" s="17" customFormat="1" ht="12.75" customHeight="1">
      <c r="A543" s="11"/>
      <c r="C543" s="11"/>
      <c r="D543" s="10"/>
      <c r="AR543" s="10"/>
      <c r="AS543" s="10"/>
    </row>
    <row r="544" spans="1:45" s="17" customFormat="1" ht="12.75" customHeight="1">
      <c r="A544" s="11"/>
      <c r="C544" s="11"/>
      <c r="D544" s="10"/>
      <c r="AR544" s="10"/>
      <c r="AS544" s="10"/>
    </row>
    <row r="545" spans="1:45" s="17" customFormat="1" ht="12.75" customHeight="1">
      <c r="A545" s="11"/>
      <c r="C545" s="11"/>
      <c r="D545" s="10"/>
      <c r="AR545" s="10"/>
      <c r="AS545" s="10"/>
    </row>
    <row r="546" spans="1:45" s="17" customFormat="1" ht="12.75" customHeight="1">
      <c r="A546" s="11"/>
      <c r="C546" s="11"/>
      <c r="D546" s="10"/>
      <c r="AR546" s="10"/>
      <c r="AS546" s="10"/>
    </row>
    <row r="547" spans="1:45" s="17" customFormat="1" ht="12.75" customHeight="1">
      <c r="A547" s="11"/>
      <c r="C547" s="11"/>
      <c r="D547" s="10"/>
      <c r="AR547" s="10"/>
      <c r="AS547" s="10"/>
    </row>
    <row r="548" spans="1:45" s="17" customFormat="1" ht="12.75" customHeight="1">
      <c r="A548" s="11"/>
      <c r="C548" s="11"/>
      <c r="D548" s="10"/>
      <c r="AR548" s="10"/>
      <c r="AS548" s="10"/>
    </row>
    <row r="549" spans="1:45" s="17" customFormat="1" ht="12.75" customHeight="1">
      <c r="A549" s="11"/>
      <c r="C549" s="11"/>
      <c r="D549" s="10"/>
      <c r="AR549" s="10"/>
      <c r="AS549" s="10"/>
    </row>
    <row r="550" spans="1:45" s="17" customFormat="1" ht="12.75" customHeight="1">
      <c r="A550" s="11"/>
      <c r="C550" s="11"/>
      <c r="D550" s="10"/>
      <c r="AR550" s="10"/>
      <c r="AS550" s="10"/>
    </row>
    <row r="551" spans="1:45" s="17" customFormat="1" ht="12.75" customHeight="1">
      <c r="A551" s="11"/>
      <c r="C551" s="11"/>
      <c r="D551" s="10"/>
      <c r="AR551" s="10"/>
      <c r="AS551" s="10"/>
    </row>
    <row r="552" spans="1:45" s="17" customFormat="1" ht="12.75" customHeight="1">
      <c r="A552" s="11"/>
      <c r="C552" s="11"/>
      <c r="D552" s="10"/>
      <c r="AR552" s="10"/>
      <c r="AS552" s="10"/>
    </row>
    <row r="553" spans="1:45" s="17" customFormat="1" ht="12.75" customHeight="1">
      <c r="A553" s="11"/>
      <c r="C553" s="11"/>
      <c r="D553" s="10"/>
      <c r="AR553" s="10"/>
      <c r="AS553" s="10"/>
    </row>
    <row r="554" spans="1:45" s="17" customFormat="1" ht="12.75" customHeight="1">
      <c r="A554" s="11"/>
      <c r="C554" s="11"/>
      <c r="D554" s="10"/>
      <c r="AR554" s="10"/>
      <c r="AS554" s="10"/>
    </row>
    <row r="555" spans="1:45" s="17" customFormat="1" ht="12.75" customHeight="1">
      <c r="A555" s="11"/>
      <c r="C555" s="11"/>
      <c r="D555" s="10"/>
      <c r="AR555" s="10"/>
      <c r="AS555" s="10"/>
    </row>
    <row r="556" spans="1:45" s="17" customFormat="1" ht="12.75" customHeight="1">
      <c r="A556" s="11"/>
      <c r="C556" s="11"/>
      <c r="D556" s="10"/>
      <c r="AR556" s="10"/>
      <c r="AS556" s="10"/>
    </row>
    <row r="557" spans="1:45" s="17" customFormat="1" ht="12.75" customHeight="1">
      <c r="A557" s="11"/>
      <c r="C557" s="11"/>
      <c r="D557" s="10"/>
      <c r="AR557" s="10"/>
      <c r="AS557" s="10"/>
    </row>
    <row r="558" spans="1:45" s="17" customFormat="1" ht="12.75" customHeight="1">
      <c r="A558" s="11"/>
      <c r="C558" s="11"/>
      <c r="D558" s="10"/>
      <c r="AR558" s="10"/>
      <c r="AS558" s="10"/>
    </row>
    <row r="559" spans="1:45" s="17" customFormat="1" ht="12.75" customHeight="1">
      <c r="A559" s="11"/>
      <c r="C559" s="11"/>
      <c r="D559" s="10"/>
      <c r="AR559" s="10"/>
      <c r="AS559" s="10"/>
    </row>
    <row r="560" spans="1:45" s="17" customFormat="1" ht="12.75" customHeight="1">
      <c r="A560" s="11"/>
      <c r="C560" s="11"/>
      <c r="D560" s="10"/>
      <c r="AR560" s="10"/>
      <c r="AS560" s="10"/>
    </row>
    <row r="561" spans="1:45" s="17" customFormat="1" ht="12.75" customHeight="1">
      <c r="A561" s="11"/>
      <c r="C561" s="11"/>
      <c r="D561" s="10"/>
      <c r="AR561" s="10"/>
      <c r="AS561" s="10"/>
    </row>
    <row r="562" spans="1:45" s="17" customFormat="1" ht="12.75" customHeight="1">
      <c r="A562" s="11"/>
      <c r="C562" s="11"/>
      <c r="D562" s="10"/>
      <c r="AR562" s="10"/>
      <c r="AS562" s="10"/>
    </row>
    <row r="563" spans="1:45" s="17" customFormat="1" ht="12.75" customHeight="1">
      <c r="A563" s="11"/>
      <c r="C563" s="11"/>
      <c r="D563" s="10"/>
      <c r="AR563" s="10"/>
      <c r="AS563" s="10"/>
    </row>
    <row r="564" spans="1:45" s="17" customFormat="1" ht="12.75" customHeight="1">
      <c r="A564" s="11"/>
      <c r="C564" s="11"/>
      <c r="D564" s="10"/>
      <c r="AR564" s="10"/>
      <c r="AS564" s="10"/>
    </row>
    <row r="565" spans="1:45" s="17" customFormat="1" ht="12.75" customHeight="1">
      <c r="A565" s="11"/>
      <c r="C565" s="11"/>
      <c r="D565" s="10"/>
      <c r="AR565" s="10"/>
      <c r="AS565" s="10"/>
    </row>
    <row r="566" spans="1:45" s="17" customFormat="1" ht="12.75" customHeight="1">
      <c r="A566" s="11"/>
      <c r="C566" s="11"/>
      <c r="D566" s="10"/>
      <c r="AR566" s="10"/>
      <c r="AS566" s="10"/>
    </row>
    <row r="567" spans="1:45" s="17" customFormat="1" ht="12.75" customHeight="1">
      <c r="A567" s="11"/>
      <c r="C567" s="11"/>
      <c r="D567" s="10"/>
      <c r="AR567" s="10"/>
      <c r="AS567" s="10"/>
    </row>
    <row r="568" spans="1:45" s="17" customFormat="1" ht="12.75" customHeight="1">
      <c r="A568" s="11"/>
      <c r="C568" s="11"/>
      <c r="D568" s="10"/>
      <c r="AR568" s="10"/>
      <c r="AS568" s="10"/>
    </row>
    <row r="569" spans="1:45" s="17" customFormat="1" ht="12.75" customHeight="1">
      <c r="A569" s="11"/>
      <c r="C569" s="11"/>
      <c r="D569" s="10"/>
      <c r="AR569" s="10"/>
      <c r="AS569" s="10"/>
    </row>
    <row r="570" spans="1:45" s="17" customFormat="1" ht="12.75" customHeight="1">
      <c r="A570" s="11"/>
      <c r="C570" s="11"/>
      <c r="D570" s="10"/>
      <c r="AR570" s="10"/>
      <c r="AS570" s="10"/>
    </row>
    <row r="571" spans="1:45" s="17" customFormat="1" ht="12.75" customHeight="1">
      <c r="A571" s="11"/>
      <c r="C571" s="11"/>
      <c r="D571" s="10"/>
      <c r="AR571" s="10"/>
      <c r="AS571" s="10"/>
    </row>
    <row r="572" spans="1:45" s="17" customFormat="1" ht="12.75" customHeight="1">
      <c r="A572" s="11"/>
      <c r="C572" s="11"/>
      <c r="D572" s="10"/>
      <c r="AR572" s="10"/>
      <c r="AS572" s="10"/>
    </row>
    <row r="573" spans="1:45" s="17" customFormat="1" ht="12.75" customHeight="1">
      <c r="A573" s="11"/>
      <c r="C573" s="11"/>
      <c r="D573" s="10"/>
      <c r="AR573" s="10"/>
      <c r="AS573" s="10"/>
    </row>
    <row r="574" spans="1:45" s="17" customFormat="1" ht="12.75" customHeight="1">
      <c r="A574" s="11"/>
      <c r="C574" s="11"/>
      <c r="D574" s="10"/>
      <c r="AR574" s="10"/>
      <c r="AS574" s="10"/>
    </row>
    <row r="575" spans="1:45" s="17" customFormat="1" ht="12.75" customHeight="1">
      <c r="A575" s="11"/>
      <c r="C575" s="11"/>
      <c r="D575" s="10"/>
      <c r="AR575" s="10"/>
      <c r="AS575" s="10"/>
    </row>
    <row r="576" spans="1:45" s="17" customFormat="1" ht="12.75" customHeight="1">
      <c r="A576" s="11"/>
      <c r="C576" s="11"/>
      <c r="D576" s="10"/>
      <c r="AR576" s="10"/>
      <c r="AS576" s="10"/>
    </row>
    <row r="577" spans="1:45" s="17" customFormat="1" ht="12.75" customHeight="1">
      <c r="A577" s="11"/>
      <c r="C577" s="11"/>
      <c r="D577" s="10"/>
      <c r="AR577" s="10"/>
      <c r="AS577" s="10"/>
    </row>
    <row r="578" spans="1:45" s="17" customFormat="1" ht="12.75" customHeight="1">
      <c r="A578" s="11"/>
      <c r="C578" s="11"/>
      <c r="D578" s="10"/>
      <c r="AR578" s="10"/>
      <c r="AS578" s="10"/>
    </row>
    <row r="579" spans="1:45" s="17" customFormat="1" ht="12.75" customHeight="1">
      <c r="A579" s="11"/>
      <c r="C579" s="11"/>
      <c r="D579" s="10"/>
      <c r="AR579" s="10"/>
      <c r="AS579" s="10"/>
    </row>
    <row r="580" spans="1:45" s="17" customFormat="1" ht="12.75" customHeight="1">
      <c r="A580" s="11"/>
      <c r="C580" s="11"/>
      <c r="D580" s="10"/>
      <c r="AR580" s="10"/>
      <c r="AS580" s="10"/>
    </row>
    <row r="581" spans="1:45" s="17" customFormat="1" ht="12.75" customHeight="1">
      <c r="A581" s="11"/>
      <c r="C581" s="11"/>
      <c r="D581" s="10"/>
      <c r="AR581" s="10"/>
      <c r="AS581" s="10"/>
    </row>
    <row r="582" spans="1:45" s="17" customFormat="1" ht="12.75" customHeight="1">
      <c r="A582" s="11"/>
      <c r="C582" s="11"/>
      <c r="D582" s="10"/>
      <c r="AR582" s="10"/>
      <c r="AS582" s="10"/>
    </row>
    <row r="583" spans="1:45" s="17" customFormat="1" ht="12.75" customHeight="1">
      <c r="A583" s="11"/>
      <c r="C583" s="11"/>
      <c r="D583" s="10"/>
      <c r="AR583" s="10"/>
      <c r="AS583" s="10"/>
    </row>
    <row r="584" spans="1:45" s="17" customFormat="1" ht="12.75" customHeight="1">
      <c r="A584" s="11"/>
      <c r="C584" s="11"/>
      <c r="D584" s="10"/>
      <c r="AR584" s="10"/>
      <c r="AS584" s="10"/>
    </row>
    <row r="585" spans="1:45" s="17" customFormat="1" ht="12.75" customHeight="1">
      <c r="A585" s="11"/>
      <c r="C585" s="11"/>
      <c r="D585" s="10"/>
      <c r="AR585" s="10"/>
      <c r="AS585" s="10"/>
    </row>
    <row r="586" spans="1:45" s="17" customFormat="1" ht="12.75" customHeight="1">
      <c r="A586" s="11"/>
      <c r="C586" s="11"/>
      <c r="D586" s="10"/>
      <c r="AR586" s="10"/>
      <c r="AS586" s="10"/>
    </row>
    <row r="587" spans="1:45" s="17" customFormat="1" ht="12.75" customHeight="1">
      <c r="A587" s="11"/>
      <c r="C587" s="11"/>
      <c r="D587" s="10"/>
      <c r="AR587" s="10"/>
      <c r="AS587" s="10"/>
    </row>
    <row r="588" spans="1:45" s="17" customFormat="1" ht="12.75" customHeight="1">
      <c r="A588" s="11"/>
      <c r="C588" s="11"/>
      <c r="D588" s="10"/>
      <c r="AR588" s="10"/>
      <c r="AS588" s="10"/>
    </row>
    <row r="589" spans="1:45" s="17" customFormat="1" ht="12.75" customHeight="1">
      <c r="A589" s="11"/>
      <c r="C589" s="11"/>
      <c r="D589" s="10"/>
      <c r="AR589" s="10"/>
      <c r="AS589" s="10"/>
    </row>
    <row r="590" spans="1:45" s="17" customFormat="1" ht="12.75" customHeight="1">
      <c r="A590" s="11"/>
      <c r="C590" s="11"/>
      <c r="D590" s="10"/>
      <c r="AR590" s="10"/>
      <c r="AS590" s="10"/>
    </row>
    <row r="591" spans="1:45" s="17" customFormat="1" ht="12.75" customHeight="1">
      <c r="A591" s="11"/>
      <c r="C591" s="11"/>
      <c r="D591" s="10"/>
      <c r="AR591" s="10"/>
      <c r="AS591" s="10"/>
    </row>
    <row r="592" spans="1:45" s="17" customFormat="1" ht="12.75" customHeight="1">
      <c r="A592" s="11"/>
      <c r="C592" s="11"/>
      <c r="D592" s="10"/>
      <c r="AR592" s="10"/>
      <c r="AS592" s="10"/>
    </row>
    <row r="593" spans="1:45" s="17" customFormat="1" ht="12.75" customHeight="1">
      <c r="A593" s="11"/>
      <c r="C593" s="11"/>
      <c r="D593" s="10"/>
      <c r="AR593" s="10"/>
      <c r="AS593" s="10"/>
    </row>
    <row r="594" spans="1:45" s="17" customFormat="1" ht="12.75" customHeight="1">
      <c r="A594" s="11"/>
      <c r="C594" s="11"/>
      <c r="D594" s="10"/>
      <c r="AR594" s="10"/>
      <c r="AS594" s="10"/>
    </row>
    <row r="595" spans="1:45" s="17" customFormat="1" ht="12.75" customHeight="1">
      <c r="A595" s="11"/>
      <c r="C595" s="11"/>
      <c r="D595" s="10"/>
      <c r="AR595" s="10"/>
      <c r="AS595" s="10"/>
    </row>
    <row r="596" spans="1:45" s="17" customFormat="1" ht="12.75" customHeight="1">
      <c r="A596" s="11"/>
      <c r="C596" s="11"/>
      <c r="D596" s="10"/>
      <c r="AR596" s="10"/>
      <c r="AS596" s="10"/>
    </row>
    <row r="597" spans="1:45" s="17" customFormat="1" ht="12.75" customHeight="1">
      <c r="A597" s="11"/>
      <c r="C597" s="11"/>
      <c r="D597" s="10"/>
      <c r="AR597" s="10"/>
      <c r="AS597" s="10"/>
    </row>
    <row r="598" spans="1:45" s="17" customFormat="1" ht="12.75" customHeight="1">
      <c r="A598" s="11"/>
      <c r="C598" s="11"/>
      <c r="D598" s="10"/>
      <c r="AR598" s="10"/>
      <c r="AS598" s="10"/>
    </row>
    <row r="599" spans="1:45" s="17" customFormat="1" ht="12.75" customHeight="1">
      <c r="A599" s="11"/>
      <c r="C599" s="11"/>
      <c r="D599" s="10"/>
      <c r="AR599" s="10"/>
      <c r="AS599" s="10"/>
    </row>
    <row r="600" spans="1:45" s="17" customFormat="1" ht="12.75" customHeight="1">
      <c r="A600" s="11"/>
      <c r="C600" s="11"/>
      <c r="D600" s="10"/>
      <c r="AR600" s="10"/>
      <c r="AS600" s="10"/>
    </row>
    <row r="601" spans="1:45" s="17" customFormat="1" ht="12.75" customHeight="1">
      <c r="A601" s="11"/>
      <c r="C601" s="11"/>
      <c r="D601" s="10"/>
      <c r="AR601" s="10"/>
      <c r="AS601" s="10"/>
    </row>
    <row r="602" spans="1:45" s="17" customFormat="1" ht="12.75" customHeight="1">
      <c r="A602" s="11"/>
      <c r="C602" s="11"/>
      <c r="D602" s="10"/>
      <c r="AR602" s="10"/>
      <c r="AS602" s="10"/>
    </row>
    <row r="603" spans="1:45" s="17" customFormat="1" ht="12.75" customHeight="1">
      <c r="A603" s="11"/>
      <c r="C603" s="11"/>
      <c r="D603" s="10"/>
      <c r="AR603" s="10"/>
      <c r="AS603" s="10"/>
    </row>
    <row r="604" spans="1:45" s="17" customFormat="1" ht="12.75" customHeight="1">
      <c r="A604" s="11"/>
      <c r="C604" s="11"/>
      <c r="D604" s="10"/>
      <c r="AR604" s="10"/>
      <c r="AS604" s="10"/>
    </row>
    <row r="605" spans="1:45" s="17" customFormat="1" ht="12.75" customHeight="1">
      <c r="A605" s="11"/>
      <c r="C605" s="11"/>
      <c r="D605" s="10"/>
      <c r="AR605" s="10"/>
      <c r="AS605" s="10"/>
    </row>
    <row r="606" spans="1:45" s="17" customFormat="1" ht="12.75" customHeight="1">
      <c r="A606" s="11"/>
      <c r="C606" s="11"/>
      <c r="D606" s="10"/>
      <c r="AR606" s="10"/>
      <c r="AS606" s="10"/>
    </row>
    <row r="607" spans="1:45" s="17" customFormat="1" ht="12.75" customHeight="1">
      <c r="A607" s="11"/>
      <c r="C607" s="11"/>
      <c r="D607" s="10"/>
      <c r="AR607" s="10"/>
      <c r="AS607" s="10"/>
    </row>
    <row r="608" spans="1:45" s="17" customFormat="1" ht="12.75" customHeight="1">
      <c r="A608" s="11"/>
      <c r="C608" s="11"/>
      <c r="D608" s="10"/>
      <c r="AR608" s="10"/>
      <c r="AS608" s="10"/>
    </row>
    <row r="609" spans="1:45" s="17" customFormat="1" ht="12.75" customHeight="1">
      <c r="A609" s="11"/>
      <c r="C609" s="11"/>
      <c r="D609" s="10"/>
      <c r="AR609" s="10"/>
      <c r="AS609" s="10"/>
    </row>
    <row r="610" spans="1:45" s="17" customFormat="1" ht="12.75" customHeight="1">
      <c r="A610" s="11"/>
      <c r="C610" s="11"/>
      <c r="D610" s="10"/>
      <c r="AR610" s="10"/>
      <c r="AS610" s="10"/>
    </row>
    <row r="611" spans="1:45" s="17" customFormat="1" ht="12.75" customHeight="1">
      <c r="A611" s="11"/>
      <c r="C611" s="11"/>
      <c r="D611" s="10"/>
      <c r="AR611" s="10"/>
      <c r="AS611" s="10"/>
    </row>
    <row r="612" spans="1:45" s="17" customFormat="1" ht="12.75" customHeight="1">
      <c r="A612" s="11"/>
      <c r="C612" s="11"/>
      <c r="D612" s="10"/>
      <c r="AR612" s="10"/>
      <c r="AS612" s="10"/>
    </row>
    <row r="613" spans="1:45" s="17" customFormat="1" ht="12.75" customHeight="1">
      <c r="A613" s="11"/>
      <c r="C613" s="11"/>
      <c r="D613" s="10"/>
      <c r="AR613" s="10"/>
      <c r="AS613" s="10"/>
    </row>
    <row r="614" spans="1:45" s="17" customFormat="1" ht="12.75" customHeight="1">
      <c r="A614" s="11"/>
      <c r="C614" s="11"/>
      <c r="D614" s="10"/>
      <c r="AR614" s="10"/>
      <c r="AS614" s="10"/>
    </row>
    <row r="615" spans="1:45" s="17" customFormat="1" ht="12.75" customHeight="1">
      <c r="A615" s="11"/>
      <c r="C615" s="11"/>
      <c r="D615" s="10"/>
      <c r="AR615" s="10"/>
      <c r="AS615" s="10"/>
    </row>
    <row r="616" spans="1:45" s="17" customFormat="1" ht="12.75" customHeight="1">
      <c r="A616" s="11"/>
      <c r="C616" s="11"/>
      <c r="D616" s="10"/>
      <c r="AR616" s="10"/>
      <c r="AS616" s="10"/>
    </row>
    <row r="617" spans="1:45" s="17" customFormat="1" ht="12.75" customHeight="1">
      <c r="A617" s="11"/>
      <c r="C617" s="11"/>
      <c r="D617" s="10"/>
      <c r="AR617" s="10"/>
      <c r="AS617" s="10"/>
    </row>
    <row r="618" spans="1:45" s="17" customFormat="1" ht="12.75" customHeight="1">
      <c r="A618" s="11"/>
      <c r="C618" s="11"/>
      <c r="D618" s="10"/>
      <c r="AR618" s="10"/>
      <c r="AS618" s="10"/>
    </row>
    <row r="619" spans="1:45" s="17" customFormat="1" ht="12.75" customHeight="1">
      <c r="A619" s="11"/>
      <c r="C619" s="11"/>
      <c r="D619" s="10"/>
      <c r="AR619" s="10"/>
      <c r="AS619" s="10"/>
    </row>
    <row r="620" spans="1:45" s="17" customFormat="1" ht="12.75" customHeight="1">
      <c r="A620" s="11"/>
      <c r="C620" s="11"/>
      <c r="D620" s="10"/>
      <c r="AR620" s="10"/>
      <c r="AS620" s="10"/>
    </row>
    <row r="621" spans="1:45" s="17" customFormat="1" ht="12.75" customHeight="1">
      <c r="A621" s="11"/>
      <c r="C621" s="11"/>
      <c r="D621" s="10"/>
      <c r="AR621" s="10"/>
      <c r="AS621" s="10"/>
    </row>
    <row r="622" spans="1:45" s="17" customFormat="1" ht="12.75" customHeight="1">
      <c r="A622" s="11"/>
      <c r="C622" s="11"/>
      <c r="D622" s="10"/>
      <c r="AR622" s="10"/>
      <c r="AS622" s="10"/>
    </row>
    <row r="623" spans="1:45" s="17" customFormat="1" ht="12.75" customHeight="1">
      <c r="A623" s="11"/>
      <c r="C623" s="11"/>
      <c r="D623" s="10"/>
      <c r="AR623" s="10"/>
      <c r="AS623" s="10"/>
    </row>
    <row r="624" spans="1:45" s="17" customFormat="1" ht="12.75" customHeight="1">
      <c r="A624" s="11"/>
      <c r="C624" s="11"/>
      <c r="D624" s="10"/>
      <c r="AR624" s="10"/>
      <c r="AS624" s="10"/>
    </row>
    <row r="625" spans="1:45" s="17" customFormat="1" ht="12.75" customHeight="1">
      <c r="A625" s="11"/>
      <c r="C625" s="11"/>
      <c r="D625" s="10"/>
      <c r="AR625" s="10"/>
      <c r="AS625" s="10"/>
    </row>
    <row r="626" spans="1:45" s="17" customFormat="1" ht="12.75" customHeight="1">
      <c r="A626" s="11"/>
      <c r="C626" s="11"/>
      <c r="D626" s="10"/>
      <c r="AR626" s="10"/>
      <c r="AS626" s="10"/>
    </row>
    <row r="627" spans="1:45" s="17" customFormat="1" ht="12.75" customHeight="1">
      <c r="A627" s="11"/>
      <c r="C627" s="11"/>
      <c r="D627" s="10"/>
      <c r="AR627" s="10"/>
      <c r="AS627" s="10"/>
    </row>
    <row r="628" spans="1:45" s="17" customFormat="1" ht="12.75" customHeight="1">
      <c r="A628" s="11"/>
      <c r="C628" s="11"/>
      <c r="D628" s="10"/>
      <c r="AR628" s="10"/>
      <c r="AS628" s="10"/>
    </row>
    <row r="629" spans="1:45" s="17" customFormat="1" ht="12.75" customHeight="1">
      <c r="A629" s="11"/>
      <c r="C629" s="11"/>
      <c r="D629" s="10"/>
      <c r="AR629" s="10"/>
      <c r="AS629" s="10"/>
    </row>
    <row r="630" spans="1:45" s="17" customFormat="1" ht="12.75" customHeight="1">
      <c r="A630" s="11"/>
      <c r="C630" s="11"/>
      <c r="D630" s="10"/>
      <c r="AR630" s="10"/>
      <c r="AS630" s="10"/>
    </row>
    <row r="631" spans="1:45" s="17" customFormat="1" ht="12.75" customHeight="1">
      <c r="A631" s="11"/>
      <c r="C631" s="11"/>
      <c r="D631" s="10"/>
      <c r="AR631" s="10"/>
      <c r="AS631" s="10"/>
    </row>
    <row r="632" spans="1:45" s="17" customFormat="1" ht="12.75" customHeight="1">
      <c r="A632" s="11"/>
      <c r="C632" s="11"/>
      <c r="D632" s="10"/>
      <c r="AR632" s="10"/>
      <c r="AS632" s="10"/>
    </row>
    <row r="633" spans="1:45" s="17" customFormat="1" ht="12.75" customHeight="1">
      <c r="A633" s="11"/>
      <c r="C633" s="11"/>
      <c r="D633" s="10"/>
      <c r="AR633" s="10"/>
      <c r="AS633" s="10"/>
    </row>
    <row r="634" spans="1:45" s="17" customFormat="1" ht="12.75" customHeight="1">
      <c r="A634" s="11"/>
      <c r="C634" s="11"/>
      <c r="D634" s="10"/>
      <c r="AR634" s="10"/>
      <c r="AS634" s="10"/>
    </row>
    <row r="635" spans="1:45" s="17" customFormat="1" ht="12.75" customHeight="1">
      <c r="A635" s="11"/>
      <c r="C635" s="11"/>
      <c r="D635" s="10"/>
      <c r="AR635" s="10"/>
      <c r="AS635" s="10"/>
    </row>
    <row r="636" spans="1:45" s="17" customFormat="1" ht="12.75" customHeight="1">
      <c r="A636" s="11"/>
      <c r="C636" s="11"/>
      <c r="D636" s="10"/>
      <c r="AR636" s="10"/>
      <c r="AS636" s="10"/>
    </row>
    <row r="637" spans="1:45" s="17" customFormat="1" ht="12.75" customHeight="1">
      <c r="A637" s="11"/>
      <c r="C637" s="11"/>
      <c r="D637" s="10"/>
      <c r="AR637" s="10"/>
      <c r="AS637" s="10"/>
    </row>
    <row r="638" spans="1:45" s="17" customFormat="1" ht="12.75" customHeight="1">
      <c r="A638" s="11"/>
      <c r="C638" s="11"/>
      <c r="D638" s="10"/>
      <c r="AR638" s="10"/>
      <c r="AS638" s="10"/>
    </row>
    <row r="639" spans="1:45" s="17" customFormat="1" ht="12.75" customHeight="1">
      <c r="A639" s="11"/>
      <c r="C639" s="11"/>
      <c r="D639" s="10"/>
      <c r="AR639" s="10"/>
      <c r="AS639" s="10"/>
    </row>
    <row r="640" spans="1:45" s="17" customFormat="1" ht="12.75" customHeight="1">
      <c r="A640" s="11"/>
      <c r="C640" s="11"/>
      <c r="D640" s="10"/>
      <c r="AR640" s="10"/>
      <c r="AS640" s="10"/>
    </row>
    <row r="641" spans="1:45" s="17" customFormat="1" ht="12.75" customHeight="1">
      <c r="A641" s="11"/>
      <c r="C641" s="11"/>
      <c r="D641" s="10"/>
      <c r="AR641" s="10"/>
      <c r="AS641" s="10"/>
    </row>
    <row r="642" spans="1:45" s="17" customFormat="1" ht="12.75" customHeight="1">
      <c r="A642" s="11"/>
      <c r="C642" s="11"/>
      <c r="D642" s="10"/>
      <c r="AR642" s="10"/>
      <c r="AS642" s="10"/>
    </row>
    <row r="643" spans="1:45" s="17" customFormat="1" ht="12.75" customHeight="1">
      <c r="A643" s="11"/>
      <c r="C643" s="11"/>
      <c r="D643" s="10"/>
      <c r="AR643" s="10"/>
      <c r="AS643" s="10"/>
    </row>
    <row r="644" spans="1:45" s="17" customFormat="1" ht="12.75" customHeight="1">
      <c r="A644" s="11"/>
      <c r="C644" s="11"/>
      <c r="D644" s="10"/>
      <c r="AR644" s="10"/>
      <c r="AS644" s="10"/>
    </row>
    <row r="645" spans="1:45" s="17" customFormat="1" ht="12.75" customHeight="1">
      <c r="A645" s="11"/>
      <c r="C645" s="11"/>
      <c r="D645" s="10"/>
      <c r="AR645" s="10"/>
      <c r="AS645" s="10"/>
    </row>
    <row r="646" spans="1:45" s="17" customFormat="1" ht="12.75" customHeight="1">
      <c r="A646" s="11"/>
      <c r="C646" s="11"/>
      <c r="D646" s="10"/>
      <c r="AR646" s="10"/>
      <c r="AS646" s="10"/>
    </row>
    <row r="647" spans="1:45" s="17" customFormat="1" ht="12.75" customHeight="1">
      <c r="A647" s="11"/>
      <c r="C647" s="11"/>
      <c r="D647" s="10"/>
      <c r="AR647" s="10"/>
      <c r="AS647" s="10"/>
    </row>
    <row r="648" spans="1:45" s="17" customFormat="1" ht="12.75" customHeight="1">
      <c r="A648" s="11"/>
      <c r="C648" s="11"/>
      <c r="D648" s="10"/>
      <c r="AR648" s="10"/>
      <c r="AS648" s="10"/>
    </row>
    <row r="649" spans="1:45" s="17" customFormat="1" ht="12.75" customHeight="1">
      <c r="A649" s="11"/>
      <c r="C649" s="11"/>
      <c r="D649" s="10"/>
      <c r="AR649" s="10"/>
      <c r="AS649" s="10"/>
    </row>
    <row r="650" spans="1:45" s="17" customFormat="1" ht="12.75" customHeight="1">
      <c r="A650" s="11"/>
      <c r="C650" s="11"/>
      <c r="D650" s="10"/>
      <c r="AR650" s="10"/>
      <c r="AS650" s="10"/>
    </row>
    <row r="651" spans="1:45" s="17" customFormat="1" ht="12.75" customHeight="1">
      <c r="A651" s="11"/>
      <c r="C651" s="11"/>
      <c r="D651" s="10"/>
      <c r="AR651" s="10"/>
      <c r="AS651" s="10"/>
    </row>
    <row r="652" spans="1:45" s="17" customFormat="1" ht="12.75" customHeight="1">
      <c r="A652" s="11"/>
      <c r="C652" s="11"/>
      <c r="D652" s="10"/>
      <c r="AR652" s="10"/>
      <c r="AS652" s="10"/>
    </row>
    <row r="653" spans="1:45" s="17" customFormat="1" ht="12.75" customHeight="1">
      <c r="A653" s="11"/>
      <c r="C653" s="11"/>
      <c r="D653" s="10"/>
      <c r="AR653" s="10"/>
      <c r="AS653" s="10"/>
    </row>
    <row r="654" spans="1:45" s="17" customFormat="1" ht="12.75" customHeight="1">
      <c r="A654" s="11"/>
      <c r="C654" s="11"/>
      <c r="D654" s="10"/>
      <c r="AR654" s="10"/>
      <c r="AS654" s="10"/>
    </row>
    <row r="655" spans="1:45" ht="12.75" customHeight="1">
      <c r="B655" s="10"/>
    </row>
    <row r="656" spans="1:45" ht="12.75" customHeight="1">
      <c r="B656" s="10"/>
    </row>
  </sheetData>
  <phoneticPr fontId="4" type="noConversion"/>
  <pageMargins left="0.75" right="0.75" top="0.5" bottom="0.5" header="0" footer="0.25"/>
  <pageSetup scale="82" firstPageNumber="60" pageOrder="overThenDown" orientation="portrait" useFirstPageNumber="1" r:id="rId1"/>
  <headerFooter alignWithMargins="0">
    <oddFooter>&amp;C&amp;"Times New Roman,Regular"&amp;12&amp;P</oddFooter>
  </headerFooter>
  <rowBreaks count="1" manualBreakCount="1">
    <brk id="71" max="32" man="1"/>
  </rowBreaks>
  <colBreaks count="1" manualBreakCount="1">
    <brk id="16" min="9" max="2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X337"/>
  <sheetViews>
    <sheetView view="pageBreakPreview" zoomScale="75" zoomScaleNormal="100" zoomScaleSheetLayoutView="75" workbookViewId="0">
      <pane xSplit="3" ySplit="8" topLeftCell="D205" activePane="bottomRight" state="frozen"/>
      <selection pane="topRight" activeCell="D1" sqref="D1"/>
      <selection pane="bottomLeft" activeCell="A11" sqref="A11"/>
      <selection pane="bottomRight" activeCell="A5" sqref="A5"/>
    </sheetView>
  </sheetViews>
  <sheetFormatPr defaultColWidth="9.140625" defaultRowHeight="12.75" customHeight="1"/>
  <cols>
    <col min="1" max="1" width="16.28515625" style="110" customWidth="1"/>
    <col min="2" max="2" width="2.85546875" style="111" customWidth="1"/>
    <col min="3" max="3" width="14.42578125" style="110" customWidth="1"/>
    <col min="4" max="4" width="2.140625" style="111" customWidth="1"/>
    <col min="5" max="5" width="12.7109375" style="110" customWidth="1"/>
    <col min="6" max="6" width="2.140625" style="110" customWidth="1"/>
    <col min="7" max="7" width="12.28515625" style="110" customWidth="1"/>
    <col min="8" max="8" width="2.140625" style="110" customWidth="1"/>
    <col min="9" max="9" width="12.140625" style="110" customWidth="1"/>
    <col min="10" max="10" width="2.7109375" style="110" customWidth="1"/>
    <col min="11" max="11" width="12.28515625" style="110" customWidth="1"/>
    <col min="12" max="12" width="1.7109375" style="110" customWidth="1"/>
    <col min="13" max="13" width="13.7109375" style="110" customWidth="1"/>
    <col min="14" max="14" width="2.42578125" style="110" customWidth="1"/>
    <col min="15" max="15" width="13" style="110" customWidth="1"/>
    <col min="16" max="16" width="2.42578125" style="110" customWidth="1"/>
    <col min="17" max="17" width="13.28515625" style="110" customWidth="1"/>
    <col min="18" max="18" width="2.7109375" style="110" customWidth="1"/>
    <col min="19" max="19" width="14" style="112" customWidth="1"/>
    <col min="20" max="20" width="2.7109375" style="110" customWidth="1"/>
    <col min="21" max="21" width="12.85546875" style="113" customWidth="1"/>
    <col min="22" max="22" width="2.7109375" style="111" customWidth="1"/>
    <col min="23" max="23" width="12.7109375" style="2" customWidth="1"/>
    <col min="24" max="24" width="11.7109375" style="111" bestFit="1" customWidth="1"/>
    <col min="25" max="16384" width="9.140625" style="111"/>
  </cols>
  <sheetData>
    <row r="1" spans="1:23" s="109" customFormat="1" ht="12.75" customHeight="1">
      <c r="A1" s="23" t="s">
        <v>493</v>
      </c>
      <c r="C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"/>
      <c r="T1" s="24"/>
      <c r="U1" s="73"/>
      <c r="V1" s="27"/>
      <c r="W1" s="1"/>
    </row>
    <row r="2" spans="1:23" s="109" customFormat="1" ht="12.75" customHeight="1">
      <c r="A2" s="23" t="s">
        <v>501</v>
      </c>
      <c r="C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2"/>
      <c r="T2" s="24"/>
      <c r="U2" s="73"/>
      <c r="V2" s="27"/>
      <c r="W2" s="1"/>
    </row>
    <row r="3" spans="1:23" s="109" customFormat="1" ht="12.75" customHeight="1">
      <c r="A3" s="24" t="s">
        <v>289</v>
      </c>
      <c r="C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2"/>
      <c r="T3" s="24"/>
      <c r="U3" s="73"/>
      <c r="V3" s="27"/>
      <c r="W3" s="1"/>
    </row>
    <row r="4" spans="1:23" ht="12.75" customHeight="1">
      <c r="A4" s="152" t="s">
        <v>484</v>
      </c>
    </row>
    <row r="6" spans="1:23" s="114" customFormat="1" ht="12.75" customHeight="1">
      <c r="A6" s="23"/>
      <c r="C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6"/>
      <c r="T6" s="25"/>
      <c r="U6" s="37"/>
      <c r="V6" s="15"/>
      <c r="W6" s="3" t="s">
        <v>294</v>
      </c>
    </row>
    <row r="7" spans="1:23" s="114" customFormat="1" ht="12.75" customHeight="1">
      <c r="A7" s="25"/>
      <c r="C7" s="25"/>
      <c r="E7" s="25" t="s">
        <v>293</v>
      </c>
      <c r="F7" s="25"/>
      <c r="G7" s="25" t="s">
        <v>326</v>
      </c>
      <c r="H7" s="25"/>
      <c r="I7" s="25" t="s">
        <v>294</v>
      </c>
      <c r="J7" s="25"/>
      <c r="K7" s="25" t="s">
        <v>292</v>
      </c>
      <c r="L7" s="25"/>
      <c r="M7" s="25" t="s">
        <v>327</v>
      </c>
      <c r="N7" s="25"/>
      <c r="O7" s="25" t="s">
        <v>328</v>
      </c>
      <c r="P7" s="25"/>
      <c r="Q7" s="25" t="s">
        <v>329</v>
      </c>
      <c r="R7" s="25"/>
      <c r="S7" s="6" t="s">
        <v>330</v>
      </c>
      <c r="T7" s="25"/>
      <c r="U7" s="6" t="s">
        <v>6</v>
      </c>
      <c r="V7" s="15"/>
      <c r="W7" s="3" t="s">
        <v>434</v>
      </c>
    </row>
    <row r="8" spans="1:23" s="115" customFormat="1" ht="12.75" customHeight="1">
      <c r="A8" s="99" t="s">
        <v>8</v>
      </c>
      <c r="C8" s="99" t="s">
        <v>9</v>
      </c>
      <c r="E8" s="100" t="s">
        <v>423</v>
      </c>
      <c r="F8" s="26"/>
      <c r="G8" s="100" t="s">
        <v>299</v>
      </c>
      <c r="H8" s="26"/>
      <c r="I8" s="100" t="s">
        <v>299</v>
      </c>
      <c r="J8" s="26"/>
      <c r="K8" s="100" t="s">
        <v>297</v>
      </c>
      <c r="L8" s="26"/>
      <c r="M8" s="100" t="s">
        <v>331</v>
      </c>
      <c r="N8" s="26"/>
      <c r="O8" s="100" t="s">
        <v>332</v>
      </c>
      <c r="P8" s="26"/>
      <c r="Q8" s="100" t="s">
        <v>401</v>
      </c>
      <c r="R8" s="26"/>
      <c r="S8" s="78" t="s">
        <v>323</v>
      </c>
      <c r="T8" s="26"/>
      <c r="U8" s="78" t="s">
        <v>302</v>
      </c>
      <c r="V8" s="18"/>
      <c r="W8" s="7" t="s">
        <v>435</v>
      </c>
    </row>
    <row r="9" spans="1:23" s="115" customFormat="1" ht="12.75" customHeight="1">
      <c r="A9" s="26"/>
      <c r="C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8"/>
      <c r="T9" s="26"/>
      <c r="U9" s="53"/>
      <c r="V9" s="18"/>
      <c r="W9" s="81"/>
    </row>
    <row r="10" spans="1:23" s="117" customFormat="1" ht="12.75" customHeight="1">
      <c r="A10" s="44" t="s">
        <v>12</v>
      </c>
      <c r="B10" s="116"/>
      <c r="C10" s="44" t="s">
        <v>13</v>
      </c>
      <c r="D10" s="35"/>
      <c r="E10" s="94">
        <v>27917658</v>
      </c>
      <c r="F10" s="94"/>
      <c r="G10" s="94">
        <v>120606323</v>
      </c>
      <c r="H10" s="94"/>
      <c r="I10" s="94">
        <v>15476781</v>
      </c>
      <c r="J10" s="94"/>
      <c r="K10" s="94">
        <v>29564397</v>
      </c>
      <c r="L10" s="94"/>
      <c r="M10" s="94">
        <v>6006871</v>
      </c>
      <c r="N10" s="94"/>
      <c r="O10" s="94">
        <v>15567437</v>
      </c>
      <c r="P10" s="94"/>
      <c r="Q10" s="94">
        <v>7456839</v>
      </c>
      <c r="R10" s="94"/>
      <c r="S10" s="46">
        <f t="shared" ref="S10:S71" si="0">+U10-SUM(E10:Q10)</f>
        <v>99911039</v>
      </c>
      <c r="T10" s="94"/>
      <c r="U10" s="79">
        <v>322507345</v>
      </c>
      <c r="V10" s="46"/>
      <c r="W10" s="46">
        <f>12884092+574903+676207+31868200</f>
        <v>46003402</v>
      </c>
    </row>
    <row r="11" spans="1:23" s="118" customFormat="1" ht="12.75" customHeight="1">
      <c r="A11" s="44" t="s">
        <v>14</v>
      </c>
      <c r="C11" s="44" t="s">
        <v>15</v>
      </c>
      <c r="D11" s="35"/>
      <c r="E11" s="45">
        <v>980354</v>
      </c>
      <c r="F11" s="45"/>
      <c r="G11" s="45">
        <v>8516605</v>
      </c>
      <c r="H11" s="45"/>
      <c r="I11" s="45">
        <v>0</v>
      </c>
      <c r="J11" s="45"/>
      <c r="K11" s="45">
        <v>286138</v>
      </c>
      <c r="L11" s="45"/>
      <c r="M11" s="45">
        <v>4248142</v>
      </c>
      <c r="N11" s="45"/>
      <c r="O11" s="45">
        <v>63244</v>
      </c>
      <c r="P11" s="45"/>
      <c r="Q11" s="45">
        <f>177116+553954</f>
        <v>731070</v>
      </c>
      <c r="R11" s="45"/>
      <c r="S11" s="44">
        <f t="shared" si="0"/>
        <v>1140831</v>
      </c>
      <c r="T11" s="45"/>
      <c r="U11" s="45">
        <v>15966384</v>
      </c>
      <c r="V11" s="44"/>
      <c r="W11" s="45">
        <v>1030531</v>
      </c>
    </row>
    <row r="12" spans="1:23" s="116" customFormat="1" ht="12.75" customHeight="1">
      <c r="A12" s="44" t="s">
        <v>16</v>
      </c>
      <c r="C12" s="44" t="s">
        <v>17</v>
      </c>
      <c r="D12" s="35"/>
      <c r="E12" s="45">
        <v>1367188</v>
      </c>
      <c r="F12" s="45"/>
      <c r="G12" s="45">
        <v>4141089</v>
      </c>
      <c r="H12" s="45"/>
      <c r="I12" s="45">
        <v>0</v>
      </c>
      <c r="J12" s="45"/>
      <c r="K12" s="45">
        <v>330960</v>
      </c>
      <c r="L12" s="45"/>
      <c r="M12" s="45">
        <v>1762852</v>
      </c>
      <c r="N12" s="45"/>
      <c r="O12" s="45">
        <v>0</v>
      </c>
      <c r="P12" s="45"/>
      <c r="Q12" s="45">
        <f>159688+77645</f>
        <v>237333</v>
      </c>
      <c r="R12" s="45"/>
      <c r="S12" s="44">
        <f t="shared" si="0"/>
        <v>574411</v>
      </c>
      <c r="T12" s="45"/>
      <c r="U12" s="45">
        <v>8413833</v>
      </c>
      <c r="V12" s="44"/>
      <c r="W12" s="45">
        <f>38620+376113</f>
        <v>414733</v>
      </c>
    </row>
    <row r="13" spans="1:23" s="116" customFormat="1" ht="12.75" customHeight="1">
      <c r="A13" s="44" t="s">
        <v>18</v>
      </c>
      <c r="C13" s="44" t="s">
        <v>18</v>
      </c>
      <c r="D13" s="35"/>
      <c r="E13" s="45">
        <v>1158112</v>
      </c>
      <c r="F13" s="45"/>
      <c r="G13" s="45">
        <v>7840484</v>
      </c>
      <c r="H13" s="45"/>
      <c r="I13" s="45">
        <v>0</v>
      </c>
      <c r="J13" s="45"/>
      <c r="K13" s="45">
        <v>2666577</v>
      </c>
      <c r="L13" s="45"/>
      <c r="M13" s="45">
        <v>3259390</v>
      </c>
      <c r="N13" s="45"/>
      <c r="O13" s="45">
        <v>0</v>
      </c>
      <c r="P13" s="45"/>
      <c r="Q13" s="45">
        <f>53418+1082464</f>
        <v>1135882</v>
      </c>
      <c r="R13" s="45"/>
      <c r="S13" s="44">
        <f t="shared" si="0"/>
        <v>928717</v>
      </c>
      <c r="T13" s="45"/>
      <c r="U13" s="45">
        <v>16989162</v>
      </c>
      <c r="V13" s="44"/>
      <c r="W13" s="45">
        <f>725959+57106</f>
        <v>783065</v>
      </c>
    </row>
    <row r="14" spans="1:23" s="116" customFormat="1" ht="12.75" customHeight="1">
      <c r="A14" s="44" t="s">
        <v>19</v>
      </c>
      <c r="C14" s="44" t="s">
        <v>19</v>
      </c>
      <c r="D14" s="35"/>
      <c r="E14" s="45">
        <v>2151450</v>
      </c>
      <c r="F14" s="45"/>
      <c r="G14" s="45">
        <v>6254545</v>
      </c>
      <c r="H14" s="45"/>
      <c r="I14" s="45">
        <v>0</v>
      </c>
      <c r="J14" s="45"/>
      <c r="K14" s="45">
        <v>2013439</v>
      </c>
      <c r="L14" s="45"/>
      <c r="M14" s="45">
        <v>3344447</v>
      </c>
      <c r="N14" s="45"/>
      <c r="O14" s="45">
        <v>35975</v>
      </c>
      <c r="P14" s="45"/>
      <c r="Q14" s="45">
        <f>295278+838037</f>
        <v>1133315</v>
      </c>
      <c r="R14" s="45"/>
      <c r="S14" s="44">
        <f t="shared" si="0"/>
        <v>409546</v>
      </c>
      <c r="T14" s="45"/>
      <c r="U14" s="45">
        <v>15342717</v>
      </c>
      <c r="V14" s="44"/>
      <c r="W14" s="45">
        <f>250000+699+3975+724200</f>
        <v>978874</v>
      </c>
    </row>
    <row r="15" spans="1:23" s="116" customFormat="1" ht="12.75" customHeight="1">
      <c r="A15" s="44" t="s">
        <v>20</v>
      </c>
      <c r="C15" s="44" t="s">
        <v>20</v>
      </c>
      <c r="D15" s="35"/>
      <c r="E15" s="45">
        <v>810905</v>
      </c>
      <c r="F15" s="45"/>
      <c r="G15" s="45">
        <v>9831602</v>
      </c>
      <c r="H15" s="45"/>
      <c r="I15" s="45">
        <v>254319</v>
      </c>
      <c r="J15" s="45"/>
      <c r="K15" s="45">
        <v>1813557</v>
      </c>
      <c r="L15" s="45"/>
      <c r="M15" s="45">
        <v>3864486</v>
      </c>
      <c r="N15" s="45"/>
      <c r="O15" s="45">
        <v>7200</v>
      </c>
      <c r="P15" s="45"/>
      <c r="Q15" s="45">
        <f>711019+1326959</f>
        <v>2037978</v>
      </c>
      <c r="R15" s="45"/>
      <c r="S15" s="44">
        <f t="shared" si="0"/>
        <v>964141</v>
      </c>
      <c r="T15" s="45"/>
      <c r="U15" s="45">
        <v>19584188</v>
      </c>
      <c r="V15" s="44"/>
      <c r="W15" s="45">
        <v>897980</v>
      </c>
    </row>
    <row r="16" spans="1:23" s="116" customFormat="1" ht="12.75" customHeight="1">
      <c r="A16" s="44" t="s">
        <v>21</v>
      </c>
      <c r="C16" s="44" t="s">
        <v>22</v>
      </c>
      <c r="D16" s="35"/>
      <c r="E16" s="45">
        <v>4046386</v>
      </c>
      <c r="F16" s="45"/>
      <c r="G16" s="45">
        <v>9645538</v>
      </c>
      <c r="H16" s="45"/>
      <c r="I16" s="45">
        <v>922373</v>
      </c>
      <c r="J16" s="45"/>
      <c r="K16" s="45">
        <v>490421</v>
      </c>
      <c r="L16" s="45"/>
      <c r="M16" s="45">
        <v>2662419</v>
      </c>
      <c r="N16" s="45"/>
      <c r="O16" s="45">
        <v>0</v>
      </c>
      <c r="P16" s="45"/>
      <c r="Q16" s="45">
        <f>35508+165187</f>
        <v>200695</v>
      </c>
      <c r="R16" s="45"/>
      <c r="S16" s="44">
        <f t="shared" si="0"/>
        <v>460875</v>
      </c>
      <c r="T16" s="45"/>
      <c r="U16" s="45">
        <v>18428707</v>
      </c>
      <c r="V16" s="44"/>
      <c r="W16" s="45">
        <v>2023530</v>
      </c>
    </row>
    <row r="17" spans="1:23" s="116" customFormat="1" ht="12.75" customHeight="1">
      <c r="A17" s="44" t="s">
        <v>23</v>
      </c>
      <c r="C17" s="44" t="s">
        <v>17</v>
      </c>
      <c r="D17" s="35"/>
      <c r="E17" s="45">
        <v>4330690</v>
      </c>
      <c r="F17" s="45"/>
      <c r="G17" s="45">
        <v>9378759</v>
      </c>
      <c r="H17" s="45"/>
      <c r="I17" s="45">
        <v>668139</v>
      </c>
      <c r="J17" s="45"/>
      <c r="K17" s="45">
        <v>903298</v>
      </c>
      <c r="L17" s="45"/>
      <c r="M17" s="45">
        <v>3672996</v>
      </c>
      <c r="N17" s="45"/>
      <c r="O17" s="45">
        <v>240379</v>
      </c>
      <c r="P17" s="45"/>
      <c r="Q17" s="45">
        <f>745232+115165</f>
        <v>860397</v>
      </c>
      <c r="R17" s="45"/>
      <c r="S17" s="44">
        <f t="shared" si="0"/>
        <v>1815682</v>
      </c>
      <c r="T17" s="45"/>
      <c r="U17" s="45">
        <v>21870340</v>
      </c>
      <c r="V17" s="44"/>
      <c r="W17" s="45">
        <f>32890000+5600000+376678+8676343</f>
        <v>47543021</v>
      </c>
    </row>
    <row r="18" spans="1:23" s="116" customFormat="1" ht="12.75" customHeight="1">
      <c r="A18" s="44" t="s">
        <v>24</v>
      </c>
      <c r="C18" s="44" t="s">
        <v>17</v>
      </c>
      <c r="D18" s="35"/>
      <c r="E18" s="45">
        <v>5650803</v>
      </c>
      <c r="F18" s="45"/>
      <c r="G18" s="45">
        <v>7766597</v>
      </c>
      <c r="H18" s="45"/>
      <c r="I18" s="45">
        <v>0</v>
      </c>
      <c r="J18" s="45"/>
      <c r="K18" s="45">
        <v>355073</v>
      </c>
      <c r="L18" s="45"/>
      <c r="M18" s="45">
        <v>4052249</v>
      </c>
      <c r="N18" s="45"/>
      <c r="O18" s="45">
        <v>417206</v>
      </c>
      <c r="P18" s="45"/>
      <c r="Q18" s="45">
        <f>243696+314370</f>
        <v>558066</v>
      </c>
      <c r="R18" s="45"/>
      <c r="S18" s="44">
        <f t="shared" si="0"/>
        <v>468249</v>
      </c>
      <c r="T18" s="45"/>
      <c r="U18" s="45">
        <v>19268243</v>
      </c>
      <c r="V18" s="44"/>
      <c r="W18" s="45">
        <f>9864998+5930000+100000+59291</f>
        <v>15954289</v>
      </c>
    </row>
    <row r="19" spans="1:23" s="116" customFormat="1" ht="12.75" customHeight="1">
      <c r="A19" s="44" t="s">
        <v>25</v>
      </c>
      <c r="C19" s="44" t="s">
        <v>13</v>
      </c>
      <c r="D19" s="35"/>
      <c r="E19" s="45">
        <v>1649854</v>
      </c>
      <c r="F19" s="45"/>
      <c r="G19" s="45">
        <v>10476295</v>
      </c>
      <c r="H19" s="45"/>
      <c r="I19" s="45">
        <v>0</v>
      </c>
      <c r="J19" s="45"/>
      <c r="K19" s="45">
        <v>2335224</v>
      </c>
      <c r="L19" s="45"/>
      <c r="M19" s="45">
        <v>0</v>
      </c>
      <c r="N19" s="45"/>
      <c r="O19" s="45">
        <v>161493</v>
      </c>
      <c r="P19" s="45"/>
      <c r="Q19" s="45">
        <f>333555+432347</f>
        <v>765902</v>
      </c>
      <c r="R19" s="45"/>
      <c r="S19" s="44">
        <f t="shared" si="0"/>
        <v>7257565</v>
      </c>
      <c r="T19" s="45"/>
      <c r="U19" s="45">
        <v>22646333</v>
      </c>
      <c r="V19" s="44"/>
      <c r="W19" s="45">
        <f>2310000+32213+1875327</f>
        <v>4217540</v>
      </c>
    </row>
    <row r="20" spans="1:23" s="116" customFormat="1" ht="12.75" customHeight="1">
      <c r="A20" s="44" t="s">
        <v>26</v>
      </c>
      <c r="C20" s="44" t="s">
        <v>27</v>
      </c>
      <c r="D20" s="35"/>
      <c r="E20" s="45">
        <v>6708523</v>
      </c>
      <c r="F20" s="45"/>
      <c r="G20" s="45">
        <v>4779304</v>
      </c>
      <c r="H20" s="45"/>
      <c r="I20" s="45">
        <v>0</v>
      </c>
      <c r="J20" s="45"/>
      <c r="K20" s="45">
        <v>388223</v>
      </c>
      <c r="L20" s="45"/>
      <c r="M20" s="45">
        <v>3573904</v>
      </c>
      <c r="N20" s="45"/>
      <c r="O20" s="45">
        <v>78922</v>
      </c>
      <c r="P20" s="45"/>
      <c r="Q20" s="45">
        <v>418488</v>
      </c>
      <c r="R20" s="45"/>
      <c r="S20" s="44">
        <f t="shared" si="0"/>
        <v>594975</v>
      </c>
      <c r="T20" s="45"/>
      <c r="U20" s="45">
        <v>16542339</v>
      </c>
      <c r="V20" s="44"/>
      <c r="W20" s="45">
        <f>25177+1077382</f>
        <v>1102559</v>
      </c>
    </row>
    <row r="21" spans="1:23" s="116" customFormat="1" ht="12.75" customHeight="1">
      <c r="A21" s="44" t="s">
        <v>28</v>
      </c>
      <c r="C21" s="44" t="s">
        <v>27</v>
      </c>
      <c r="D21" s="35"/>
      <c r="E21" s="45">
        <v>2895836</v>
      </c>
      <c r="F21" s="45"/>
      <c r="G21" s="45">
        <v>18325854</v>
      </c>
      <c r="H21" s="45"/>
      <c r="I21" s="45">
        <f>2430800+130552+607839+105097</f>
        <v>3274288</v>
      </c>
      <c r="J21" s="45"/>
      <c r="K21" s="45">
        <v>2442116</v>
      </c>
      <c r="L21" s="45"/>
      <c r="M21" s="45">
        <v>1240557</v>
      </c>
      <c r="N21" s="45"/>
      <c r="O21" s="45">
        <v>887830</v>
      </c>
      <c r="P21" s="45"/>
      <c r="Q21" s="45">
        <v>995331</v>
      </c>
      <c r="R21" s="45"/>
      <c r="S21" s="44">
        <f t="shared" si="0"/>
        <v>720419</v>
      </c>
      <c r="T21" s="45"/>
      <c r="U21" s="45">
        <v>30782231</v>
      </c>
      <c r="V21" s="44"/>
      <c r="W21" s="45">
        <v>5107562</v>
      </c>
    </row>
    <row r="22" spans="1:23" s="116" customFormat="1" ht="12.75" customHeight="1">
      <c r="A22" s="44" t="s">
        <v>29</v>
      </c>
      <c r="C22" s="44" t="s">
        <v>30</v>
      </c>
      <c r="D22" s="35"/>
      <c r="E22" s="45">
        <v>11484604</v>
      </c>
      <c r="F22" s="45"/>
      <c r="G22" s="45">
        <v>0</v>
      </c>
      <c r="H22" s="45"/>
      <c r="I22" s="45">
        <v>0</v>
      </c>
      <c r="J22" s="45"/>
      <c r="K22" s="45">
        <v>506744</v>
      </c>
      <c r="L22" s="45"/>
      <c r="M22" s="45">
        <v>7197136</v>
      </c>
      <c r="N22" s="45"/>
      <c r="O22" s="45">
        <v>487387</v>
      </c>
      <c r="P22" s="45"/>
      <c r="Q22" s="45">
        <v>1211375</v>
      </c>
      <c r="R22" s="45"/>
      <c r="S22" s="44">
        <f t="shared" si="0"/>
        <v>650588</v>
      </c>
      <c r="T22" s="45"/>
      <c r="U22" s="45">
        <v>21537834</v>
      </c>
      <c r="V22" s="44"/>
      <c r="W22" s="45">
        <f>41398+1120000+1245481</f>
        <v>2406879</v>
      </c>
    </row>
    <row r="23" spans="1:23" s="116" customFormat="1" ht="12.75" customHeight="1">
      <c r="A23" s="44" t="s">
        <v>31</v>
      </c>
      <c r="C23" s="44" t="s">
        <v>27</v>
      </c>
      <c r="D23" s="35"/>
      <c r="E23" s="45">
        <v>3311558</v>
      </c>
      <c r="F23" s="45"/>
      <c r="G23" s="45">
        <v>8528730</v>
      </c>
      <c r="H23" s="45"/>
      <c r="I23" s="45">
        <v>0</v>
      </c>
      <c r="J23" s="45"/>
      <c r="K23" s="45">
        <v>1029766</v>
      </c>
      <c r="L23" s="45"/>
      <c r="M23" s="45">
        <v>2908431</v>
      </c>
      <c r="N23" s="45"/>
      <c r="O23" s="45">
        <v>425542</v>
      </c>
      <c r="P23" s="45"/>
      <c r="Q23" s="45">
        <f>162453+1746097</f>
        <v>1908550</v>
      </c>
      <c r="R23" s="45"/>
      <c r="S23" s="44">
        <f t="shared" si="0"/>
        <v>526198</v>
      </c>
      <c r="T23" s="45"/>
      <c r="U23" s="45">
        <v>18638775</v>
      </c>
      <c r="V23" s="44"/>
      <c r="W23" s="45">
        <f>147670+36724+3554148</f>
        <v>3738542</v>
      </c>
    </row>
    <row r="24" spans="1:23" s="116" customFormat="1" ht="12.75" customHeight="1">
      <c r="A24" s="44" t="s">
        <v>32</v>
      </c>
      <c r="C24" s="44" t="s">
        <v>27</v>
      </c>
      <c r="D24" s="35"/>
      <c r="E24" s="45">
        <v>3284553</v>
      </c>
      <c r="F24" s="45"/>
      <c r="G24" s="45">
        <v>8053573</v>
      </c>
      <c r="H24" s="45"/>
      <c r="I24" s="45">
        <v>0</v>
      </c>
      <c r="J24" s="45"/>
      <c r="K24" s="45">
        <v>3716211</v>
      </c>
      <c r="L24" s="45"/>
      <c r="M24" s="45">
        <v>2961127</v>
      </c>
      <c r="N24" s="45"/>
      <c r="O24" s="45">
        <v>0</v>
      </c>
      <c r="P24" s="45"/>
      <c r="Q24" s="45">
        <f>409281+175468</f>
        <v>584749</v>
      </c>
      <c r="R24" s="45"/>
      <c r="S24" s="44">
        <f t="shared" ref="S24:S53" si="1">+U24-SUM(E24:Q24)</f>
        <v>622927</v>
      </c>
      <c r="T24" s="45"/>
      <c r="U24" s="45">
        <v>19223140</v>
      </c>
      <c r="V24" s="44"/>
      <c r="W24" s="45">
        <f>20196+248726+3196039</f>
        <v>3464961</v>
      </c>
    </row>
    <row r="25" spans="1:23" s="116" customFormat="1" ht="12.75" customHeight="1">
      <c r="A25" s="46" t="s">
        <v>34</v>
      </c>
      <c r="B25" s="46"/>
      <c r="C25" s="46" t="s">
        <v>30</v>
      </c>
      <c r="D25" s="35"/>
      <c r="E25" s="45">
        <v>2247206</v>
      </c>
      <c r="F25" s="45"/>
      <c r="G25" s="45">
        <v>0</v>
      </c>
      <c r="H25" s="45"/>
      <c r="I25" s="45">
        <v>0</v>
      </c>
      <c r="J25" s="45"/>
      <c r="K25" s="45">
        <v>142177</v>
      </c>
      <c r="L25" s="45"/>
      <c r="M25" s="45">
        <v>1512334</v>
      </c>
      <c r="N25" s="45"/>
      <c r="O25" s="45">
        <v>0</v>
      </c>
      <c r="P25" s="45"/>
      <c r="Q25" s="45">
        <v>130113</v>
      </c>
      <c r="R25" s="45"/>
      <c r="S25" s="44">
        <f t="shared" si="1"/>
        <v>46097</v>
      </c>
      <c r="T25" s="45"/>
      <c r="U25" s="45">
        <v>4077927</v>
      </c>
      <c r="V25" s="44"/>
      <c r="W25" s="45">
        <v>625000</v>
      </c>
    </row>
    <row r="26" spans="1:23" s="116" customFormat="1" ht="12.75" customHeight="1">
      <c r="A26" s="44" t="s">
        <v>35</v>
      </c>
      <c r="C26" s="44" t="s">
        <v>36</v>
      </c>
      <c r="D26" s="35"/>
      <c r="E26" s="45">
        <v>704293</v>
      </c>
      <c r="F26" s="45"/>
      <c r="G26" s="45">
        <v>5115994</v>
      </c>
      <c r="H26" s="45"/>
      <c r="I26" s="45">
        <v>37994</v>
      </c>
      <c r="J26" s="45"/>
      <c r="K26" s="45">
        <v>177371</v>
      </c>
      <c r="L26" s="45"/>
      <c r="M26" s="45">
        <v>4128374</v>
      </c>
      <c r="N26" s="45"/>
      <c r="O26" s="45">
        <v>30635</v>
      </c>
      <c r="P26" s="45"/>
      <c r="Q26" s="45">
        <f>122998+516962</f>
        <v>639960</v>
      </c>
      <c r="R26" s="45"/>
      <c r="S26" s="44">
        <f t="shared" si="1"/>
        <v>219042</v>
      </c>
      <c r="T26" s="45"/>
      <c r="U26" s="45">
        <v>11053663</v>
      </c>
      <c r="V26" s="44"/>
      <c r="W26" s="45">
        <f>5629+937009</f>
        <v>942638</v>
      </c>
    </row>
    <row r="27" spans="1:23" s="116" customFormat="1" ht="12.75" customHeight="1">
      <c r="A27" s="44" t="s">
        <v>37</v>
      </c>
      <c r="C27" s="44" t="s">
        <v>38</v>
      </c>
      <c r="D27" s="35"/>
      <c r="E27" s="45">
        <v>875031</v>
      </c>
      <c r="F27" s="45"/>
      <c r="G27" s="45">
        <v>3114275</v>
      </c>
      <c r="H27" s="45"/>
      <c r="I27" s="45">
        <v>0</v>
      </c>
      <c r="J27" s="45"/>
      <c r="K27" s="45">
        <v>199491</v>
      </c>
      <c r="L27" s="45"/>
      <c r="M27" s="45">
        <v>932470</v>
      </c>
      <c r="N27" s="45"/>
      <c r="O27" s="45">
        <v>0</v>
      </c>
      <c r="P27" s="45"/>
      <c r="Q27" s="45">
        <f>54169+123119</f>
        <v>177288</v>
      </c>
      <c r="R27" s="45"/>
      <c r="S27" s="44">
        <f t="shared" si="1"/>
        <v>147329</v>
      </c>
      <c r="T27" s="45"/>
      <c r="U27" s="45">
        <v>5445884</v>
      </c>
      <c r="V27" s="44"/>
      <c r="W27" s="45">
        <v>527319</v>
      </c>
    </row>
    <row r="28" spans="1:23" s="116" customFormat="1" ht="12.75" customHeight="1">
      <c r="A28" s="44" t="s">
        <v>39</v>
      </c>
      <c r="C28" s="44" t="s">
        <v>40</v>
      </c>
      <c r="D28" s="35"/>
      <c r="E28" s="45">
        <v>295963</v>
      </c>
      <c r="F28" s="45"/>
      <c r="G28" s="45">
        <v>1055876</v>
      </c>
      <c r="H28" s="45"/>
      <c r="I28" s="45">
        <f>750+53362</f>
        <v>54112</v>
      </c>
      <c r="J28" s="45"/>
      <c r="K28" s="45">
        <v>277902</v>
      </c>
      <c r="L28" s="45"/>
      <c r="M28" s="45">
        <v>1206974</v>
      </c>
      <c r="N28" s="45"/>
      <c r="O28" s="45">
        <v>0</v>
      </c>
      <c r="P28" s="45"/>
      <c r="Q28" s="45">
        <v>236703</v>
      </c>
      <c r="R28" s="45"/>
      <c r="S28" s="44">
        <f t="shared" si="1"/>
        <v>89232</v>
      </c>
      <c r="T28" s="45"/>
      <c r="U28" s="45">
        <v>3216762</v>
      </c>
      <c r="V28" s="44"/>
      <c r="W28" s="45">
        <f>4900+345000</f>
        <v>349900</v>
      </c>
    </row>
    <row r="29" spans="1:23" s="116" customFormat="1" ht="12.75" customHeight="1">
      <c r="A29" s="44" t="s">
        <v>41</v>
      </c>
      <c r="C29" s="44" t="s">
        <v>27</v>
      </c>
      <c r="D29" s="35"/>
      <c r="E29" s="45">
        <v>4071590</v>
      </c>
      <c r="F29" s="45"/>
      <c r="G29" s="45">
        <v>10181318</v>
      </c>
      <c r="H29" s="45"/>
      <c r="I29" s="45">
        <v>199128</v>
      </c>
      <c r="J29" s="45"/>
      <c r="K29" s="45">
        <v>993872</v>
      </c>
      <c r="L29" s="45"/>
      <c r="M29" s="45">
        <v>3402160</v>
      </c>
      <c r="N29" s="45"/>
      <c r="O29" s="45">
        <v>517918</v>
      </c>
      <c r="P29" s="45"/>
      <c r="Q29" s="45">
        <f>408421+2443123</f>
        <v>2851544</v>
      </c>
      <c r="R29" s="45"/>
      <c r="S29" s="44">
        <f t="shared" si="1"/>
        <v>394591</v>
      </c>
      <c r="T29" s="45"/>
      <c r="U29" s="45">
        <v>22612121</v>
      </c>
      <c r="V29" s="44"/>
      <c r="W29" s="45">
        <f>212598+5850000+10578+362056+8002095</f>
        <v>14437327</v>
      </c>
    </row>
    <row r="30" spans="1:23" s="116" customFormat="1" ht="12.75" customHeight="1">
      <c r="A30" s="44" t="s">
        <v>42</v>
      </c>
      <c r="C30" s="44" t="s">
        <v>43</v>
      </c>
      <c r="D30" s="35"/>
      <c r="E30" s="45">
        <v>1817967</v>
      </c>
      <c r="F30" s="45"/>
      <c r="G30" s="45">
        <v>5940465</v>
      </c>
      <c r="H30" s="45"/>
      <c r="I30" s="45">
        <v>163855</v>
      </c>
      <c r="J30" s="45"/>
      <c r="K30" s="45">
        <v>687222</v>
      </c>
      <c r="L30" s="45"/>
      <c r="M30" s="45">
        <v>8775936</v>
      </c>
      <c r="N30" s="45"/>
      <c r="O30" s="45">
        <v>0</v>
      </c>
      <c r="P30" s="45"/>
      <c r="Q30" s="45">
        <f>231024+98738</f>
        <v>329762</v>
      </c>
      <c r="R30" s="45"/>
      <c r="S30" s="44">
        <f t="shared" si="1"/>
        <v>789302</v>
      </c>
      <c r="T30" s="45"/>
      <c r="U30" s="45">
        <v>18504509</v>
      </c>
      <c r="V30" s="44"/>
      <c r="W30" s="45">
        <f>7400000+12001+212919+220781+1923072</f>
        <v>9768773</v>
      </c>
    </row>
    <row r="31" spans="1:23" s="116" customFormat="1" ht="12.75" customHeight="1">
      <c r="A31" s="44" t="s">
        <v>44</v>
      </c>
      <c r="C31" s="44" t="s">
        <v>45</v>
      </c>
      <c r="D31" s="35"/>
      <c r="E31" s="45">
        <v>3239625</v>
      </c>
      <c r="F31" s="45"/>
      <c r="G31" s="45">
        <v>27084620</v>
      </c>
      <c r="H31" s="45"/>
      <c r="I31" s="45">
        <v>891104</v>
      </c>
      <c r="J31" s="45"/>
      <c r="K31" s="45">
        <v>1450662</v>
      </c>
      <c r="L31" s="45"/>
      <c r="M31" s="45">
        <v>3806303</v>
      </c>
      <c r="N31" s="45"/>
      <c r="O31" s="45">
        <v>0</v>
      </c>
      <c r="P31" s="45"/>
      <c r="Q31" s="45">
        <f>252611+133095</f>
        <v>385706</v>
      </c>
      <c r="R31" s="45"/>
      <c r="S31" s="44">
        <f t="shared" si="1"/>
        <v>397422</v>
      </c>
      <c r="T31" s="45"/>
      <c r="U31" s="45">
        <v>37255442</v>
      </c>
      <c r="V31" s="44"/>
      <c r="W31" s="45">
        <f>17521+1218401+11508399</f>
        <v>12744321</v>
      </c>
    </row>
    <row r="32" spans="1:23" s="116" customFormat="1" ht="12.75" customHeight="1">
      <c r="A32" s="44" t="s">
        <v>46</v>
      </c>
      <c r="C32" s="44" t="s">
        <v>47</v>
      </c>
      <c r="D32" s="35"/>
      <c r="E32" s="45">
        <v>2210537</v>
      </c>
      <c r="F32" s="45"/>
      <c r="G32" s="45">
        <v>14550526</v>
      </c>
      <c r="H32" s="45"/>
      <c r="I32" s="45">
        <v>2263634</v>
      </c>
      <c r="J32" s="45"/>
      <c r="K32" s="45">
        <v>2557585</v>
      </c>
      <c r="L32" s="45"/>
      <c r="M32" s="45">
        <v>5018519</v>
      </c>
      <c r="N32" s="45"/>
      <c r="O32" s="45">
        <v>44121</v>
      </c>
      <c r="P32" s="45"/>
      <c r="Q32" s="45">
        <f>72814+1112194</f>
        <v>1185008</v>
      </c>
      <c r="R32" s="45"/>
      <c r="S32" s="44">
        <f t="shared" si="1"/>
        <v>1093872</v>
      </c>
      <c r="T32" s="45"/>
      <c r="U32" s="45">
        <v>28923802</v>
      </c>
      <c r="V32" s="44"/>
      <c r="W32" s="45">
        <f>800000+6019389+2135697</f>
        <v>8955086</v>
      </c>
    </row>
    <row r="33" spans="1:23" s="116" customFormat="1" ht="12.75" customHeight="1">
      <c r="A33" s="44" t="s">
        <v>48</v>
      </c>
      <c r="C33" s="44" t="s">
        <v>27</v>
      </c>
      <c r="D33" s="35"/>
      <c r="E33" s="45">
        <v>4605542</v>
      </c>
      <c r="F33" s="45"/>
      <c r="G33" s="45">
        <v>12835856</v>
      </c>
      <c r="H33" s="45"/>
      <c r="I33" s="45">
        <v>0</v>
      </c>
      <c r="J33" s="45"/>
      <c r="K33" s="45">
        <v>905024</v>
      </c>
      <c r="L33" s="45"/>
      <c r="M33" s="45">
        <v>2946251</v>
      </c>
      <c r="N33" s="45"/>
      <c r="O33" s="45">
        <v>428519</v>
      </c>
      <c r="P33" s="45"/>
      <c r="Q33" s="45">
        <f>362044+279459</f>
        <v>641503</v>
      </c>
      <c r="R33" s="45"/>
      <c r="S33" s="44">
        <f t="shared" si="1"/>
        <v>1008002</v>
      </c>
      <c r="T33" s="45"/>
      <c r="U33" s="45">
        <v>23370697</v>
      </c>
      <c r="V33" s="44"/>
      <c r="W33" s="45">
        <f>17414+2231175</f>
        <v>2248589</v>
      </c>
    </row>
    <row r="34" spans="1:23" s="116" customFormat="1" ht="12.75" customHeight="1">
      <c r="A34" s="44" t="s">
        <v>49</v>
      </c>
      <c r="C34" s="44" t="s">
        <v>27</v>
      </c>
      <c r="D34" s="35"/>
      <c r="E34" s="45">
        <v>12579249</v>
      </c>
      <c r="F34" s="45"/>
      <c r="G34" s="45">
        <v>0</v>
      </c>
      <c r="H34" s="45"/>
      <c r="I34" s="45">
        <v>0</v>
      </c>
      <c r="J34" s="45"/>
      <c r="K34" s="45">
        <v>1390468</v>
      </c>
      <c r="L34" s="45"/>
      <c r="M34" s="45">
        <v>2420654</v>
      </c>
      <c r="N34" s="45"/>
      <c r="O34" s="45">
        <v>811195</v>
      </c>
      <c r="P34" s="45"/>
      <c r="Q34" s="45">
        <f>1503888+332076</f>
        <v>1835964</v>
      </c>
      <c r="R34" s="45"/>
      <c r="S34" s="44">
        <f t="shared" si="1"/>
        <v>227242</v>
      </c>
      <c r="T34" s="45"/>
      <c r="U34" s="45">
        <v>19264772</v>
      </c>
      <c r="V34" s="44"/>
      <c r="W34" s="45">
        <v>426156</v>
      </c>
    </row>
    <row r="35" spans="1:23" s="116" customFormat="1" ht="12.75" customHeight="1">
      <c r="A35" s="44" t="s">
        <v>50</v>
      </c>
      <c r="C35" s="44" t="s">
        <v>27</v>
      </c>
      <c r="D35" s="35"/>
      <c r="E35" s="45">
        <v>2223343</v>
      </c>
      <c r="F35" s="45"/>
      <c r="G35" s="45">
        <v>16863883</v>
      </c>
      <c r="H35" s="45"/>
      <c r="I35" s="45">
        <v>274922</v>
      </c>
      <c r="J35" s="45"/>
      <c r="K35" s="45">
        <v>2273175</v>
      </c>
      <c r="L35" s="45"/>
      <c r="M35" s="45">
        <v>4553194</v>
      </c>
      <c r="N35" s="45"/>
      <c r="O35" s="45">
        <v>84655</v>
      </c>
      <c r="P35" s="45"/>
      <c r="Q35" s="45">
        <f>411410+294582</f>
        <v>705992</v>
      </c>
      <c r="R35" s="45"/>
      <c r="S35" s="44">
        <f t="shared" si="1"/>
        <v>787003</v>
      </c>
      <c r="T35" s="45"/>
      <c r="U35" s="45">
        <v>27766167</v>
      </c>
      <c r="V35" s="44"/>
      <c r="W35" s="45">
        <f>50190+157445+339187+271129+2313639</f>
        <v>3131590</v>
      </c>
    </row>
    <row r="36" spans="1:23" s="116" customFormat="1" ht="12.75" customHeight="1">
      <c r="A36" s="44" t="s">
        <v>51</v>
      </c>
      <c r="C36" s="44" t="s">
        <v>27</v>
      </c>
      <c r="D36" s="35"/>
      <c r="E36" s="45">
        <v>2351370</v>
      </c>
      <c r="F36" s="45"/>
      <c r="G36" s="45">
        <v>12247285</v>
      </c>
      <c r="H36" s="45"/>
      <c r="I36" s="45">
        <v>263665</v>
      </c>
      <c r="J36" s="45"/>
      <c r="K36" s="45">
        <v>1054257</v>
      </c>
      <c r="L36" s="45"/>
      <c r="M36" s="45">
        <v>2444270</v>
      </c>
      <c r="N36" s="45"/>
      <c r="O36" s="45">
        <v>0</v>
      </c>
      <c r="P36" s="45"/>
      <c r="Q36" s="45">
        <v>719955</v>
      </c>
      <c r="R36" s="45"/>
      <c r="S36" s="44">
        <f t="shared" si="1"/>
        <v>235052</v>
      </c>
      <c r="T36" s="45"/>
      <c r="U36" s="45">
        <v>19315854</v>
      </c>
      <c r="V36" s="44"/>
      <c r="W36" s="45">
        <f>1815000+18750+1054192</f>
        <v>2887942</v>
      </c>
    </row>
    <row r="37" spans="1:23" s="116" customFormat="1" ht="12.75" customHeight="1">
      <c r="A37" s="44" t="s">
        <v>462</v>
      </c>
      <c r="C37" s="44" t="s">
        <v>66</v>
      </c>
      <c r="D37" s="35"/>
      <c r="E37" s="45">
        <v>133034</v>
      </c>
      <c r="F37" s="45"/>
      <c r="G37" s="45">
        <v>2089262</v>
      </c>
      <c r="H37" s="45"/>
      <c r="I37" s="45">
        <v>0</v>
      </c>
      <c r="J37" s="45"/>
      <c r="K37" s="45">
        <v>1039408</v>
      </c>
      <c r="L37" s="45"/>
      <c r="M37" s="45">
        <v>1107830</v>
      </c>
      <c r="N37" s="45"/>
      <c r="O37" s="45">
        <v>25821</v>
      </c>
      <c r="P37" s="45"/>
      <c r="Q37" s="45">
        <v>105681</v>
      </c>
      <c r="R37" s="45"/>
      <c r="S37" s="44">
        <f t="shared" si="1"/>
        <v>129925</v>
      </c>
      <c r="T37" s="45"/>
      <c r="U37" s="45">
        <v>4630961</v>
      </c>
      <c r="V37" s="44"/>
      <c r="W37" s="45">
        <f>34887+1085000+789101+8203</f>
        <v>1917191</v>
      </c>
    </row>
    <row r="38" spans="1:23" s="116" customFormat="1" ht="12.75" customHeight="1">
      <c r="A38" s="44" t="s">
        <v>52</v>
      </c>
      <c r="C38" s="44" t="s">
        <v>53</v>
      </c>
      <c r="D38" s="35"/>
      <c r="E38" s="45">
        <v>2206343</v>
      </c>
      <c r="F38" s="45"/>
      <c r="G38" s="45">
        <v>9094629</v>
      </c>
      <c r="H38" s="45"/>
      <c r="I38" s="45">
        <v>0</v>
      </c>
      <c r="J38" s="45"/>
      <c r="K38" s="45">
        <v>1872479</v>
      </c>
      <c r="L38" s="45"/>
      <c r="M38" s="45">
        <v>4651044</v>
      </c>
      <c r="N38" s="45"/>
      <c r="O38" s="45">
        <v>233355</v>
      </c>
      <c r="P38" s="45"/>
      <c r="Q38" s="45">
        <f>1042594+561309</f>
        <v>1603903</v>
      </c>
      <c r="R38" s="45"/>
      <c r="S38" s="44">
        <f>+U38-SUM(E38:Q38)</f>
        <v>444305</v>
      </c>
      <c r="T38" s="45"/>
      <c r="U38" s="45">
        <f>19709504+396554</f>
        <v>20106058</v>
      </c>
      <c r="V38" s="44"/>
      <c r="W38" s="45">
        <f>1488+19740+4672492+402508+6736+577+83888</f>
        <v>5187429</v>
      </c>
    </row>
    <row r="39" spans="1:23" s="116" customFormat="1" ht="12.75" customHeight="1">
      <c r="A39" s="44" t="s">
        <v>54</v>
      </c>
      <c r="C39" s="44" t="s">
        <v>55</v>
      </c>
      <c r="D39" s="35"/>
      <c r="E39" s="45">
        <v>7179749</v>
      </c>
      <c r="F39" s="45"/>
      <c r="G39" s="45">
        <v>0</v>
      </c>
      <c r="H39" s="45"/>
      <c r="I39" s="45">
        <v>0</v>
      </c>
      <c r="J39" s="45"/>
      <c r="K39" s="45">
        <v>194813</v>
      </c>
      <c r="L39" s="45"/>
      <c r="M39" s="45">
        <v>2335834</v>
      </c>
      <c r="N39" s="45"/>
      <c r="O39" s="45">
        <v>103720</v>
      </c>
      <c r="P39" s="45"/>
      <c r="Q39" s="45">
        <f>53507+759329</f>
        <v>812836</v>
      </c>
      <c r="R39" s="45"/>
      <c r="S39" s="44">
        <f t="shared" si="1"/>
        <v>513607</v>
      </c>
      <c r="T39" s="45"/>
      <c r="U39" s="45">
        <v>11140559</v>
      </c>
      <c r="V39" s="44"/>
      <c r="W39" s="45">
        <f>4553+2100000+5480584</f>
        <v>7585137</v>
      </c>
    </row>
    <row r="40" spans="1:23" s="116" customFormat="1" ht="12.75" customHeight="1">
      <c r="A40" s="44" t="s">
        <v>56</v>
      </c>
      <c r="C40" s="44" t="s">
        <v>57</v>
      </c>
      <c r="D40" s="35"/>
      <c r="E40" s="45">
        <v>639237</v>
      </c>
      <c r="F40" s="45"/>
      <c r="G40" s="45">
        <v>3622371</v>
      </c>
      <c r="H40" s="45"/>
      <c r="I40" s="45">
        <v>86948</v>
      </c>
      <c r="J40" s="45"/>
      <c r="K40" s="45">
        <v>349633</v>
      </c>
      <c r="L40" s="45"/>
      <c r="M40" s="45">
        <v>3545434</v>
      </c>
      <c r="N40" s="45"/>
      <c r="O40" s="45">
        <v>14255</v>
      </c>
      <c r="P40" s="45"/>
      <c r="Q40" s="45">
        <f>183072+39137</f>
        <v>222209</v>
      </c>
      <c r="R40" s="45"/>
      <c r="S40" s="44">
        <f t="shared" si="1"/>
        <v>235922</v>
      </c>
      <c r="T40" s="45"/>
      <c r="U40" s="45">
        <v>8716009</v>
      </c>
      <c r="V40" s="44"/>
      <c r="W40" s="45">
        <v>272297</v>
      </c>
    </row>
    <row r="41" spans="1:23" s="116" customFormat="1" ht="12.75" customHeight="1">
      <c r="A41" s="44" t="s">
        <v>58</v>
      </c>
      <c r="C41" s="44" t="s">
        <v>59</v>
      </c>
      <c r="D41" s="35"/>
      <c r="E41" s="45">
        <v>1473709</v>
      </c>
      <c r="F41" s="45"/>
      <c r="G41" s="45">
        <v>4497623</v>
      </c>
      <c r="H41" s="45"/>
      <c r="I41" s="45">
        <v>0</v>
      </c>
      <c r="J41" s="45"/>
      <c r="K41" s="45">
        <v>548719</v>
      </c>
      <c r="L41" s="45"/>
      <c r="M41" s="45">
        <v>2654816</v>
      </c>
      <c r="N41" s="45"/>
      <c r="O41" s="45">
        <v>13206</v>
      </c>
      <c r="P41" s="45"/>
      <c r="Q41" s="45">
        <f>548719+135890</f>
        <v>684609</v>
      </c>
      <c r="R41" s="45"/>
      <c r="S41" s="44">
        <f t="shared" si="1"/>
        <v>1045554</v>
      </c>
      <c r="T41" s="45"/>
      <c r="U41" s="45">
        <v>10918236</v>
      </c>
      <c r="V41" s="44"/>
      <c r="W41" s="45">
        <f>666717+3999656+169030</f>
        <v>4835403</v>
      </c>
    </row>
    <row r="42" spans="1:23" s="116" customFormat="1" ht="12.75" customHeight="1">
      <c r="A42" s="44" t="s">
        <v>476</v>
      </c>
      <c r="C42" s="44" t="s">
        <v>15</v>
      </c>
      <c r="D42" s="35"/>
      <c r="E42" s="45">
        <v>314453</v>
      </c>
      <c r="F42" s="45"/>
      <c r="G42" s="45">
        <v>1962738</v>
      </c>
      <c r="H42" s="45"/>
      <c r="I42" s="45">
        <v>0</v>
      </c>
      <c r="J42" s="45"/>
      <c r="K42" s="45">
        <v>147041</v>
      </c>
      <c r="L42" s="45"/>
      <c r="M42" s="45">
        <v>7952984</v>
      </c>
      <c r="N42" s="45"/>
      <c r="O42" s="45">
        <v>0</v>
      </c>
      <c r="P42" s="45"/>
      <c r="Q42" s="45">
        <v>54780</v>
      </c>
      <c r="R42" s="45"/>
      <c r="S42" s="44">
        <f>+U42-SUM(E42:Q42)</f>
        <v>-6999371</v>
      </c>
      <c r="T42" s="45"/>
      <c r="U42" s="45">
        <v>3432625</v>
      </c>
      <c r="V42" s="44"/>
      <c r="W42" s="45">
        <v>1269207</v>
      </c>
    </row>
    <row r="43" spans="1:23" s="116" customFormat="1" ht="12.75" customHeight="1">
      <c r="A43" s="44" t="s">
        <v>60</v>
      </c>
      <c r="C43" s="44" t="s">
        <v>61</v>
      </c>
      <c r="D43" s="35"/>
      <c r="E43" s="45">
        <v>528705</v>
      </c>
      <c r="F43" s="45"/>
      <c r="G43" s="45">
        <v>2332004</v>
      </c>
      <c r="H43" s="45"/>
      <c r="I43" s="45">
        <v>60428</v>
      </c>
      <c r="J43" s="45"/>
      <c r="K43" s="45">
        <v>266380</v>
      </c>
      <c r="L43" s="45"/>
      <c r="M43" s="45">
        <v>899941</v>
      </c>
      <c r="N43" s="45"/>
      <c r="O43" s="45">
        <v>26596</v>
      </c>
      <c r="P43" s="45"/>
      <c r="Q43" s="45">
        <f>83323+52886</f>
        <v>136209</v>
      </c>
      <c r="R43" s="45"/>
      <c r="S43" s="44">
        <f t="shared" si="1"/>
        <v>275019</v>
      </c>
      <c r="T43" s="45"/>
      <c r="U43" s="45">
        <v>4525282</v>
      </c>
      <c r="V43" s="44"/>
      <c r="W43" s="45">
        <f>3348+296990</f>
        <v>300338</v>
      </c>
    </row>
    <row r="44" spans="1:23" s="116" customFormat="1" ht="12.75" customHeight="1">
      <c r="A44" s="44" t="s">
        <v>62</v>
      </c>
      <c r="C44" s="44" t="s">
        <v>15</v>
      </c>
      <c r="D44" s="35"/>
      <c r="E44" s="45">
        <v>3710390</v>
      </c>
      <c r="F44" s="45"/>
      <c r="G44" s="45">
        <v>41105833</v>
      </c>
      <c r="H44" s="45"/>
      <c r="I44" s="45">
        <v>0</v>
      </c>
      <c r="J44" s="45"/>
      <c r="K44" s="45">
        <v>11428095</v>
      </c>
      <c r="L44" s="45"/>
      <c r="M44" s="45">
        <f>9521398+9664268+447416</f>
        <v>19633082</v>
      </c>
      <c r="N44" s="45"/>
      <c r="O44" s="45">
        <v>0</v>
      </c>
      <c r="P44" s="45"/>
      <c r="Q44" s="45">
        <f>1554393+443673</f>
        <v>1998066</v>
      </c>
      <c r="R44" s="45"/>
      <c r="S44" s="44">
        <f t="shared" si="1"/>
        <v>6977335</v>
      </c>
      <c r="T44" s="45"/>
      <c r="U44" s="45">
        <v>84852801</v>
      </c>
      <c r="V44" s="44"/>
      <c r="W44" s="45">
        <f>223066+9990910+418203+40000</f>
        <v>10672179</v>
      </c>
    </row>
    <row r="45" spans="1:23" s="116" customFormat="1" ht="12.75" customHeight="1">
      <c r="A45" s="44" t="s">
        <v>485</v>
      </c>
      <c r="C45" s="44" t="s">
        <v>111</v>
      </c>
      <c r="D45" s="35"/>
      <c r="E45" s="45">
        <v>404192</v>
      </c>
      <c r="F45" s="45"/>
      <c r="G45" s="45">
        <v>802587</v>
      </c>
      <c r="H45" s="45"/>
      <c r="I45" s="45">
        <v>0</v>
      </c>
      <c r="J45" s="45"/>
      <c r="K45" s="45">
        <v>0</v>
      </c>
      <c r="L45" s="45"/>
      <c r="M45" s="45">
        <v>477899</v>
      </c>
      <c r="N45" s="45"/>
      <c r="O45" s="45">
        <v>30278</v>
      </c>
      <c r="P45" s="45"/>
      <c r="Q45" s="45">
        <f>99804+112530</f>
        <v>212334</v>
      </c>
      <c r="R45" s="45"/>
      <c r="S45" s="44">
        <f>+U45-SUM(E45:Q45)</f>
        <v>266607</v>
      </c>
      <c r="T45" s="45"/>
      <c r="U45" s="45">
        <v>2193897</v>
      </c>
      <c r="V45" s="44"/>
      <c r="W45" s="45">
        <f>1572250+359113</f>
        <v>1931363</v>
      </c>
    </row>
    <row r="46" spans="1:23" s="116" customFormat="1" ht="12.75" customHeight="1">
      <c r="A46" s="44" t="s">
        <v>63</v>
      </c>
      <c r="C46" s="44" t="s">
        <v>64</v>
      </c>
      <c r="D46" s="35"/>
      <c r="E46" s="45">
        <v>389215</v>
      </c>
      <c r="F46" s="45"/>
      <c r="G46" s="45">
        <v>2464920</v>
      </c>
      <c r="H46" s="45"/>
      <c r="I46" s="45">
        <f>519802+536329</f>
        <v>1056131</v>
      </c>
      <c r="J46" s="45"/>
      <c r="K46" s="45">
        <v>376105</v>
      </c>
      <c r="L46" s="45"/>
      <c r="M46" s="45">
        <v>2047746</v>
      </c>
      <c r="N46" s="45"/>
      <c r="O46" s="45">
        <v>14928</v>
      </c>
      <c r="P46" s="45"/>
      <c r="Q46" s="45">
        <f>99562+406972</f>
        <v>506534</v>
      </c>
      <c r="R46" s="45"/>
      <c r="S46" s="44">
        <f t="shared" si="1"/>
        <v>231109</v>
      </c>
      <c r="T46" s="45"/>
      <c r="U46" s="45">
        <v>7086688</v>
      </c>
      <c r="V46" s="44"/>
      <c r="W46" s="45">
        <f>1150000+467000+1160600</f>
        <v>2777600</v>
      </c>
    </row>
    <row r="47" spans="1:23" s="116" customFormat="1" ht="12.75" customHeight="1">
      <c r="A47" s="44" t="s">
        <v>65</v>
      </c>
      <c r="C47" s="44" t="s">
        <v>66</v>
      </c>
      <c r="D47" s="35"/>
      <c r="E47" s="45">
        <v>12205328</v>
      </c>
      <c r="F47" s="45"/>
      <c r="G47" s="45">
        <v>0</v>
      </c>
      <c r="H47" s="45"/>
      <c r="I47" s="45">
        <v>0</v>
      </c>
      <c r="J47" s="45"/>
      <c r="K47" s="45">
        <v>244532</v>
      </c>
      <c r="L47" s="45"/>
      <c r="M47" s="45">
        <v>3859680</v>
      </c>
      <c r="N47" s="45"/>
      <c r="O47" s="45">
        <v>611434</v>
      </c>
      <c r="P47" s="45"/>
      <c r="Q47" s="45">
        <v>193744</v>
      </c>
      <c r="R47" s="45"/>
      <c r="S47" s="44">
        <f t="shared" si="1"/>
        <v>1267220</v>
      </c>
      <c r="T47" s="45"/>
      <c r="U47" s="45">
        <v>18381938</v>
      </c>
      <c r="V47" s="44"/>
      <c r="W47" s="45">
        <f>23221+2919501</f>
        <v>2942722</v>
      </c>
    </row>
    <row r="48" spans="1:23" s="116" customFormat="1" ht="12.75" customHeight="1">
      <c r="A48" s="44" t="s">
        <v>67</v>
      </c>
      <c r="C48" s="44" t="s">
        <v>375</v>
      </c>
      <c r="D48" s="35"/>
      <c r="E48" s="45">
        <v>1069661</v>
      </c>
      <c r="F48" s="45"/>
      <c r="G48" s="45">
        <v>4864815</v>
      </c>
      <c r="H48" s="45"/>
      <c r="I48" s="45">
        <v>0</v>
      </c>
      <c r="J48" s="45"/>
      <c r="K48" s="45">
        <v>384048</v>
      </c>
      <c r="L48" s="45"/>
      <c r="M48" s="45">
        <v>845826</v>
      </c>
      <c r="N48" s="45"/>
      <c r="O48" s="45">
        <v>163943</v>
      </c>
      <c r="P48" s="45"/>
      <c r="Q48" s="45">
        <f>130785+1336286</f>
        <v>1467071</v>
      </c>
      <c r="R48" s="45"/>
      <c r="S48" s="44">
        <f t="shared" si="1"/>
        <v>944280</v>
      </c>
      <c r="T48" s="45"/>
      <c r="U48" s="45">
        <v>9739644</v>
      </c>
      <c r="V48" s="44"/>
      <c r="W48" s="45">
        <f>97055+1052800</f>
        <v>1149855</v>
      </c>
    </row>
    <row r="49" spans="1:24" s="116" customFormat="1" ht="12.75" customHeight="1">
      <c r="A49" s="44" t="s">
        <v>68</v>
      </c>
      <c r="C49" s="44" t="s">
        <v>45</v>
      </c>
      <c r="D49" s="35"/>
      <c r="E49" s="45">
        <v>1209909</v>
      </c>
      <c r="F49" s="45"/>
      <c r="G49" s="45">
        <v>1742090</v>
      </c>
      <c r="H49" s="45"/>
      <c r="I49" s="45">
        <v>75240</v>
      </c>
      <c r="J49" s="45"/>
      <c r="K49" s="45">
        <v>602823</v>
      </c>
      <c r="L49" s="45"/>
      <c r="M49" s="45">
        <v>2115906</v>
      </c>
      <c r="N49" s="45"/>
      <c r="O49" s="45">
        <v>10182</v>
      </c>
      <c r="P49" s="45"/>
      <c r="Q49" s="45">
        <f>1601+87481</f>
        <v>89082</v>
      </c>
      <c r="R49" s="45"/>
      <c r="S49" s="44">
        <f t="shared" si="1"/>
        <v>287843</v>
      </c>
      <c r="T49" s="45"/>
      <c r="U49" s="45">
        <v>6133075</v>
      </c>
      <c r="V49" s="44"/>
      <c r="W49" s="45">
        <f>155+97773</f>
        <v>97928</v>
      </c>
    </row>
    <row r="50" spans="1:24" s="116" customFormat="1" ht="12.75" customHeight="1">
      <c r="A50" s="44" t="s">
        <v>69</v>
      </c>
      <c r="C50" s="44" t="s">
        <v>70</v>
      </c>
      <c r="D50" s="35"/>
      <c r="E50" s="45">
        <v>1153839</v>
      </c>
      <c r="F50" s="45"/>
      <c r="G50" s="45">
        <v>10691127</v>
      </c>
      <c r="H50" s="45"/>
      <c r="I50" s="45">
        <v>133653</v>
      </c>
      <c r="J50" s="45"/>
      <c r="K50" s="45">
        <v>2415065</v>
      </c>
      <c r="L50" s="45"/>
      <c r="M50" s="45">
        <v>9847621</v>
      </c>
      <c r="N50" s="45"/>
      <c r="O50" s="45">
        <v>17104</v>
      </c>
      <c r="P50" s="45"/>
      <c r="Q50" s="45">
        <v>2232953</v>
      </c>
      <c r="R50" s="45"/>
      <c r="S50" s="44">
        <f t="shared" si="1"/>
        <v>505827</v>
      </c>
      <c r="T50" s="45"/>
      <c r="U50" s="45">
        <v>26997189</v>
      </c>
      <c r="V50" s="44"/>
      <c r="W50" s="45">
        <f>11101+46259+900000+3420697</f>
        <v>4378057</v>
      </c>
    </row>
    <row r="51" spans="1:24" s="116" customFormat="1" ht="12.75" customHeight="1">
      <c r="A51" s="44" t="s">
        <v>71</v>
      </c>
      <c r="C51" s="44" t="s">
        <v>45</v>
      </c>
      <c r="D51" s="35"/>
      <c r="E51" s="45">
        <v>386846000</v>
      </c>
      <c r="F51" s="45"/>
      <c r="G51" s="45">
        <v>0</v>
      </c>
      <c r="H51" s="45"/>
      <c r="I51" s="45">
        <v>41409000</v>
      </c>
      <c r="J51" s="45"/>
      <c r="K51" s="45">
        <v>34066000</v>
      </c>
      <c r="L51" s="45"/>
      <c r="M51" s="45">
        <f>71514000+48155000+9883000</f>
        <v>129552000</v>
      </c>
      <c r="N51" s="45"/>
      <c r="O51" s="45">
        <v>4383000</v>
      </c>
      <c r="P51" s="45"/>
      <c r="Q51" s="45">
        <v>12045000</v>
      </c>
      <c r="R51" s="45"/>
      <c r="S51" s="44">
        <f t="shared" si="1"/>
        <v>13700000</v>
      </c>
      <c r="T51" s="45"/>
      <c r="U51" s="45">
        <v>622001000</v>
      </c>
      <c r="V51" s="44"/>
      <c r="W51" s="45">
        <f>64250000+5080000+12770000+1279000+80441000</f>
        <v>163820000</v>
      </c>
    </row>
    <row r="52" spans="1:24" s="116" customFormat="1" ht="12.75" customHeight="1">
      <c r="A52" s="44" t="s">
        <v>463</v>
      </c>
      <c r="C52" s="44" t="s">
        <v>464</v>
      </c>
      <c r="D52" s="35"/>
      <c r="E52" s="45">
        <v>872450</v>
      </c>
      <c r="F52" s="45"/>
      <c r="G52" s="45">
        <v>4489481</v>
      </c>
      <c r="H52" s="45"/>
      <c r="I52" s="45">
        <v>249008</v>
      </c>
      <c r="J52" s="45"/>
      <c r="K52" s="45">
        <v>690603</v>
      </c>
      <c r="L52" s="45"/>
      <c r="M52" s="45">
        <v>3122237</v>
      </c>
      <c r="N52" s="45"/>
      <c r="O52" s="45">
        <v>7404</v>
      </c>
      <c r="P52" s="45"/>
      <c r="Q52" s="45">
        <f>22655+908769</f>
        <v>931424</v>
      </c>
      <c r="R52" s="45"/>
      <c r="S52" s="44">
        <f t="shared" si="1"/>
        <v>408978</v>
      </c>
      <c r="T52" s="45"/>
      <c r="U52" s="45">
        <v>10771585</v>
      </c>
      <c r="V52" s="44"/>
      <c r="W52" s="45">
        <f>9342+49394</f>
        <v>58736</v>
      </c>
    </row>
    <row r="53" spans="1:24" s="116" customFormat="1" ht="12.75" customHeight="1">
      <c r="A53" s="44" t="s">
        <v>72</v>
      </c>
      <c r="C53" s="44" t="s">
        <v>66</v>
      </c>
      <c r="D53" s="64"/>
      <c r="E53" s="45">
        <v>2558467</v>
      </c>
      <c r="F53" s="45"/>
      <c r="G53" s="45">
        <v>1998627</v>
      </c>
      <c r="H53" s="45"/>
      <c r="I53" s="45">
        <f>138449+213638</f>
        <v>352087</v>
      </c>
      <c r="J53" s="45"/>
      <c r="K53" s="45">
        <v>648425</v>
      </c>
      <c r="L53" s="45"/>
      <c r="M53" s="45">
        <v>1801731</v>
      </c>
      <c r="N53" s="45"/>
      <c r="O53" s="45">
        <v>28576</v>
      </c>
      <c r="P53" s="45"/>
      <c r="Q53" s="45">
        <f>4658+17231</f>
        <v>21889</v>
      </c>
      <c r="R53" s="45"/>
      <c r="S53" s="44">
        <f t="shared" si="1"/>
        <v>216586</v>
      </c>
      <c r="T53" s="45"/>
      <c r="U53" s="45">
        <v>7626388</v>
      </c>
      <c r="V53" s="44"/>
      <c r="W53" s="45">
        <v>785583</v>
      </c>
    </row>
    <row r="54" spans="1:24" s="116" customFormat="1" ht="12.75" customHeight="1">
      <c r="A54" s="44" t="s">
        <v>73</v>
      </c>
      <c r="C54" s="44" t="s">
        <v>27</v>
      </c>
      <c r="D54" s="35"/>
      <c r="E54" s="45">
        <v>63754000</v>
      </c>
      <c r="F54" s="45"/>
      <c r="G54" s="45">
        <v>298546000</v>
      </c>
      <c r="H54" s="45"/>
      <c r="I54" s="45">
        <v>81440000</v>
      </c>
      <c r="J54" s="45"/>
      <c r="K54" s="45">
        <v>22136000</v>
      </c>
      <c r="L54" s="45"/>
      <c r="M54" s="45">
        <v>45590000</v>
      </c>
      <c r="N54" s="45"/>
      <c r="O54" s="45">
        <v>0</v>
      </c>
      <c r="P54" s="45"/>
      <c r="Q54" s="45">
        <f>17061000+32321000</f>
        <v>49382000</v>
      </c>
      <c r="R54" s="45"/>
      <c r="S54" s="44">
        <f t="shared" si="0"/>
        <v>141185000</v>
      </c>
      <c r="T54" s="45"/>
      <c r="U54" s="45">
        <v>702033000</v>
      </c>
      <c r="V54" s="44"/>
      <c r="W54" s="45">
        <v>120671000</v>
      </c>
      <c r="X54" s="116">
        <f>53414+44580+13820+2289+6568</f>
        <v>120671</v>
      </c>
    </row>
    <row r="55" spans="1:24" s="116" customFormat="1" ht="12.75" customHeight="1">
      <c r="A55" s="44" t="s">
        <v>74</v>
      </c>
      <c r="C55" s="44" t="s">
        <v>27</v>
      </c>
      <c r="D55" s="35"/>
      <c r="E55" s="45">
        <v>11123154</v>
      </c>
      <c r="F55" s="45"/>
      <c r="G55" s="45">
        <v>20282703</v>
      </c>
      <c r="H55" s="45"/>
      <c r="I55" s="45">
        <v>0</v>
      </c>
      <c r="J55" s="45"/>
      <c r="K55" s="45">
        <v>3535575</v>
      </c>
      <c r="L55" s="45"/>
      <c r="M55" s="45">
        <v>10740259</v>
      </c>
      <c r="N55" s="45"/>
      <c r="O55" s="45">
        <v>1504940</v>
      </c>
      <c r="P55" s="45"/>
      <c r="Q55" s="45">
        <f>1845466+3062880</f>
        <v>4908346</v>
      </c>
      <c r="R55" s="45"/>
      <c r="S55" s="44">
        <f t="shared" si="0"/>
        <v>2442153</v>
      </c>
      <c r="T55" s="45"/>
      <c r="U55" s="45">
        <v>54537130</v>
      </c>
      <c r="V55" s="44"/>
      <c r="W55" s="45">
        <f>80135+17796+219783+4093400</f>
        <v>4411114</v>
      </c>
    </row>
    <row r="56" spans="1:24" s="116" customFormat="1" ht="12.75" customHeight="1">
      <c r="A56" s="44" t="s">
        <v>75</v>
      </c>
      <c r="C56" s="44" t="s">
        <v>76</v>
      </c>
      <c r="D56" s="35"/>
      <c r="E56" s="45">
        <v>624725</v>
      </c>
      <c r="F56" s="45"/>
      <c r="G56" s="45">
        <v>3487545</v>
      </c>
      <c r="H56" s="45"/>
      <c r="I56" s="45">
        <v>0</v>
      </c>
      <c r="J56" s="45"/>
      <c r="K56" s="45">
        <v>278171</v>
      </c>
      <c r="L56" s="45"/>
      <c r="M56" s="45">
        <v>628556</v>
      </c>
      <c r="N56" s="45"/>
      <c r="O56" s="45">
        <v>50062</v>
      </c>
      <c r="P56" s="45"/>
      <c r="Q56" s="45">
        <f>42474+16060</f>
        <v>58534</v>
      </c>
      <c r="R56" s="45"/>
      <c r="S56" s="44">
        <f t="shared" si="0"/>
        <v>270346</v>
      </c>
      <c r="T56" s="45"/>
      <c r="U56" s="45">
        <v>5397939</v>
      </c>
      <c r="V56" s="44"/>
      <c r="W56" s="45">
        <f>1800000+613163</f>
        <v>2413163</v>
      </c>
    </row>
    <row r="57" spans="1:24" s="116" customFormat="1" ht="12.75" customHeight="1">
      <c r="A57" s="44" t="s">
        <v>77</v>
      </c>
      <c r="C57" s="44" t="s">
        <v>43</v>
      </c>
      <c r="D57" s="35"/>
      <c r="E57" s="45">
        <v>52379000</v>
      </c>
      <c r="F57" s="45"/>
      <c r="G57" s="45">
        <v>527170000</v>
      </c>
      <c r="H57" s="45"/>
      <c r="I57" s="45">
        <v>0</v>
      </c>
      <c r="J57" s="45"/>
      <c r="K57" s="45">
        <v>83219000</v>
      </c>
      <c r="L57" s="45"/>
      <c r="M57" s="45">
        <v>79736000</v>
      </c>
      <c r="N57" s="45"/>
      <c r="O57" s="45">
        <v>0</v>
      </c>
      <c r="P57" s="45"/>
      <c r="Q57" s="45">
        <f>27653000+29228000</f>
        <v>56881000</v>
      </c>
      <c r="R57" s="45"/>
      <c r="S57" s="44">
        <f t="shared" si="0"/>
        <v>197698000</v>
      </c>
      <c r="T57" s="45"/>
      <c r="U57" s="45">
        <v>997083000</v>
      </c>
      <c r="V57" s="44"/>
      <c r="W57" s="45">
        <f>106427000+63328000+3468000+944000</f>
        <v>174167000</v>
      </c>
    </row>
    <row r="58" spans="1:24" s="116" customFormat="1" ht="12.75" customHeight="1">
      <c r="A58" s="44" t="s">
        <v>94</v>
      </c>
      <c r="C58" s="44" t="s">
        <v>94</v>
      </c>
      <c r="D58" s="35"/>
      <c r="E58" s="45">
        <v>2063515</v>
      </c>
      <c r="F58" s="45"/>
      <c r="G58" s="45">
        <v>0</v>
      </c>
      <c r="H58" s="45"/>
      <c r="I58" s="45">
        <v>34924</v>
      </c>
      <c r="J58" s="45"/>
      <c r="K58" s="45">
        <v>247632</v>
      </c>
      <c r="L58" s="45"/>
      <c r="M58" s="45">
        <v>1141048</v>
      </c>
      <c r="N58" s="45"/>
      <c r="O58" s="45">
        <v>0</v>
      </c>
      <c r="P58" s="45"/>
      <c r="Q58" s="45">
        <f>92500+17295</f>
        <v>109795</v>
      </c>
      <c r="R58" s="45"/>
      <c r="S58" s="44">
        <f>+U58-SUM(E58:Q58)</f>
        <v>356972</v>
      </c>
      <c r="T58" s="45"/>
      <c r="U58" s="45">
        <v>3953886</v>
      </c>
      <c r="V58" s="44"/>
      <c r="W58" s="45">
        <v>1962567</v>
      </c>
    </row>
    <row r="59" spans="1:24" s="116" customFormat="1" ht="12.75" customHeight="1">
      <c r="A59" s="44" t="s">
        <v>78</v>
      </c>
      <c r="C59" s="44" t="s">
        <v>19</v>
      </c>
      <c r="D59" s="35"/>
      <c r="E59" s="45">
        <v>1196921</v>
      </c>
      <c r="F59" s="45"/>
      <c r="G59" s="45">
        <v>2709105</v>
      </c>
      <c r="H59" s="45"/>
      <c r="I59" s="45">
        <f>18902+139594</f>
        <v>158496</v>
      </c>
      <c r="J59" s="45"/>
      <c r="K59" s="45">
        <v>120092</v>
      </c>
      <c r="L59" s="45"/>
      <c r="M59" s="45">
        <v>2065713</v>
      </c>
      <c r="N59" s="45"/>
      <c r="O59" s="45">
        <v>140026</v>
      </c>
      <c r="P59" s="45"/>
      <c r="Q59" s="45">
        <f>822684+249793</f>
        <v>1072477</v>
      </c>
      <c r="R59" s="45"/>
      <c r="S59" s="44">
        <f t="shared" si="0"/>
        <v>145059</v>
      </c>
      <c r="T59" s="45"/>
      <c r="U59" s="45">
        <v>7607889</v>
      </c>
      <c r="V59" s="44"/>
      <c r="W59" s="45">
        <f>10800+153334+151000+77265</f>
        <v>392399</v>
      </c>
    </row>
    <row r="60" spans="1:24" s="116" customFormat="1" ht="12.75" customHeight="1">
      <c r="A60" s="44" t="s">
        <v>79</v>
      </c>
      <c r="C60" s="44" t="s">
        <v>80</v>
      </c>
      <c r="D60" s="35"/>
      <c r="E60" s="45">
        <v>2138141</v>
      </c>
      <c r="F60" s="45"/>
      <c r="G60" s="45">
        <v>0</v>
      </c>
      <c r="H60" s="45"/>
      <c r="I60" s="45">
        <v>0</v>
      </c>
      <c r="J60" s="45"/>
      <c r="K60" s="45">
        <v>327009</v>
      </c>
      <c r="L60" s="45"/>
      <c r="M60" s="45">
        <v>1501703</v>
      </c>
      <c r="N60" s="45"/>
      <c r="O60" s="45">
        <v>0</v>
      </c>
      <c r="P60" s="45"/>
      <c r="Q60" s="45">
        <f>123434+3621</f>
        <v>127055</v>
      </c>
      <c r="R60" s="45"/>
      <c r="S60" s="44">
        <f t="shared" si="0"/>
        <v>148638</v>
      </c>
      <c r="T60" s="45"/>
      <c r="U60" s="45">
        <v>4242546</v>
      </c>
      <c r="V60" s="44"/>
      <c r="W60" s="45">
        <v>108091</v>
      </c>
    </row>
    <row r="61" spans="1:24" s="116" customFormat="1" ht="12.75" customHeight="1">
      <c r="A61" s="44" t="s">
        <v>81</v>
      </c>
      <c r="C61" s="44" t="s">
        <v>81</v>
      </c>
      <c r="D61" s="35"/>
      <c r="E61" s="45">
        <v>588839</v>
      </c>
      <c r="F61" s="45"/>
      <c r="G61" s="45">
        <v>3910227</v>
      </c>
      <c r="H61" s="45"/>
      <c r="I61" s="45">
        <v>118214</v>
      </c>
      <c r="J61" s="45"/>
      <c r="K61" s="45">
        <v>1052840</v>
      </c>
      <c r="L61" s="45"/>
      <c r="M61" s="45">
        <v>2911074</v>
      </c>
      <c r="N61" s="45"/>
      <c r="O61" s="45">
        <v>0</v>
      </c>
      <c r="P61" s="45"/>
      <c r="Q61" s="45">
        <f>34237+126448</f>
        <v>160685</v>
      </c>
      <c r="R61" s="45"/>
      <c r="S61" s="44">
        <f t="shared" si="0"/>
        <v>743311</v>
      </c>
      <c r="T61" s="45"/>
      <c r="U61" s="45">
        <v>9485190</v>
      </c>
      <c r="V61" s="44"/>
      <c r="W61" s="45">
        <v>0</v>
      </c>
    </row>
    <row r="62" spans="1:24" s="116" customFormat="1" ht="12.75" customHeight="1">
      <c r="A62" s="47" t="s">
        <v>465</v>
      </c>
      <c r="B62" s="47"/>
      <c r="C62" s="47" t="s">
        <v>57</v>
      </c>
      <c r="D62" s="35"/>
      <c r="E62" s="45">
        <v>189941</v>
      </c>
      <c r="F62" s="45"/>
      <c r="G62" s="45">
        <v>1037032</v>
      </c>
      <c r="H62" s="45"/>
      <c r="I62" s="45">
        <v>0</v>
      </c>
      <c r="J62" s="45"/>
      <c r="K62" s="45">
        <v>142549</v>
      </c>
      <c r="L62" s="45"/>
      <c r="M62" s="45">
        <v>1221030</v>
      </c>
      <c r="N62" s="45"/>
      <c r="O62" s="45">
        <v>0</v>
      </c>
      <c r="P62" s="45"/>
      <c r="Q62" s="45">
        <f>3245+61794</f>
        <v>65039</v>
      </c>
      <c r="R62" s="45"/>
      <c r="S62" s="44">
        <f t="shared" si="0"/>
        <v>251512</v>
      </c>
      <c r="T62" s="45"/>
      <c r="U62" s="45">
        <v>2907103</v>
      </c>
      <c r="V62" s="44"/>
      <c r="W62" s="45">
        <v>0</v>
      </c>
    </row>
    <row r="63" spans="1:24" s="116" customFormat="1" ht="12.75" customHeight="1">
      <c r="A63" s="44" t="s">
        <v>82</v>
      </c>
      <c r="C63" s="44" t="s">
        <v>13</v>
      </c>
      <c r="D63" s="35"/>
      <c r="E63" s="45">
        <v>10712398</v>
      </c>
      <c r="F63" s="45"/>
      <c r="G63" s="45">
        <v>18231291</v>
      </c>
      <c r="H63" s="45"/>
      <c r="I63" s="45">
        <v>840228</v>
      </c>
      <c r="J63" s="45"/>
      <c r="K63" s="45">
        <v>5463154</v>
      </c>
      <c r="L63" s="45"/>
      <c r="M63" s="45">
        <f>6235084+3002006</f>
        <v>9237090</v>
      </c>
      <c r="N63" s="45"/>
      <c r="O63" s="45">
        <v>345121</v>
      </c>
      <c r="P63" s="45"/>
      <c r="Q63" s="45">
        <v>225377</v>
      </c>
      <c r="R63" s="45"/>
      <c r="S63" s="44">
        <f t="shared" si="0"/>
        <v>2189016</v>
      </c>
      <c r="T63" s="45"/>
      <c r="U63" s="45">
        <v>47243675</v>
      </c>
      <c r="V63" s="44"/>
      <c r="W63" s="45">
        <v>20657191</v>
      </c>
    </row>
    <row r="64" spans="1:24" s="118" customFormat="1" ht="12.75" customHeight="1">
      <c r="A64" s="44" t="s">
        <v>471</v>
      </c>
      <c r="B64" s="117"/>
      <c r="C64" s="46"/>
      <c r="D64" s="64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4"/>
      <c r="T64" s="45"/>
      <c r="U64" s="45"/>
      <c r="V64" s="44"/>
      <c r="W64" s="48" t="s">
        <v>484</v>
      </c>
    </row>
    <row r="65" spans="1:23" s="117" customFormat="1" ht="12.75" customHeight="1">
      <c r="A65" s="46" t="s">
        <v>83</v>
      </c>
      <c r="C65" s="46" t="s">
        <v>66</v>
      </c>
      <c r="D65" s="35"/>
      <c r="E65" s="94">
        <v>20282720</v>
      </c>
      <c r="F65" s="94"/>
      <c r="G65" s="94">
        <v>99831456</v>
      </c>
      <c r="H65" s="94"/>
      <c r="I65" s="94">
        <v>0</v>
      </c>
      <c r="J65" s="94"/>
      <c r="K65" s="94">
        <v>25037733</v>
      </c>
      <c r="L65" s="94"/>
      <c r="M65" s="94">
        <f>18896862+39699451</f>
        <v>58596313</v>
      </c>
      <c r="N65" s="94"/>
      <c r="O65" s="94">
        <v>422608</v>
      </c>
      <c r="P65" s="94"/>
      <c r="Q65" s="94">
        <f>1630319+2106189</f>
        <v>3736508</v>
      </c>
      <c r="R65" s="94"/>
      <c r="S65" s="46">
        <f t="shared" si="0"/>
        <v>6490278</v>
      </c>
      <c r="T65" s="94"/>
      <c r="U65" s="94">
        <v>214397616</v>
      </c>
      <c r="V65" s="46"/>
      <c r="W65" s="94">
        <f>34408111+311474+11818503</f>
        <v>46538088</v>
      </c>
    </row>
    <row r="66" spans="1:23" s="116" customFormat="1" ht="12.75" customHeight="1">
      <c r="A66" s="44" t="s">
        <v>84</v>
      </c>
      <c r="C66" s="44" t="s">
        <v>45</v>
      </c>
      <c r="D66" s="35"/>
      <c r="E66" s="45">
        <v>2393856</v>
      </c>
      <c r="F66" s="45"/>
      <c r="G66" s="45">
        <v>0</v>
      </c>
      <c r="H66" s="45"/>
      <c r="I66" s="45">
        <v>0</v>
      </c>
      <c r="J66" s="45"/>
      <c r="K66" s="45">
        <v>128238</v>
      </c>
      <c r="L66" s="45"/>
      <c r="M66" s="45">
        <v>369084</v>
      </c>
      <c r="N66" s="45"/>
      <c r="O66" s="45">
        <v>0</v>
      </c>
      <c r="P66" s="45"/>
      <c r="Q66" s="45">
        <v>73173</v>
      </c>
      <c r="R66" s="45"/>
      <c r="S66" s="44">
        <f t="shared" si="0"/>
        <v>7737</v>
      </c>
      <c r="T66" s="45"/>
      <c r="U66" s="45">
        <v>2972088</v>
      </c>
      <c r="V66" s="44"/>
      <c r="W66" s="45">
        <f>1500+191594</f>
        <v>193094</v>
      </c>
    </row>
    <row r="67" spans="1:23" s="116" customFormat="1" ht="12.75" customHeight="1">
      <c r="A67" s="44" t="s">
        <v>85</v>
      </c>
      <c r="C67" s="44" t="s">
        <v>85</v>
      </c>
      <c r="D67" s="35"/>
      <c r="E67" s="45">
        <v>833037</v>
      </c>
      <c r="F67" s="45"/>
      <c r="G67" s="45">
        <v>6574354</v>
      </c>
      <c r="H67" s="45"/>
      <c r="I67" s="45">
        <v>0</v>
      </c>
      <c r="J67" s="45"/>
      <c r="K67" s="45">
        <v>571591</v>
      </c>
      <c r="L67" s="45"/>
      <c r="M67" s="45">
        <v>2835054</v>
      </c>
      <c r="N67" s="45"/>
      <c r="O67" s="45">
        <v>111684</v>
      </c>
      <c r="P67" s="45"/>
      <c r="Q67" s="45">
        <f>857055+283514</f>
        <v>1140569</v>
      </c>
      <c r="R67" s="45"/>
      <c r="S67" s="44">
        <f t="shared" si="0"/>
        <v>282086</v>
      </c>
      <c r="T67" s="45"/>
      <c r="U67" s="45">
        <v>12348375</v>
      </c>
      <c r="V67" s="44"/>
      <c r="W67" s="45">
        <f>456000+13500</f>
        <v>469500</v>
      </c>
    </row>
    <row r="68" spans="1:23" s="117" customFormat="1" ht="12.75" customHeight="1">
      <c r="A68" s="44" t="s">
        <v>86</v>
      </c>
      <c r="B68" s="116"/>
      <c r="C68" s="44" t="s">
        <v>86</v>
      </c>
      <c r="D68" s="35"/>
      <c r="E68" s="45">
        <v>1825092</v>
      </c>
      <c r="F68" s="45"/>
      <c r="G68" s="45">
        <v>14559812</v>
      </c>
      <c r="H68" s="45"/>
      <c r="I68" s="45">
        <v>62339</v>
      </c>
      <c r="J68" s="45"/>
      <c r="K68" s="45">
        <v>2262787</v>
      </c>
      <c r="L68" s="45"/>
      <c r="M68" s="45">
        <v>4420892</v>
      </c>
      <c r="N68" s="45"/>
      <c r="O68" s="45">
        <v>35239</v>
      </c>
      <c r="P68" s="45"/>
      <c r="Q68" s="45">
        <f>2745278+313320</f>
        <v>3058598</v>
      </c>
      <c r="R68" s="45"/>
      <c r="S68" s="44">
        <f t="shared" si="0"/>
        <v>1388515</v>
      </c>
      <c r="T68" s="45"/>
      <c r="U68" s="45">
        <v>27613274</v>
      </c>
      <c r="V68" s="44"/>
      <c r="W68" s="45">
        <f>37085+178790+5804230</f>
        <v>6020105</v>
      </c>
    </row>
    <row r="69" spans="1:23" s="118" customFormat="1" ht="12.75" customHeight="1">
      <c r="A69" s="46" t="s">
        <v>87</v>
      </c>
      <c r="B69" s="117"/>
      <c r="C69" s="46" t="s">
        <v>88</v>
      </c>
      <c r="D69" s="64"/>
      <c r="E69" s="45">
        <v>369555</v>
      </c>
      <c r="F69" s="45"/>
      <c r="G69" s="45">
        <v>2368840</v>
      </c>
      <c r="H69" s="45"/>
      <c r="I69" s="45">
        <v>0</v>
      </c>
      <c r="J69" s="45"/>
      <c r="K69" s="45">
        <v>454631</v>
      </c>
      <c r="L69" s="45"/>
      <c r="M69" s="45">
        <v>1115333</v>
      </c>
      <c r="N69" s="45"/>
      <c r="O69" s="45">
        <v>0</v>
      </c>
      <c r="P69" s="45"/>
      <c r="Q69" s="45">
        <f>81788+37080</f>
        <v>118868</v>
      </c>
      <c r="R69" s="45"/>
      <c r="S69" s="44">
        <f t="shared" si="0"/>
        <v>670422</v>
      </c>
      <c r="T69" s="45"/>
      <c r="U69" s="45">
        <v>5097649</v>
      </c>
      <c r="V69" s="44"/>
      <c r="W69" s="45">
        <v>196939</v>
      </c>
    </row>
    <row r="70" spans="1:23" s="116" customFormat="1" ht="12.75" customHeight="1">
      <c r="A70" s="46" t="s">
        <v>394</v>
      </c>
      <c r="B70" s="117"/>
      <c r="C70" s="46" t="s">
        <v>89</v>
      </c>
      <c r="D70" s="35"/>
      <c r="E70" s="45">
        <v>1175280</v>
      </c>
      <c r="F70" s="45"/>
      <c r="G70" s="45">
        <v>5698074</v>
      </c>
      <c r="H70" s="45"/>
      <c r="I70" s="45">
        <v>0</v>
      </c>
      <c r="J70" s="45"/>
      <c r="K70" s="45">
        <v>1163085</v>
      </c>
      <c r="L70" s="45"/>
      <c r="M70" s="45">
        <v>2197376</v>
      </c>
      <c r="N70" s="45"/>
      <c r="O70" s="45">
        <v>0</v>
      </c>
      <c r="P70" s="45"/>
      <c r="Q70" s="45">
        <v>39689</v>
      </c>
      <c r="R70" s="45"/>
      <c r="S70" s="44">
        <f t="shared" si="0"/>
        <v>456935</v>
      </c>
      <c r="T70" s="45"/>
      <c r="U70" s="45">
        <v>10730439</v>
      </c>
      <c r="V70" s="44"/>
      <c r="W70" s="45">
        <v>2100000</v>
      </c>
    </row>
    <row r="71" spans="1:23" s="116" customFormat="1" ht="12.75" customHeight="1">
      <c r="A71" s="44" t="s">
        <v>90</v>
      </c>
      <c r="C71" s="44" t="s">
        <v>43</v>
      </c>
      <c r="D71" s="35"/>
      <c r="E71" s="45">
        <v>3529090</v>
      </c>
      <c r="F71" s="45"/>
      <c r="G71" s="45">
        <v>63765426</v>
      </c>
      <c r="H71" s="45"/>
      <c r="I71" s="45">
        <f>1459504+6220254</f>
        <v>7679758</v>
      </c>
      <c r="J71" s="45"/>
      <c r="K71" s="45">
        <v>6881987</v>
      </c>
      <c r="L71" s="45"/>
      <c r="M71" s="45">
        <v>5781377</v>
      </c>
      <c r="N71" s="45"/>
      <c r="O71" s="45">
        <v>259089</v>
      </c>
      <c r="P71" s="45"/>
      <c r="Q71" s="45">
        <v>2009547</v>
      </c>
      <c r="R71" s="45"/>
      <c r="S71" s="44">
        <f t="shared" si="0"/>
        <v>2422428</v>
      </c>
      <c r="T71" s="45"/>
      <c r="U71" s="45">
        <v>92328702</v>
      </c>
      <c r="V71" s="44"/>
      <c r="W71" s="45">
        <f>32935000+975518+23096305</f>
        <v>57006823</v>
      </c>
    </row>
    <row r="72" spans="1:23" s="116" customFormat="1" ht="12.75" customHeight="1">
      <c r="A72" s="47" t="s">
        <v>488</v>
      </c>
      <c r="B72" s="47"/>
      <c r="C72" s="47" t="s">
        <v>27</v>
      </c>
      <c r="D72" s="35"/>
      <c r="E72" s="45">
        <v>2088976</v>
      </c>
      <c r="F72" s="45"/>
      <c r="G72" s="45">
        <v>5515267</v>
      </c>
      <c r="H72" s="45"/>
      <c r="I72" s="45">
        <v>2250</v>
      </c>
      <c r="J72" s="45"/>
      <c r="K72" s="45">
        <v>1302182</v>
      </c>
      <c r="L72" s="45"/>
      <c r="M72" s="45">
        <v>7749682</v>
      </c>
      <c r="N72" s="45"/>
      <c r="O72" s="45">
        <v>312944</v>
      </c>
      <c r="P72" s="45"/>
      <c r="Q72" s="45">
        <f>351443+1267943</f>
        <v>1619386</v>
      </c>
      <c r="R72" s="45"/>
      <c r="S72" s="44">
        <f t="shared" ref="S72:S130" si="2">+U72-SUM(E72:Q72)</f>
        <v>739463</v>
      </c>
      <c r="T72" s="45"/>
      <c r="U72" s="45">
        <v>19330150</v>
      </c>
      <c r="V72" s="44"/>
      <c r="W72" s="45">
        <v>29094</v>
      </c>
    </row>
    <row r="73" spans="1:23" s="116" customFormat="1" ht="12.75" customHeight="1">
      <c r="A73" s="44" t="s">
        <v>93</v>
      </c>
      <c r="B73" s="47"/>
      <c r="C73" s="44" t="s">
        <v>94</v>
      </c>
      <c r="D73" s="35"/>
      <c r="E73" s="45">
        <v>906072</v>
      </c>
      <c r="F73" s="45"/>
      <c r="G73" s="45">
        <v>2913100</v>
      </c>
      <c r="H73" s="45"/>
      <c r="I73" s="45">
        <v>0</v>
      </c>
      <c r="J73" s="45"/>
      <c r="K73" s="45">
        <v>47885</v>
      </c>
      <c r="L73" s="45"/>
      <c r="M73" s="45">
        <v>2059448</v>
      </c>
      <c r="N73" s="45"/>
      <c r="O73" s="45">
        <v>12428</v>
      </c>
      <c r="P73" s="45"/>
      <c r="Q73" s="45">
        <f>544192+265016</f>
        <v>809208</v>
      </c>
      <c r="R73" s="45"/>
      <c r="S73" s="44">
        <f t="shared" si="2"/>
        <v>180201</v>
      </c>
      <c r="T73" s="45"/>
      <c r="U73" s="45">
        <v>6928342</v>
      </c>
      <c r="V73" s="44"/>
      <c r="W73" s="45">
        <f>13076+122189+2592702</f>
        <v>2727967</v>
      </c>
    </row>
    <row r="74" spans="1:23" s="117" customFormat="1" ht="12.75" customHeight="1">
      <c r="A74" s="46" t="s">
        <v>95</v>
      </c>
      <c r="C74" s="46" t="s">
        <v>94</v>
      </c>
      <c r="D74" s="64"/>
      <c r="E74" s="45">
        <v>1264800</v>
      </c>
      <c r="F74" s="45"/>
      <c r="G74" s="45">
        <v>0</v>
      </c>
      <c r="H74" s="45"/>
      <c r="I74" s="45">
        <v>0</v>
      </c>
      <c r="J74" s="45"/>
      <c r="K74" s="45">
        <v>360426</v>
      </c>
      <c r="L74" s="45"/>
      <c r="M74" s="45">
        <v>670499</v>
      </c>
      <c r="N74" s="45"/>
      <c r="O74" s="45">
        <v>0</v>
      </c>
      <c r="P74" s="45"/>
      <c r="Q74" s="45">
        <f>77728+9441</f>
        <v>87169</v>
      </c>
      <c r="R74" s="45"/>
      <c r="S74" s="44">
        <f t="shared" si="2"/>
        <v>180687</v>
      </c>
      <c r="T74" s="45"/>
      <c r="U74" s="45">
        <v>2563581</v>
      </c>
      <c r="V74" s="44"/>
      <c r="W74" s="45">
        <f>129014+276704+85997</f>
        <v>491715</v>
      </c>
    </row>
    <row r="75" spans="1:23" s="116" customFormat="1" ht="12.75" customHeight="1">
      <c r="A75" s="44" t="s">
        <v>91</v>
      </c>
      <c r="C75" s="44" t="s">
        <v>92</v>
      </c>
      <c r="D75" s="35"/>
      <c r="E75" s="45">
        <v>2968291</v>
      </c>
      <c r="F75" s="45"/>
      <c r="G75" s="45">
        <v>6193554</v>
      </c>
      <c r="H75" s="45"/>
      <c r="I75" s="45">
        <f>35267+139470+235855</f>
        <v>410592</v>
      </c>
      <c r="J75" s="45"/>
      <c r="K75" s="45">
        <v>2049768</v>
      </c>
      <c r="L75" s="45"/>
      <c r="M75" s="45">
        <v>6131509</v>
      </c>
      <c r="N75" s="45"/>
      <c r="O75" s="45">
        <v>0</v>
      </c>
      <c r="P75" s="45"/>
      <c r="Q75" s="45">
        <f>285114+215392</f>
        <v>500506</v>
      </c>
      <c r="R75" s="45"/>
      <c r="S75" s="44">
        <f t="shared" si="2"/>
        <v>570255</v>
      </c>
      <c r="T75" s="45"/>
      <c r="U75" s="45">
        <v>18824475</v>
      </c>
      <c r="V75" s="44"/>
      <c r="W75" s="45">
        <f>41250+62301+3986000+1908000</f>
        <v>5997551</v>
      </c>
    </row>
    <row r="76" spans="1:23" s="116" customFormat="1" ht="12.75" customHeight="1">
      <c r="A76" s="44" t="s">
        <v>96</v>
      </c>
      <c r="C76" s="44" t="s">
        <v>97</v>
      </c>
      <c r="D76" s="35"/>
      <c r="E76" s="45">
        <v>679375</v>
      </c>
      <c r="F76" s="45"/>
      <c r="G76" s="45">
        <v>2913006</v>
      </c>
      <c r="H76" s="45"/>
      <c r="I76" s="45">
        <v>0</v>
      </c>
      <c r="J76" s="45"/>
      <c r="K76" s="45">
        <v>654349</v>
      </c>
      <c r="L76" s="45"/>
      <c r="M76" s="45">
        <v>1529042</v>
      </c>
      <c r="N76" s="45"/>
      <c r="O76" s="45">
        <v>24577</v>
      </c>
      <c r="P76" s="45"/>
      <c r="Q76" s="45">
        <f>790790+24577</f>
        <v>815367</v>
      </c>
      <c r="R76" s="45"/>
      <c r="S76" s="44">
        <f t="shared" si="2"/>
        <v>236236</v>
      </c>
      <c r="T76" s="45"/>
      <c r="U76" s="45">
        <v>6851952</v>
      </c>
      <c r="V76" s="44"/>
      <c r="W76" s="45">
        <f>300+482573</f>
        <v>482873</v>
      </c>
    </row>
    <row r="77" spans="1:23" s="116" customFormat="1" ht="12.75" customHeight="1">
      <c r="A77" s="44" t="s">
        <v>98</v>
      </c>
      <c r="C77" s="44" t="s">
        <v>17</v>
      </c>
      <c r="D77" s="35"/>
      <c r="E77" s="45">
        <v>3904036</v>
      </c>
      <c r="F77" s="45"/>
      <c r="G77" s="45">
        <v>19135656</v>
      </c>
      <c r="H77" s="45"/>
      <c r="I77" s="45">
        <v>1366086</v>
      </c>
      <c r="J77" s="45"/>
      <c r="K77" s="45">
        <v>2012285</v>
      </c>
      <c r="L77" s="45"/>
      <c r="M77" s="45">
        <v>11470249</v>
      </c>
      <c r="N77" s="45"/>
      <c r="O77" s="45">
        <v>161091</v>
      </c>
      <c r="P77" s="45"/>
      <c r="Q77" s="45">
        <f>856617+1478529</f>
        <v>2335146</v>
      </c>
      <c r="R77" s="45"/>
      <c r="S77" s="44">
        <f t="shared" si="2"/>
        <v>749081</v>
      </c>
      <c r="T77" s="45"/>
      <c r="U77" s="45">
        <v>41133630</v>
      </c>
      <c r="V77" s="44"/>
      <c r="W77" s="45">
        <f>285684+3252000+9552+3440</f>
        <v>3550676</v>
      </c>
    </row>
    <row r="78" spans="1:23" s="116" customFormat="1" ht="12.75" customHeight="1">
      <c r="A78" s="44" t="s">
        <v>99</v>
      </c>
      <c r="C78" s="44" t="s">
        <v>66</v>
      </c>
      <c r="D78" s="35"/>
      <c r="E78" s="45">
        <v>1526347</v>
      </c>
      <c r="F78" s="45"/>
      <c r="G78" s="45">
        <v>5366769</v>
      </c>
      <c r="H78" s="45"/>
      <c r="I78" s="45">
        <v>335854</v>
      </c>
      <c r="J78" s="45"/>
      <c r="K78" s="45">
        <v>938532</v>
      </c>
      <c r="L78" s="45"/>
      <c r="M78" s="45">
        <v>2517987</v>
      </c>
      <c r="N78" s="45"/>
      <c r="O78" s="45">
        <v>205423</v>
      </c>
      <c r="P78" s="45"/>
      <c r="Q78" s="45">
        <f>83207+30901</f>
        <v>114108</v>
      </c>
      <c r="R78" s="45"/>
      <c r="S78" s="44">
        <f t="shared" si="2"/>
        <v>405025</v>
      </c>
      <c r="T78" s="45"/>
      <c r="U78" s="45">
        <v>11410045</v>
      </c>
      <c r="V78" s="44"/>
      <c r="W78" s="45">
        <f>286241+93279+7002995</f>
        <v>7382515</v>
      </c>
    </row>
    <row r="79" spans="1:23" s="116" customFormat="1" ht="12.75" customHeight="1">
      <c r="A79" s="44" t="s">
        <v>100</v>
      </c>
      <c r="C79" s="44" t="s">
        <v>27</v>
      </c>
      <c r="D79" s="35"/>
      <c r="E79" s="45">
        <v>4863732</v>
      </c>
      <c r="F79" s="45"/>
      <c r="G79" s="45">
        <v>22295312</v>
      </c>
      <c r="H79" s="45"/>
      <c r="I79" s="45">
        <v>172310</v>
      </c>
      <c r="J79" s="45"/>
      <c r="K79" s="45">
        <v>4396344</v>
      </c>
      <c r="L79" s="45"/>
      <c r="M79" s="45">
        <v>9702823</v>
      </c>
      <c r="N79" s="45"/>
      <c r="O79" s="45">
        <v>320199</v>
      </c>
      <c r="P79" s="45"/>
      <c r="Q79" s="45">
        <f>136019+1849083</f>
        <v>1985102</v>
      </c>
      <c r="R79" s="45"/>
      <c r="S79" s="44">
        <f t="shared" si="2"/>
        <v>2676052</v>
      </c>
      <c r="T79" s="45"/>
      <c r="U79" s="45">
        <v>46411874</v>
      </c>
      <c r="V79" s="44"/>
      <c r="W79" s="45">
        <f>1061859+2340000+18267+52620</f>
        <v>3472746</v>
      </c>
    </row>
    <row r="80" spans="1:23" s="116" customFormat="1" ht="12.75" customHeight="1">
      <c r="A80" s="44" t="s">
        <v>101</v>
      </c>
      <c r="C80" s="44" t="s">
        <v>30</v>
      </c>
      <c r="D80" s="35"/>
      <c r="E80" s="45">
        <v>2524711</v>
      </c>
      <c r="F80" s="45"/>
      <c r="G80" s="45">
        <v>11185796</v>
      </c>
      <c r="H80" s="45"/>
      <c r="I80" s="45">
        <f>738667+310823</f>
        <v>1049490</v>
      </c>
      <c r="J80" s="45"/>
      <c r="K80" s="45">
        <v>4151360</v>
      </c>
      <c r="L80" s="45"/>
      <c r="M80" s="45">
        <v>6004785</v>
      </c>
      <c r="N80" s="45"/>
      <c r="O80" s="45">
        <v>302578</v>
      </c>
      <c r="P80" s="45"/>
      <c r="Q80" s="45">
        <v>2002352</v>
      </c>
      <c r="R80" s="45"/>
      <c r="S80" s="44">
        <f t="shared" si="2"/>
        <v>1045572</v>
      </c>
      <c r="T80" s="45"/>
      <c r="U80" s="45">
        <v>28266644</v>
      </c>
      <c r="V80" s="44"/>
      <c r="W80" s="45">
        <f>135000+403000+10563476</f>
        <v>11101476</v>
      </c>
    </row>
    <row r="81" spans="1:23" s="116" customFormat="1" ht="12.75" customHeight="1">
      <c r="A81" s="44" t="s">
        <v>102</v>
      </c>
      <c r="C81" s="44" t="s">
        <v>103</v>
      </c>
      <c r="D81" s="35"/>
      <c r="E81" s="45">
        <v>26861747</v>
      </c>
      <c r="F81" s="45"/>
      <c r="G81" s="45">
        <v>0</v>
      </c>
      <c r="H81" s="45"/>
      <c r="I81" s="45">
        <v>0</v>
      </c>
      <c r="J81" s="45"/>
      <c r="K81" s="45">
        <v>2211605</v>
      </c>
      <c r="L81" s="45"/>
      <c r="M81" s="45">
        <v>6560501</v>
      </c>
      <c r="N81" s="45"/>
      <c r="O81" s="45">
        <v>69656</v>
      </c>
      <c r="P81" s="45"/>
      <c r="Q81" s="45">
        <v>2136001</v>
      </c>
      <c r="R81" s="45"/>
      <c r="S81" s="44">
        <f t="shared" si="2"/>
        <v>1069328</v>
      </c>
      <c r="T81" s="45"/>
      <c r="U81" s="45">
        <v>38908838</v>
      </c>
      <c r="V81" s="44"/>
      <c r="W81" s="45">
        <f>378346+346+6065000+2750000+35083+9330293</f>
        <v>18559068</v>
      </c>
    </row>
    <row r="82" spans="1:23" s="116" customFormat="1" ht="12.75" customHeight="1">
      <c r="A82" s="44" t="s">
        <v>104</v>
      </c>
      <c r="C82" s="44" t="s">
        <v>13</v>
      </c>
      <c r="D82" s="64"/>
      <c r="E82" s="45">
        <v>1043055</v>
      </c>
      <c r="F82" s="45"/>
      <c r="G82" s="45">
        <v>7893389</v>
      </c>
      <c r="H82" s="45"/>
      <c r="I82" s="45">
        <v>0</v>
      </c>
      <c r="J82" s="45"/>
      <c r="K82" s="45">
        <v>339981</v>
      </c>
      <c r="L82" s="45"/>
      <c r="M82" s="45">
        <v>1780556</v>
      </c>
      <c r="N82" s="45"/>
      <c r="O82" s="45">
        <v>329020</v>
      </c>
      <c r="P82" s="45"/>
      <c r="Q82" s="45">
        <f>144535+250221</f>
        <v>394756</v>
      </c>
      <c r="R82" s="45"/>
      <c r="S82" s="44">
        <f t="shared" si="2"/>
        <v>3053764</v>
      </c>
      <c r="T82" s="45"/>
      <c r="U82" s="45">
        <v>14834521</v>
      </c>
      <c r="V82" s="44"/>
      <c r="W82" s="45">
        <v>512469</v>
      </c>
    </row>
    <row r="83" spans="1:23" s="116" customFormat="1" ht="12.75" customHeight="1">
      <c r="A83" s="44" t="s">
        <v>105</v>
      </c>
      <c r="C83" s="44" t="s">
        <v>27</v>
      </c>
      <c r="D83" s="35"/>
      <c r="E83" s="45">
        <v>4094073</v>
      </c>
      <c r="F83" s="45"/>
      <c r="G83" s="45">
        <v>7091943</v>
      </c>
      <c r="H83" s="45"/>
      <c r="I83" s="45">
        <v>211285</v>
      </c>
      <c r="J83" s="45"/>
      <c r="K83" s="45">
        <v>1425433</v>
      </c>
      <c r="L83" s="45"/>
      <c r="M83" s="45">
        <v>3121304</v>
      </c>
      <c r="N83" s="45"/>
      <c r="O83" s="45">
        <v>233052</v>
      </c>
      <c r="P83" s="45"/>
      <c r="Q83" s="45">
        <v>402723</v>
      </c>
      <c r="R83" s="45"/>
      <c r="S83" s="44">
        <f t="shared" si="2"/>
        <v>383045</v>
      </c>
      <c r="T83" s="45"/>
      <c r="U83" s="45">
        <v>16962858</v>
      </c>
      <c r="V83" s="44"/>
      <c r="W83" s="45">
        <f>1100000+750887+391757+1112010</f>
        <v>3354654</v>
      </c>
    </row>
    <row r="84" spans="1:23" s="116" customFormat="1" ht="12.75" customHeight="1">
      <c r="A84" s="44" t="s">
        <v>106</v>
      </c>
      <c r="C84" s="44" t="s">
        <v>107</v>
      </c>
      <c r="D84" s="35"/>
      <c r="E84" s="45">
        <v>3193744</v>
      </c>
      <c r="F84" s="45"/>
      <c r="G84" s="45">
        <v>15646020</v>
      </c>
      <c r="H84" s="45"/>
      <c r="I84" s="45">
        <v>0</v>
      </c>
      <c r="J84" s="45"/>
      <c r="K84" s="45">
        <v>2011057</v>
      </c>
      <c r="L84" s="45"/>
      <c r="M84" s="45">
        <v>6768810</v>
      </c>
      <c r="N84" s="45"/>
      <c r="O84" s="45">
        <v>47171</v>
      </c>
      <c r="P84" s="45"/>
      <c r="Q84" s="45">
        <f>335820+1178490</f>
        <v>1514310</v>
      </c>
      <c r="R84" s="45"/>
      <c r="S84" s="44">
        <f t="shared" si="2"/>
        <v>2147714</v>
      </c>
      <c r="T84" s="45"/>
      <c r="U84" s="45">
        <v>31328826</v>
      </c>
      <c r="V84" s="44"/>
      <c r="W84" s="45">
        <f>35096+8200000+12848+18127688</f>
        <v>26375632</v>
      </c>
    </row>
    <row r="85" spans="1:23" s="116" customFormat="1" ht="12.75" customHeight="1">
      <c r="A85" s="44" t="s">
        <v>108</v>
      </c>
      <c r="C85" s="44" t="s">
        <v>45</v>
      </c>
      <c r="D85" s="35"/>
      <c r="E85" s="45">
        <v>12523690</v>
      </c>
      <c r="F85" s="45"/>
      <c r="G85" s="45">
        <v>0</v>
      </c>
      <c r="H85" s="45"/>
      <c r="I85" s="45">
        <v>295385</v>
      </c>
      <c r="J85" s="45"/>
      <c r="K85" s="45">
        <v>2349142</v>
      </c>
      <c r="L85" s="45"/>
      <c r="M85" s="45">
        <v>1702565</v>
      </c>
      <c r="N85" s="45"/>
      <c r="O85" s="45">
        <v>913508</v>
      </c>
      <c r="P85" s="45"/>
      <c r="Q85" s="45">
        <v>522833</v>
      </c>
      <c r="R85" s="45"/>
      <c r="S85" s="44">
        <f t="shared" si="2"/>
        <v>220704</v>
      </c>
      <c r="T85" s="45"/>
      <c r="U85" s="45">
        <v>18527827</v>
      </c>
      <c r="V85" s="44"/>
      <c r="W85" s="45">
        <v>1779804</v>
      </c>
    </row>
    <row r="86" spans="1:23" s="118" customFormat="1" ht="12.75" customHeight="1">
      <c r="A86" s="44" t="s">
        <v>109</v>
      </c>
      <c r="C86" s="44" t="s">
        <v>110</v>
      </c>
      <c r="D86" s="35"/>
      <c r="E86" s="45">
        <v>846700</v>
      </c>
      <c r="F86" s="45"/>
      <c r="G86" s="45">
        <v>5252176</v>
      </c>
      <c r="H86" s="45"/>
      <c r="I86" s="45">
        <v>0</v>
      </c>
      <c r="J86" s="45"/>
      <c r="K86" s="45">
        <v>659312</v>
      </c>
      <c r="L86" s="45"/>
      <c r="M86" s="45">
        <v>1837905</v>
      </c>
      <c r="N86" s="45"/>
      <c r="O86" s="45">
        <v>45920</v>
      </c>
      <c r="P86" s="45"/>
      <c r="Q86" s="45">
        <f>29314+15849</f>
        <v>45163</v>
      </c>
      <c r="R86" s="45"/>
      <c r="S86" s="44">
        <f t="shared" si="2"/>
        <v>643232</v>
      </c>
      <c r="T86" s="45"/>
      <c r="U86" s="45">
        <v>9330408</v>
      </c>
      <c r="V86" s="44"/>
      <c r="W86" s="45">
        <f>55274+1349423</f>
        <v>1404697</v>
      </c>
    </row>
    <row r="87" spans="1:23" s="116" customFormat="1" ht="12.75" customHeight="1">
      <c r="A87" s="44" t="s">
        <v>43</v>
      </c>
      <c r="B87" s="118"/>
      <c r="C87" s="44" t="s">
        <v>111</v>
      </c>
      <c r="D87" s="35"/>
      <c r="E87" s="45">
        <v>1038798</v>
      </c>
      <c r="F87" s="45"/>
      <c r="G87" s="45">
        <v>4937793</v>
      </c>
      <c r="H87" s="45"/>
      <c r="I87" s="45">
        <v>153622</v>
      </c>
      <c r="J87" s="45"/>
      <c r="K87" s="45">
        <v>257271</v>
      </c>
      <c r="L87" s="45"/>
      <c r="M87" s="45">
        <v>2418831</v>
      </c>
      <c r="N87" s="45"/>
      <c r="O87" s="45">
        <v>392219</v>
      </c>
      <c r="P87" s="45"/>
      <c r="Q87" s="45">
        <v>504197</v>
      </c>
      <c r="R87" s="45"/>
      <c r="S87" s="44">
        <f t="shared" si="2"/>
        <v>1053933</v>
      </c>
      <c r="T87" s="45"/>
      <c r="U87" s="45">
        <v>10756664</v>
      </c>
      <c r="V87" s="44"/>
      <c r="W87" s="45">
        <f>387500+3037723</f>
        <v>3425223</v>
      </c>
    </row>
    <row r="88" spans="1:23" s="116" customFormat="1" ht="12.75" customHeight="1">
      <c r="A88" s="44" t="s">
        <v>112</v>
      </c>
      <c r="C88" s="44" t="s">
        <v>76</v>
      </c>
      <c r="D88" s="35"/>
      <c r="E88" s="45">
        <v>1158220</v>
      </c>
      <c r="F88" s="45"/>
      <c r="G88" s="45">
        <v>7143483</v>
      </c>
      <c r="H88" s="45"/>
      <c r="I88" s="45">
        <v>0</v>
      </c>
      <c r="J88" s="45"/>
      <c r="K88" s="45">
        <v>476583</v>
      </c>
      <c r="L88" s="45"/>
      <c r="M88" s="45">
        <v>2779791</v>
      </c>
      <c r="N88" s="45"/>
      <c r="O88" s="45">
        <v>77701</v>
      </c>
      <c r="P88" s="45"/>
      <c r="Q88" s="45">
        <f>7283+387546</f>
        <v>394829</v>
      </c>
      <c r="R88" s="45"/>
      <c r="S88" s="44">
        <f t="shared" si="2"/>
        <v>544308</v>
      </c>
      <c r="T88" s="45"/>
      <c r="U88" s="45">
        <v>12574915</v>
      </c>
      <c r="V88" s="44"/>
      <c r="W88" s="45">
        <f>3040000+91954+7965000</f>
        <v>11096954</v>
      </c>
    </row>
    <row r="89" spans="1:23" s="116" customFormat="1" ht="12.75" customHeight="1">
      <c r="A89" s="44" t="s">
        <v>113</v>
      </c>
      <c r="C89" s="44" t="s">
        <v>43</v>
      </c>
      <c r="D89" s="35"/>
      <c r="E89" s="45">
        <v>2118489</v>
      </c>
      <c r="F89" s="45"/>
      <c r="G89" s="45">
        <v>12973103</v>
      </c>
      <c r="H89" s="45"/>
      <c r="I89" s="45">
        <f>841659+1342299</f>
        <v>2183958</v>
      </c>
      <c r="J89" s="45"/>
      <c r="K89" s="45">
        <v>3290260</v>
      </c>
      <c r="L89" s="45"/>
      <c r="M89" s="45">
        <v>6074706</v>
      </c>
      <c r="N89" s="45"/>
      <c r="O89" s="45">
        <v>0</v>
      </c>
      <c r="P89" s="45"/>
      <c r="Q89" s="45">
        <f>308831+881155</f>
        <v>1189986</v>
      </c>
      <c r="R89" s="45"/>
      <c r="S89" s="44">
        <f t="shared" si="2"/>
        <v>2155944</v>
      </c>
      <c r="T89" s="45"/>
      <c r="U89" s="45">
        <v>29986446</v>
      </c>
      <c r="V89" s="44"/>
      <c r="W89" s="45">
        <f>4281388+123905</f>
        <v>4405293</v>
      </c>
    </row>
    <row r="90" spans="1:23" s="116" customFormat="1" ht="12.75" customHeight="1">
      <c r="A90" s="44" t="s">
        <v>489</v>
      </c>
      <c r="C90" s="44" t="s">
        <v>57</v>
      </c>
      <c r="D90" s="35"/>
      <c r="E90" s="45">
        <v>453767</v>
      </c>
      <c r="F90" s="45"/>
      <c r="G90" s="45">
        <v>3994690</v>
      </c>
      <c r="H90" s="45"/>
      <c r="I90" s="45">
        <v>622436</v>
      </c>
      <c r="J90" s="45"/>
      <c r="K90" s="45">
        <v>1178672</v>
      </c>
      <c r="L90" s="45"/>
      <c r="M90" s="45">
        <v>3039679</v>
      </c>
      <c r="N90" s="45"/>
      <c r="O90" s="45">
        <v>0</v>
      </c>
      <c r="P90" s="45"/>
      <c r="Q90" s="45">
        <f>151846+40727</f>
        <v>192573</v>
      </c>
      <c r="R90" s="45"/>
      <c r="S90" s="44">
        <f t="shared" si="2"/>
        <v>413873</v>
      </c>
      <c r="T90" s="45"/>
      <c r="U90" s="45">
        <v>9895690</v>
      </c>
      <c r="V90" s="44"/>
      <c r="W90" s="45">
        <f>49300+78150+1104116</f>
        <v>1231566</v>
      </c>
    </row>
    <row r="91" spans="1:23" s="116" customFormat="1" ht="12.75" customHeight="1">
      <c r="A91" s="44" t="s">
        <v>114</v>
      </c>
      <c r="C91" s="44" t="s">
        <v>27</v>
      </c>
      <c r="D91" s="35"/>
      <c r="E91" s="45">
        <v>9648828</v>
      </c>
      <c r="F91" s="45"/>
      <c r="G91" s="45">
        <v>10913128</v>
      </c>
      <c r="H91" s="45"/>
      <c r="I91" s="45">
        <v>0</v>
      </c>
      <c r="J91" s="45"/>
      <c r="K91" s="45">
        <v>2916398</v>
      </c>
      <c r="L91" s="45"/>
      <c r="M91" s="45">
        <v>6291871</v>
      </c>
      <c r="N91" s="45"/>
      <c r="O91" s="45">
        <v>115948</v>
      </c>
      <c r="P91" s="45"/>
      <c r="Q91" s="45">
        <f>273985+942402</f>
        <v>1216387</v>
      </c>
      <c r="R91" s="45"/>
      <c r="S91" s="44">
        <f t="shared" si="2"/>
        <v>932319</v>
      </c>
      <c r="T91" s="45"/>
      <c r="U91" s="45">
        <v>32034879</v>
      </c>
      <c r="V91" s="44"/>
      <c r="W91" s="45">
        <f>9916000+4697136</f>
        <v>14613136</v>
      </c>
    </row>
    <row r="92" spans="1:23" s="116" customFormat="1" ht="12.75" customHeight="1">
      <c r="A92" s="44" t="s">
        <v>115</v>
      </c>
      <c r="C92" s="44" t="s">
        <v>19</v>
      </c>
      <c r="D92" s="35"/>
      <c r="E92" s="45">
        <v>555206</v>
      </c>
      <c r="F92" s="45"/>
      <c r="G92" s="45">
        <v>2624626</v>
      </c>
      <c r="H92" s="45"/>
      <c r="I92" s="45">
        <v>0</v>
      </c>
      <c r="J92" s="45"/>
      <c r="K92" s="45">
        <v>281137</v>
      </c>
      <c r="L92" s="45"/>
      <c r="M92" s="45">
        <v>1209019</v>
      </c>
      <c r="N92" s="45"/>
      <c r="O92" s="45">
        <v>156504</v>
      </c>
      <c r="P92" s="45"/>
      <c r="Q92" s="45">
        <v>291682</v>
      </c>
      <c r="R92" s="45"/>
      <c r="S92" s="44">
        <f t="shared" si="2"/>
        <v>60356</v>
      </c>
      <c r="T92" s="45"/>
      <c r="U92" s="45">
        <v>5178530</v>
      </c>
      <c r="V92" s="44"/>
      <c r="W92" s="45">
        <f>6308+14093+1200000+855599</f>
        <v>2076000</v>
      </c>
    </row>
    <row r="93" spans="1:23" s="116" customFormat="1" ht="12.75" customHeight="1">
      <c r="A93" s="44" t="s">
        <v>116</v>
      </c>
      <c r="C93" s="44" t="s">
        <v>80</v>
      </c>
      <c r="D93" s="35"/>
      <c r="E93" s="45">
        <v>1180417</v>
      </c>
      <c r="F93" s="45"/>
      <c r="G93" s="45">
        <v>3001972</v>
      </c>
      <c r="H93" s="45"/>
      <c r="I93" s="45">
        <v>0</v>
      </c>
      <c r="J93" s="45"/>
      <c r="K93" s="45">
        <v>96291</v>
      </c>
      <c r="L93" s="45"/>
      <c r="M93" s="45">
        <v>2072770</v>
      </c>
      <c r="N93" s="45"/>
      <c r="O93" s="45">
        <v>20376</v>
      </c>
      <c r="P93" s="45"/>
      <c r="Q93" s="45">
        <f>614674+879324</f>
        <v>1493998</v>
      </c>
      <c r="R93" s="45"/>
      <c r="S93" s="44">
        <f t="shared" si="2"/>
        <v>587442</v>
      </c>
      <c r="T93" s="45"/>
      <c r="U93" s="45">
        <v>8453266</v>
      </c>
      <c r="V93" s="44"/>
      <c r="W93" s="45">
        <v>0</v>
      </c>
    </row>
    <row r="94" spans="1:23" s="116" customFormat="1" ht="12.75" customHeight="1">
      <c r="A94" s="44" t="s">
        <v>117</v>
      </c>
      <c r="C94" s="44" t="s">
        <v>43</v>
      </c>
      <c r="D94" s="35"/>
      <c r="E94" s="45">
        <v>1503409</v>
      </c>
      <c r="F94" s="45"/>
      <c r="G94" s="45">
        <v>4738418</v>
      </c>
      <c r="H94" s="45"/>
      <c r="I94" s="45">
        <v>0</v>
      </c>
      <c r="J94" s="45"/>
      <c r="K94" s="45">
        <v>1128191</v>
      </c>
      <c r="L94" s="45"/>
      <c r="M94" s="45">
        <v>1355132</v>
      </c>
      <c r="N94" s="45"/>
      <c r="O94" s="45">
        <v>0</v>
      </c>
      <c r="P94" s="45"/>
      <c r="Q94" s="45">
        <f>182004+181496</f>
        <v>363500</v>
      </c>
      <c r="R94" s="45"/>
      <c r="S94" s="44">
        <f t="shared" si="2"/>
        <v>241884</v>
      </c>
      <c r="T94" s="45"/>
      <c r="U94" s="45">
        <v>9330534</v>
      </c>
      <c r="V94" s="44"/>
      <c r="W94" s="45">
        <f>15910+642700</f>
        <v>658610</v>
      </c>
    </row>
    <row r="95" spans="1:23" s="116" customFormat="1" ht="12.75" customHeight="1">
      <c r="A95" s="46" t="s">
        <v>118</v>
      </c>
      <c r="B95" s="117"/>
      <c r="C95" s="46" t="s">
        <v>13</v>
      </c>
      <c r="D95" s="35"/>
      <c r="E95" s="45">
        <v>1522715</v>
      </c>
      <c r="F95" s="45"/>
      <c r="G95" s="45">
        <v>16486637</v>
      </c>
      <c r="H95" s="45"/>
      <c r="I95" s="45">
        <f>302110+456310</f>
        <v>758420</v>
      </c>
      <c r="J95" s="45"/>
      <c r="K95" s="45">
        <v>932237</v>
      </c>
      <c r="L95" s="45"/>
      <c r="M95" s="45">
        <v>7979079</v>
      </c>
      <c r="N95" s="45"/>
      <c r="O95" s="45">
        <v>103167</v>
      </c>
      <c r="P95" s="45"/>
      <c r="Q95" s="45">
        <f>42519+500828</f>
        <v>543347</v>
      </c>
      <c r="R95" s="45"/>
      <c r="S95" s="44">
        <f t="shared" si="2"/>
        <v>2321885</v>
      </c>
      <c r="T95" s="45"/>
      <c r="U95" s="45">
        <v>30647487</v>
      </c>
      <c r="V95" s="44"/>
      <c r="W95" s="45">
        <f>73384+4550000+2000000+187296+8550000</f>
        <v>15360680</v>
      </c>
    </row>
    <row r="96" spans="1:23" s="116" customFormat="1" ht="12.75" customHeight="1">
      <c r="A96" s="44" t="s">
        <v>120</v>
      </c>
      <c r="C96" s="44" t="s">
        <v>121</v>
      </c>
      <c r="D96" s="35"/>
      <c r="E96" s="45">
        <v>1428098</v>
      </c>
      <c r="F96" s="45"/>
      <c r="G96" s="45">
        <v>5662364</v>
      </c>
      <c r="H96" s="45"/>
      <c r="I96" s="45">
        <v>0</v>
      </c>
      <c r="J96" s="45"/>
      <c r="K96" s="45">
        <v>157525</v>
      </c>
      <c r="L96" s="45"/>
      <c r="M96" s="45">
        <v>2856575</v>
      </c>
      <c r="N96" s="45"/>
      <c r="O96" s="45">
        <v>10182</v>
      </c>
      <c r="P96" s="45"/>
      <c r="Q96" s="45">
        <f>90094+128070</f>
        <v>218164</v>
      </c>
      <c r="R96" s="45"/>
      <c r="S96" s="44">
        <f t="shared" si="2"/>
        <v>395846</v>
      </c>
      <c r="T96" s="45"/>
      <c r="U96" s="45">
        <v>10728754</v>
      </c>
      <c r="V96" s="44"/>
      <c r="W96" s="45">
        <v>967722</v>
      </c>
    </row>
    <row r="97" spans="1:23" s="116" customFormat="1" ht="12.75" customHeight="1">
      <c r="A97" s="44" t="s">
        <v>122</v>
      </c>
      <c r="C97" s="44" t="s">
        <v>43</v>
      </c>
      <c r="D97" s="35"/>
      <c r="E97" s="45">
        <v>2755244</v>
      </c>
      <c r="F97" s="45"/>
      <c r="G97" s="45">
        <v>15849098</v>
      </c>
      <c r="H97" s="45"/>
      <c r="I97" s="45">
        <f>4106367+195826</f>
        <v>4302193</v>
      </c>
      <c r="J97" s="45"/>
      <c r="K97" s="45">
        <v>1389518</v>
      </c>
      <c r="L97" s="45"/>
      <c r="M97" s="45">
        <v>5106258</v>
      </c>
      <c r="N97" s="45"/>
      <c r="O97" s="45">
        <v>23897</v>
      </c>
      <c r="P97" s="45"/>
      <c r="Q97" s="45">
        <f>380268+610029</f>
        <v>990297</v>
      </c>
      <c r="R97" s="45"/>
      <c r="S97" s="44">
        <f t="shared" si="2"/>
        <v>2090806</v>
      </c>
      <c r="T97" s="45"/>
      <c r="U97" s="45">
        <v>32507311</v>
      </c>
      <c r="V97" s="44"/>
      <c r="W97" s="45">
        <f>33010+802125+7585000+10122320</f>
        <v>18542455</v>
      </c>
    </row>
    <row r="98" spans="1:23" s="116" customFormat="1" ht="12.75" customHeight="1">
      <c r="A98" s="44" t="s">
        <v>45</v>
      </c>
      <c r="C98" s="44" t="s">
        <v>103</v>
      </c>
      <c r="D98" s="35"/>
      <c r="E98" s="45">
        <v>9685123</v>
      </c>
      <c r="F98" s="45"/>
      <c r="G98" s="45">
        <v>22502121</v>
      </c>
      <c r="H98" s="45"/>
      <c r="I98" s="45">
        <v>0</v>
      </c>
      <c r="J98" s="45"/>
      <c r="K98" s="45">
        <v>11940972</v>
      </c>
      <c r="L98" s="45"/>
      <c r="M98" s="45">
        <v>13171624</v>
      </c>
      <c r="N98" s="45"/>
      <c r="O98" s="45">
        <v>515488</v>
      </c>
      <c r="P98" s="45"/>
      <c r="Q98" s="45">
        <f>900996+1080015</f>
        <v>1981011</v>
      </c>
      <c r="R98" s="45"/>
      <c r="S98" s="44">
        <f t="shared" si="2"/>
        <v>2184897</v>
      </c>
      <c r="T98" s="45"/>
      <c r="U98" s="45">
        <v>61981236</v>
      </c>
      <c r="V98" s="44"/>
      <c r="W98" s="45">
        <f>61196+4920000+142501+2235000+11407779</f>
        <v>18766476</v>
      </c>
    </row>
    <row r="99" spans="1:23" s="116" customFormat="1" ht="12.75" customHeight="1">
      <c r="A99" s="44" t="s">
        <v>123</v>
      </c>
      <c r="C99" s="44" t="s">
        <v>45</v>
      </c>
      <c r="D99" s="35"/>
      <c r="E99" s="45">
        <v>2338427</v>
      </c>
      <c r="F99" s="45"/>
      <c r="G99" s="45">
        <v>2845469</v>
      </c>
      <c r="H99" s="45"/>
      <c r="I99" s="45">
        <v>0</v>
      </c>
      <c r="J99" s="45"/>
      <c r="K99" s="45">
        <v>692342</v>
      </c>
      <c r="L99" s="45"/>
      <c r="M99" s="45">
        <v>2192876</v>
      </c>
      <c r="N99" s="45"/>
      <c r="O99" s="45">
        <v>0</v>
      </c>
      <c r="P99" s="45"/>
      <c r="Q99" s="45">
        <f>245031+117904</f>
        <v>362935</v>
      </c>
      <c r="R99" s="45"/>
      <c r="S99" s="44">
        <f t="shared" si="2"/>
        <v>295807</v>
      </c>
      <c r="T99" s="45"/>
      <c r="U99" s="45">
        <v>8727856</v>
      </c>
      <c r="V99" s="44"/>
      <c r="W99" s="45">
        <f>1810000+1150000+87316+504324+237739+2007615</f>
        <v>5796994</v>
      </c>
    </row>
    <row r="100" spans="1:23" s="116" customFormat="1" ht="12.75" customHeight="1">
      <c r="A100" s="44" t="s">
        <v>124</v>
      </c>
      <c r="C100" s="44" t="s">
        <v>125</v>
      </c>
      <c r="D100" s="35"/>
      <c r="E100" s="45">
        <v>6129963</v>
      </c>
      <c r="F100" s="45"/>
      <c r="G100" s="45">
        <v>0</v>
      </c>
      <c r="H100" s="45"/>
      <c r="I100" s="45">
        <v>0</v>
      </c>
      <c r="J100" s="45"/>
      <c r="K100" s="45">
        <v>872267</v>
      </c>
      <c r="L100" s="45"/>
      <c r="M100" s="45">
        <v>1836354</v>
      </c>
      <c r="N100" s="45"/>
      <c r="O100" s="45">
        <v>0</v>
      </c>
      <c r="P100" s="45"/>
      <c r="Q100" s="45">
        <f>28382+1660638</f>
        <v>1689020</v>
      </c>
      <c r="R100" s="45"/>
      <c r="S100" s="44">
        <f t="shared" si="2"/>
        <v>362501</v>
      </c>
      <c r="T100" s="45"/>
      <c r="U100" s="45">
        <v>10890105</v>
      </c>
      <c r="V100" s="44"/>
      <c r="W100" s="45">
        <f>1195000+11337+511534</f>
        <v>1717871</v>
      </c>
    </row>
    <row r="101" spans="1:23" s="116" customFormat="1" ht="12.75" customHeight="1">
      <c r="A101" s="44" t="s">
        <v>126</v>
      </c>
      <c r="C101" s="44" t="s">
        <v>27</v>
      </c>
      <c r="D101" s="35"/>
      <c r="E101" s="45">
        <v>1503004</v>
      </c>
      <c r="F101" s="45"/>
      <c r="G101" s="45">
        <v>9093495</v>
      </c>
      <c r="H101" s="45"/>
      <c r="I101" s="45">
        <v>91410</v>
      </c>
      <c r="J101" s="45"/>
      <c r="K101" s="45">
        <v>632782</v>
      </c>
      <c r="L101" s="45"/>
      <c r="M101" s="45">
        <v>1937897</v>
      </c>
      <c r="N101" s="45"/>
      <c r="O101" s="45">
        <v>982971</v>
      </c>
      <c r="P101" s="45"/>
      <c r="Q101" s="45">
        <v>359133</v>
      </c>
      <c r="R101" s="45"/>
      <c r="S101" s="44">
        <f t="shared" si="2"/>
        <v>227152</v>
      </c>
      <c r="T101" s="45"/>
      <c r="U101" s="45">
        <v>14827844</v>
      </c>
      <c r="V101" s="44"/>
      <c r="W101" s="45">
        <f>88+130650+1430000</f>
        <v>1560738</v>
      </c>
    </row>
    <row r="102" spans="1:23" s="116" customFormat="1" ht="12.75" customHeight="1">
      <c r="A102" s="44" t="s">
        <v>127</v>
      </c>
      <c r="C102" s="44" t="s">
        <v>43</v>
      </c>
      <c r="D102" s="35"/>
      <c r="E102" s="45">
        <v>1719684</v>
      </c>
      <c r="F102" s="45"/>
      <c r="G102" s="45">
        <v>15912550</v>
      </c>
      <c r="H102" s="45"/>
      <c r="I102" s="45">
        <v>1529580</v>
      </c>
      <c r="J102" s="45"/>
      <c r="K102" s="45">
        <v>3466922</v>
      </c>
      <c r="L102" s="45"/>
      <c r="M102" s="45">
        <v>3264109</v>
      </c>
      <c r="N102" s="45"/>
      <c r="O102" s="45">
        <v>28981</v>
      </c>
      <c r="P102" s="45"/>
      <c r="Q102" s="45">
        <f>968911+320788</f>
        <v>1289699</v>
      </c>
      <c r="R102" s="45"/>
      <c r="S102" s="44">
        <f t="shared" si="2"/>
        <v>534406</v>
      </c>
      <c r="T102" s="45"/>
      <c r="U102" s="45">
        <v>27745931</v>
      </c>
      <c r="V102" s="44"/>
      <c r="W102" s="45">
        <f>15540000+849054+6417386</f>
        <v>22806440</v>
      </c>
    </row>
    <row r="103" spans="1:23" s="116" customFormat="1" ht="12.75" customHeight="1">
      <c r="A103" s="44" t="s">
        <v>128</v>
      </c>
      <c r="C103" s="44" t="s">
        <v>119</v>
      </c>
      <c r="D103" s="35"/>
      <c r="E103" s="45">
        <v>3908876</v>
      </c>
      <c r="F103" s="45"/>
      <c r="G103" s="45">
        <v>0</v>
      </c>
      <c r="H103" s="45"/>
      <c r="I103" s="45">
        <v>0</v>
      </c>
      <c r="J103" s="45"/>
      <c r="K103" s="45">
        <v>655487</v>
      </c>
      <c r="L103" s="45"/>
      <c r="M103" s="45">
        <v>1143369</v>
      </c>
      <c r="N103" s="45"/>
      <c r="O103" s="45">
        <v>0</v>
      </c>
      <c r="P103" s="45"/>
      <c r="Q103" s="45">
        <f>61484+411284</f>
        <v>472768</v>
      </c>
      <c r="R103" s="45"/>
      <c r="S103" s="44">
        <f t="shared" si="2"/>
        <v>204233</v>
      </c>
      <c r="T103" s="45"/>
      <c r="U103" s="45">
        <v>6384733</v>
      </c>
      <c r="V103" s="44"/>
      <c r="W103" s="45">
        <f>635240+2730000+15500+79216</f>
        <v>3459956</v>
      </c>
    </row>
    <row r="104" spans="1:23" s="116" customFormat="1" ht="12.75" customHeight="1">
      <c r="A104" s="44" t="s">
        <v>129</v>
      </c>
      <c r="C104" s="44" t="s">
        <v>80</v>
      </c>
      <c r="D104" s="35"/>
      <c r="E104" s="45">
        <v>291650</v>
      </c>
      <c r="F104" s="45"/>
      <c r="G104" s="45">
        <v>1881642</v>
      </c>
      <c r="H104" s="45"/>
      <c r="I104" s="45">
        <v>0</v>
      </c>
      <c r="J104" s="45"/>
      <c r="K104" s="45">
        <v>3694</v>
      </c>
      <c r="L104" s="45"/>
      <c r="M104" s="45">
        <v>737184</v>
      </c>
      <c r="N104" s="45"/>
      <c r="O104" s="45">
        <v>0</v>
      </c>
      <c r="P104" s="45"/>
      <c r="Q104" s="45">
        <f>129145+36087</f>
        <v>165232</v>
      </c>
      <c r="R104" s="45"/>
      <c r="S104" s="44">
        <f t="shared" si="2"/>
        <v>302749</v>
      </c>
      <c r="T104" s="45"/>
      <c r="U104" s="45">
        <v>3382151</v>
      </c>
      <c r="V104" s="44"/>
      <c r="W104" s="45">
        <v>851583</v>
      </c>
    </row>
    <row r="105" spans="1:23" s="116" customFormat="1" ht="12.75" customHeight="1">
      <c r="A105" s="44" t="s">
        <v>130</v>
      </c>
      <c r="B105" s="118"/>
      <c r="C105" s="44" t="s">
        <v>66</v>
      </c>
      <c r="D105" s="35"/>
      <c r="E105" s="45">
        <v>3990387</v>
      </c>
      <c r="F105" s="45"/>
      <c r="G105" s="45">
        <v>11989079</v>
      </c>
      <c r="H105" s="45"/>
      <c r="I105" s="45">
        <v>550833</v>
      </c>
      <c r="J105" s="45"/>
      <c r="K105" s="45">
        <v>1405223</v>
      </c>
      <c r="L105" s="45"/>
      <c r="M105" s="45">
        <v>4060811</v>
      </c>
      <c r="N105" s="45"/>
      <c r="O105" s="45">
        <v>822373</v>
      </c>
      <c r="P105" s="45"/>
      <c r="Q105" s="45">
        <v>143934</v>
      </c>
      <c r="R105" s="45"/>
      <c r="S105" s="44">
        <f t="shared" si="2"/>
        <v>942890</v>
      </c>
      <c r="T105" s="45"/>
      <c r="U105" s="45">
        <v>23905530</v>
      </c>
      <c r="V105" s="44"/>
      <c r="W105" s="45">
        <v>6498223</v>
      </c>
    </row>
    <row r="106" spans="1:23" s="116" customFormat="1" ht="12.75" customHeight="1">
      <c r="A106" s="44" t="s">
        <v>131</v>
      </c>
      <c r="C106" s="44" t="s">
        <v>13</v>
      </c>
      <c r="D106" s="35"/>
      <c r="E106" s="45">
        <v>4633524</v>
      </c>
      <c r="F106" s="45"/>
      <c r="G106" s="45">
        <v>15282767</v>
      </c>
      <c r="H106" s="45"/>
      <c r="I106" s="45">
        <v>0</v>
      </c>
      <c r="J106" s="45"/>
      <c r="K106" s="45">
        <v>1222159</v>
      </c>
      <c r="L106" s="45"/>
      <c r="M106" s="45">
        <v>5882735</v>
      </c>
      <c r="N106" s="45"/>
      <c r="O106" s="45">
        <v>272488</v>
      </c>
      <c r="P106" s="45"/>
      <c r="Q106" s="45">
        <v>67645</v>
      </c>
      <c r="R106" s="45"/>
      <c r="S106" s="44">
        <f t="shared" si="2"/>
        <v>1518195</v>
      </c>
      <c r="T106" s="45"/>
      <c r="U106" s="45">
        <v>28879513</v>
      </c>
      <c r="V106" s="44"/>
      <c r="W106" s="45">
        <f>31925+6230502+143714+159946</f>
        <v>6566087</v>
      </c>
    </row>
    <row r="107" spans="1:23" s="116" customFormat="1" ht="12.75" customHeight="1">
      <c r="A107" s="44" t="s">
        <v>38</v>
      </c>
      <c r="C107" s="44" t="s">
        <v>132</v>
      </c>
      <c r="D107" s="35"/>
      <c r="E107" s="45">
        <v>942515</v>
      </c>
      <c r="F107" s="45"/>
      <c r="G107" s="45">
        <v>2145041</v>
      </c>
      <c r="H107" s="45"/>
      <c r="I107" s="45">
        <v>0</v>
      </c>
      <c r="J107" s="45"/>
      <c r="K107" s="45">
        <v>1724865</v>
      </c>
      <c r="L107" s="45"/>
      <c r="M107" s="45">
        <v>1387762</v>
      </c>
      <c r="N107" s="45"/>
      <c r="O107" s="45">
        <v>310691</v>
      </c>
      <c r="P107" s="45"/>
      <c r="Q107" s="45">
        <f>94765+392227</f>
        <v>486992</v>
      </c>
      <c r="R107" s="45"/>
      <c r="S107" s="44">
        <f t="shared" si="2"/>
        <v>275419</v>
      </c>
      <c r="T107" s="45"/>
      <c r="U107" s="45">
        <v>7273285</v>
      </c>
      <c r="V107" s="44"/>
      <c r="W107" s="45">
        <f>5276+66601+1550461</f>
        <v>1622338</v>
      </c>
    </row>
    <row r="108" spans="1:23" s="116" customFormat="1" ht="12.75" customHeight="1">
      <c r="A108" s="44" t="s">
        <v>133</v>
      </c>
      <c r="C108" s="44" t="s">
        <v>27</v>
      </c>
      <c r="D108" s="35"/>
      <c r="E108" s="45">
        <v>1243631</v>
      </c>
      <c r="F108" s="45"/>
      <c r="G108" s="45">
        <v>22559069</v>
      </c>
      <c r="H108" s="45"/>
      <c r="I108" s="45">
        <f>939861+18078+1272801</f>
        <v>2230740</v>
      </c>
      <c r="J108" s="45"/>
      <c r="K108" s="45">
        <v>50765</v>
      </c>
      <c r="L108" s="45"/>
      <c r="M108" s="45">
        <v>1463683</v>
      </c>
      <c r="N108" s="45"/>
      <c r="O108" s="45">
        <v>89812</v>
      </c>
      <c r="P108" s="45"/>
      <c r="Q108" s="45">
        <f>639937+462930</f>
        <v>1102867</v>
      </c>
      <c r="R108" s="45"/>
      <c r="S108" s="44">
        <f t="shared" si="2"/>
        <v>785086</v>
      </c>
      <c r="T108" s="45"/>
      <c r="U108" s="45">
        <v>29525653</v>
      </c>
      <c r="V108" s="44"/>
      <c r="W108" s="45">
        <f>5900000+5669+5576485</f>
        <v>11482154</v>
      </c>
    </row>
    <row r="109" spans="1:23" s="116" customFormat="1" ht="12.75" hidden="1" customHeight="1">
      <c r="A109" s="44" t="s">
        <v>482</v>
      </c>
      <c r="C109" s="44" t="s">
        <v>45</v>
      </c>
      <c r="D109" s="35"/>
      <c r="E109" s="45">
        <v>0</v>
      </c>
      <c r="F109" s="45"/>
      <c r="G109" s="45">
        <v>0</v>
      </c>
      <c r="H109" s="45"/>
      <c r="I109" s="45">
        <v>0</v>
      </c>
      <c r="J109" s="45"/>
      <c r="K109" s="45">
        <v>0</v>
      </c>
      <c r="L109" s="45"/>
      <c r="M109" s="45">
        <v>0</v>
      </c>
      <c r="N109" s="45"/>
      <c r="O109" s="45">
        <v>0</v>
      </c>
      <c r="P109" s="45"/>
      <c r="Q109" s="45">
        <v>0</v>
      </c>
      <c r="R109" s="45"/>
      <c r="S109" s="44">
        <f t="shared" si="2"/>
        <v>0</v>
      </c>
      <c r="T109" s="45"/>
      <c r="U109" s="45">
        <v>0</v>
      </c>
      <c r="V109" s="44"/>
      <c r="W109" s="45">
        <v>0</v>
      </c>
    </row>
    <row r="110" spans="1:23" s="116" customFormat="1" ht="12.75" customHeight="1">
      <c r="A110" s="44" t="s">
        <v>136</v>
      </c>
      <c r="C110" s="44" t="s">
        <v>136</v>
      </c>
      <c r="D110" s="35"/>
      <c r="E110" s="45">
        <v>627418</v>
      </c>
      <c r="F110" s="45"/>
      <c r="G110" s="45">
        <v>0</v>
      </c>
      <c r="H110" s="45"/>
      <c r="I110" s="45">
        <v>740153</v>
      </c>
      <c r="J110" s="45"/>
      <c r="K110" s="45">
        <v>949141</v>
      </c>
      <c r="L110" s="45"/>
      <c r="M110" s="45">
        <v>1149286</v>
      </c>
      <c r="N110" s="45"/>
      <c r="O110" s="45">
        <v>0</v>
      </c>
      <c r="P110" s="45"/>
      <c r="Q110" s="45">
        <f>63479+86335</f>
        <v>149814</v>
      </c>
      <c r="R110" s="45"/>
      <c r="S110" s="44">
        <f t="shared" si="2"/>
        <v>535108</v>
      </c>
      <c r="T110" s="45"/>
      <c r="U110" s="45">
        <v>4150920</v>
      </c>
      <c r="V110" s="44"/>
      <c r="W110" s="45">
        <f>319448+360250+153513</f>
        <v>833211</v>
      </c>
    </row>
    <row r="111" spans="1:23" s="116" customFormat="1" ht="12.75" customHeight="1">
      <c r="A111" s="44" t="s">
        <v>137</v>
      </c>
      <c r="C111" s="44" t="s">
        <v>22</v>
      </c>
      <c r="D111" s="35"/>
      <c r="E111" s="45">
        <v>3191649</v>
      </c>
      <c r="F111" s="45"/>
      <c r="G111" s="45">
        <v>10525332</v>
      </c>
      <c r="H111" s="45"/>
      <c r="I111" s="45">
        <v>0</v>
      </c>
      <c r="J111" s="45"/>
      <c r="K111" s="45">
        <v>1782466</v>
      </c>
      <c r="L111" s="45"/>
      <c r="M111" s="45">
        <v>5776055</v>
      </c>
      <c r="N111" s="45"/>
      <c r="O111" s="45">
        <v>134760</v>
      </c>
      <c r="P111" s="45"/>
      <c r="Q111" s="45">
        <f>195432+232475</f>
        <v>427907</v>
      </c>
      <c r="R111" s="45"/>
      <c r="S111" s="44">
        <f t="shared" si="2"/>
        <v>580731</v>
      </c>
      <c r="T111" s="45"/>
      <c r="U111" s="45">
        <v>22418900</v>
      </c>
      <c r="V111" s="44"/>
      <c r="W111" s="45">
        <v>9834480</v>
      </c>
    </row>
    <row r="112" spans="1:23" s="134" customFormat="1" ht="12.75" hidden="1" customHeight="1">
      <c r="A112" s="121" t="s">
        <v>138</v>
      </c>
      <c r="C112" s="121" t="s">
        <v>139</v>
      </c>
      <c r="D112" s="126"/>
      <c r="E112" s="45">
        <v>0</v>
      </c>
      <c r="F112" s="45"/>
      <c r="G112" s="45">
        <v>0</v>
      </c>
      <c r="H112" s="45"/>
      <c r="I112" s="45">
        <v>0</v>
      </c>
      <c r="J112" s="45"/>
      <c r="K112" s="45">
        <v>0</v>
      </c>
      <c r="L112" s="45"/>
      <c r="M112" s="45">
        <v>0</v>
      </c>
      <c r="N112" s="45"/>
      <c r="O112" s="45">
        <v>0</v>
      </c>
      <c r="P112" s="45"/>
      <c r="Q112" s="45">
        <v>0</v>
      </c>
      <c r="R112" s="45"/>
      <c r="S112" s="44">
        <f t="shared" si="2"/>
        <v>0</v>
      </c>
      <c r="T112" s="45"/>
      <c r="U112" s="45">
        <v>0</v>
      </c>
      <c r="V112" s="44"/>
      <c r="W112" s="45">
        <v>0</v>
      </c>
    </row>
    <row r="113" spans="1:23" s="116" customFormat="1" ht="12.75" customHeight="1">
      <c r="A113" s="44" t="s">
        <v>140</v>
      </c>
      <c r="C113" s="44" t="s">
        <v>66</v>
      </c>
      <c r="D113" s="35"/>
      <c r="E113" s="45">
        <v>9345887</v>
      </c>
      <c r="F113" s="45"/>
      <c r="G113" s="45">
        <v>35321466</v>
      </c>
      <c r="H113" s="45"/>
      <c r="I113" s="45">
        <v>0</v>
      </c>
      <c r="J113" s="45"/>
      <c r="K113" s="45">
        <v>7663257</v>
      </c>
      <c r="L113" s="45"/>
      <c r="M113" s="45">
        <v>11890457</v>
      </c>
      <c r="N113" s="45"/>
      <c r="O113" s="45">
        <v>1006879</v>
      </c>
      <c r="P113" s="45"/>
      <c r="Q113" s="45">
        <f>528823+1780070</f>
        <v>2308893</v>
      </c>
      <c r="R113" s="45"/>
      <c r="S113" s="44">
        <f t="shared" si="2"/>
        <v>5621225</v>
      </c>
      <c r="T113" s="45"/>
      <c r="U113" s="45">
        <v>73158064</v>
      </c>
      <c r="V113" s="44"/>
      <c r="W113" s="45">
        <f>15445122+12300000+239751+69246</f>
        <v>28054119</v>
      </c>
    </row>
    <row r="114" spans="1:23" s="116" customFormat="1" ht="12.75" customHeight="1">
      <c r="A114" s="44" t="s">
        <v>479</v>
      </c>
      <c r="C114" s="44" t="s">
        <v>92</v>
      </c>
      <c r="D114" s="35"/>
      <c r="E114" s="45">
        <v>1734794</v>
      </c>
      <c r="F114" s="45"/>
      <c r="G114" s="45">
        <v>2923619</v>
      </c>
      <c r="H114" s="45"/>
      <c r="I114" s="45">
        <v>0</v>
      </c>
      <c r="J114" s="45"/>
      <c r="K114" s="45">
        <v>266732</v>
      </c>
      <c r="L114" s="45"/>
      <c r="M114" s="45">
        <v>1660531</v>
      </c>
      <c r="N114" s="45"/>
      <c r="O114" s="45">
        <v>0</v>
      </c>
      <c r="P114" s="45"/>
      <c r="Q114" s="45">
        <f>36118+24210</f>
        <v>60328</v>
      </c>
      <c r="R114" s="45"/>
      <c r="S114" s="44">
        <f t="shared" si="2"/>
        <v>303697</v>
      </c>
      <c r="T114" s="45"/>
      <c r="U114" s="45">
        <v>6949701</v>
      </c>
      <c r="V114" s="44"/>
      <c r="W114" s="45">
        <f>11635+461477</f>
        <v>473112</v>
      </c>
    </row>
    <row r="115" spans="1:23" s="116" customFormat="1" ht="12.75" customHeight="1">
      <c r="A115" s="44" t="s">
        <v>141</v>
      </c>
      <c r="C115" s="44" t="s">
        <v>27</v>
      </c>
      <c r="D115" s="35"/>
      <c r="E115" s="45">
        <v>13194723</v>
      </c>
      <c r="F115" s="45"/>
      <c r="G115" s="45">
        <v>18355581</v>
      </c>
      <c r="H115" s="45"/>
      <c r="I115" s="45">
        <v>308520</v>
      </c>
      <c r="J115" s="45"/>
      <c r="K115" s="45">
        <v>3598946</v>
      </c>
      <c r="L115" s="45"/>
      <c r="M115" s="45">
        <v>13197654</v>
      </c>
      <c r="N115" s="45"/>
      <c r="O115" s="45">
        <v>24642</v>
      </c>
      <c r="P115" s="45"/>
      <c r="Q115" s="45">
        <f>1823254+1592897</f>
        <v>3416151</v>
      </c>
      <c r="R115" s="45"/>
      <c r="S115" s="44">
        <f t="shared" si="2"/>
        <v>939203</v>
      </c>
      <c r="T115" s="45"/>
      <c r="U115" s="45">
        <v>53035420</v>
      </c>
      <c r="V115" s="44"/>
      <c r="W115" s="45">
        <f>7771000+2175159+13561547</f>
        <v>23507706</v>
      </c>
    </row>
    <row r="116" spans="1:23" s="116" customFormat="1" ht="12.75" customHeight="1">
      <c r="A116" s="44" t="s">
        <v>142</v>
      </c>
      <c r="C116" s="44" t="s">
        <v>102</v>
      </c>
      <c r="D116" s="35"/>
      <c r="E116" s="45">
        <v>19672863</v>
      </c>
      <c r="F116" s="45"/>
      <c r="G116" s="45">
        <v>0</v>
      </c>
      <c r="H116" s="45"/>
      <c r="I116" s="45">
        <v>0</v>
      </c>
      <c r="J116" s="45"/>
      <c r="K116" s="45">
        <v>4192295</v>
      </c>
      <c r="L116" s="45"/>
      <c r="M116" s="45">
        <v>8496589</v>
      </c>
      <c r="N116" s="45"/>
      <c r="O116" s="45">
        <v>128276</v>
      </c>
      <c r="P116" s="45"/>
      <c r="Q116" s="45">
        <f>30148+1892301</f>
        <v>1922449</v>
      </c>
      <c r="R116" s="45"/>
      <c r="S116" s="44">
        <f t="shared" si="2"/>
        <v>1281190</v>
      </c>
      <c r="T116" s="45"/>
      <c r="U116" s="45">
        <v>35693662</v>
      </c>
      <c r="V116" s="44"/>
      <c r="W116" s="45">
        <f>1989769+518545</f>
        <v>2508314</v>
      </c>
    </row>
    <row r="117" spans="1:23" s="116" customFormat="1" ht="12.75" customHeight="1">
      <c r="A117" s="44" t="s">
        <v>143</v>
      </c>
      <c r="C117" s="44" t="s">
        <v>111</v>
      </c>
      <c r="D117" s="35"/>
      <c r="E117" s="45">
        <v>3594477</v>
      </c>
      <c r="F117" s="45"/>
      <c r="G117" s="45">
        <v>5510661</v>
      </c>
      <c r="H117" s="45"/>
      <c r="I117" s="45">
        <f>1319827+1269899</f>
        <v>2589726</v>
      </c>
      <c r="J117" s="45"/>
      <c r="K117" s="45">
        <v>2113504</v>
      </c>
      <c r="L117" s="45"/>
      <c r="M117" s="45">
        <v>3563319</v>
      </c>
      <c r="N117" s="45"/>
      <c r="O117" s="45">
        <v>103030</v>
      </c>
      <c r="P117" s="45"/>
      <c r="Q117" s="45">
        <v>795107</v>
      </c>
      <c r="R117" s="45"/>
      <c r="S117" s="44">
        <f t="shared" si="2"/>
        <v>1079633</v>
      </c>
      <c r="T117" s="45"/>
      <c r="U117" s="45">
        <v>19349457</v>
      </c>
      <c r="V117" s="44"/>
      <c r="W117" s="45">
        <f>14168+2575617</f>
        <v>2589785</v>
      </c>
    </row>
    <row r="118" spans="1:23" s="116" customFormat="1" ht="12.75" customHeight="1">
      <c r="A118" s="44" t="s">
        <v>144</v>
      </c>
      <c r="C118" s="44" t="s">
        <v>88</v>
      </c>
      <c r="D118" s="35"/>
      <c r="E118" s="45">
        <v>1378850</v>
      </c>
      <c r="F118" s="45"/>
      <c r="G118" s="45">
        <v>14903189</v>
      </c>
      <c r="H118" s="45"/>
      <c r="I118" s="45">
        <v>104775</v>
      </c>
      <c r="J118" s="45"/>
      <c r="K118" s="45">
        <v>5548401</v>
      </c>
      <c r="L118" s="45"/>
      <c r="M118" s="45">
        <v>10806113</v>
      </c>
      <c r="N118" s="45"/>
      <c r="O118" s="45">
        <v>81663</v>
      </c>
      <c r="P118" s="45"/>
      <c r="Q118" s="45">
        <f>637793+1481406</f>
        <v>2119199</v>
      </c>
      <c r="R118" s="45"/>
      <c r="S118" s="44">
        <f t="shared" si="2"/>
        <v>1194830</v>
      </c>
      <c r="T118" s="45"/>
      <c r="U118" s="45">
        <v>36137020</v>
      </c>
      <c r="V118" s="44"/>
      <c r="W118" s="45">
        <f>5587+655000+1904+245508+183290</f>
        <v>1091289</v>
      </c>
    </row>
    <row r="119" spans="1:23" s="116" customFormat="1" ht="12.75" customHeight="1">
      <c r="A119" s="44" t="s">
        <v>36</v>
      </c>
      <c r="C119" s="44" t="s">
        <v>145</v>
      </c>
      <c r="D119" s="35"/>
      <c r="E119" s="45">
        <v>443047</v>
      </c>
      <c r="F119" s="45"/>
      <c r="G119" s="45">
        <v>2679012</v>
      </c>
      <c r="H119" s="45"/>
      <c r="I119" s="45">
        <v>0</v>
      </c>
      <c r="J119" s="45"/>
      <c r="K119" s="45">
        <v>226829</v>
      </c>
      <c r="L119" s="45"/>
      <c r="M119" s="45">
        <v>1607329</v>
      </c>
      <c r="N119" s="45"/>
      <c r="O119" s="45">
        <v>0</v>
      </c>
      <c r="P119" s="45"/>
      <c r="Q119" s="45">
        <v>112694</v>
      </c>
      <c r="R119" s="45"/>
      <c r="S119" s="44">
        <f t="shared" si="2"/>
        <v>44142</v>
      </c>
      <c r="T119" s="45"/>
      <c r="U119" s="45">
        <v>5113053</v>
      </c>
      <c r="V119" s="44"/>
      <c r="W119" s="45">
        <v>108000</v>
      </c>
    </row>
    <row r="120" spans="1:23" s="116" customFormat="1" ht="12.75" customHeight="1">
      <c r="A120" s="44" t="s">
        <v>146</v>
      </c>
      <c r="C120" s="44" t="s">
        <v>147</v>
      </c>
      <c r="D120" s="35"/>
      <c r="E120" s="45">
        <v>4046591</v>
      </c>
      <c r="F120" s="45"/>
      <c r="G120" s="45">
        <v>0</v>
      </c>
      <c r="H120" s="45"/>
      <c r="I120" s="45">
        <v>0</v>
      </c>
      <c r="J120" s="45"/>
      <c r="K120" s="45">
        <v>311717</v>
      </c>
      <c r="L120" s="45"/>
      <c r="M120" s="45">
        <v>1076552</v>
      </c>
      <c r="N120" s="45"/>
      <c r="O120" s="45">
        <v>8085</v>
      </c>
      <c r="P120" s="45"/>
      <c r="Q120" s="45">
        <v>72167</v>
      </c>
      <c r="R120" s="45"/>
      <c r="S120" s="44">
        <f t="shared" si="2"/>
        <v>105902</v>
      </c>
      <c r="T120" s="45"/>
      <c r="U120" s="45">
        <v>5621014</v>
      </c>
      <c r="V120" s="44"/>
      <c r="W120" s="45">
        <f>494567+9990</f>
        <v>504557</v>
      </c>
    </row>
    <row r="121" spans="1:23" s="116" customFormat="1" ht="12.75" customHeight="1">
      <c r="A121" s="44" t="s">
        <v>471</v>
      </c>
      <c r="C121" s="44"/>
      <c r="D121" s="3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4"/>
      <c r="T121" s="45"/>
      <c r="U121" s="45"/>
      <c r="V121" s="44"/>
      <c r="W121" s="48" t="s">
        <v>484</v>
      </c>
    </row>
    <row r="122" spans="1:23" s="116" customFormat="1" ht="12.75" customHeight="1">
      <c r="A122" s="44" t="s">
        <v>17</v>
      </c>
      <c r="C122" s="44" t="s">
        <v>17</v>
      </c>
      <c r="D122" s="35"/>
      <c r="E122" s="94">
        <v>4085257</v>
      </c>
      <c r="F122" s="94"/>
      <c r="G122" s="94">
        <v>15688501</v>
      </c>
      <c r="H122" s="94"/>
      <c r="I122" s="94">
        <f>688593+602430</f>
        <v>1291023</v>
      </c>
      <c r="J122" s="94"/>
      <c r="K122" s="94">
        <v>1780212</v>
      </c>
      <c r="L122" s="94"/>
      <c r="M122" s="94">
        <v>15798768</v>
      </c>
      <c r="N122" s="94"/>
      <c r="O122" s="94">
        <v>66625</v>
      </c>
      <c r="P122" s="94"/>
      <c r="Q122" s="94">
        <f>1047477+1824570</f>
        <v>2872047</v>
      </c>
      <c r="R122" s="94"/>
      <c r="S122" s="46">
        <f t="shared" si="2"/>
        <v>568183</v>
      </c>
      <c r="T122" s="94"/>
      <c r="U122" s="94">
        <v>42150616</v>
      </c>
      <c r="V122" s="46"/>
      <c r="W122" s="94">
        <f>266033+390000+1626699+12530+2664088</f>
        <v>4959350</v>
      </c>
    </row>
    <row r="123" spans="1:23" s="116" customFormat="1" ht="12.75" customHeight="1">
      <c r="A123" s="44" t="s">
        <v>148</v>
      </c>
      <c r="C123" s="44" t="s">
        <v>15</v>
      </c>
      <c r="D123" s="35"/>
      <c r="E123" s="45">
        <v>405380</v>
      </c>
      <c r="F123" s="45"/>
      <c r="G123" s="45">
        <v>2411065</v>
      </c>
      <c r="H123" s="45"/>
      <c r="I123" s="45">
        <v>0</v>
      </c>
      <c r="J123" s="45"/>
      <c r="K123" s="45">
        <v>561915</v>
      </c>
      <c r="L123" s="45"/>
      <c r="M123" s="45">
        <v>992044</v>
      </c>
      <c r="N123" s="45"/>
      <c r="O123" s="45">
        <v>0</v>
      </c>
      <c r="P123" s="45"/>
      <c r="Q123" s="45">
        <f>114544+39471</f>
        <v>154015</v>
      </c>
      <c r="R123" s="45"/>
      <c r="S123" s="44">
        <f t="shared" si="2"/>
        <v>109088</v>
      </c>
      <c r="T123" s="45"/>
      <c r="U123" s="45">
        <v>4633507</v>
      </c>
      <c r="V123" s="44"/>
      <c r="W123" s="45">
        <v>445788</v>
      </c>
    </row>
    <row r="124" spans="1:23" s="116" customFormat="1" ht="12.75" customHeight="1">
      <c r="A124" s="44" t="s">
        <v>149</v>
      </c>
      <c r="C124" s="44" t="s">
        <v>45</v>
      </c>
      <c r="D124" s="35"/>
      <c r="E124" s="45">
        <v>3214895</v>
      </c>
      <c r="F124" s="45"/>
      <c r="G124" s="45">
        <v>3104703</v>
      </c>
      <c r="H124" s="45"/>
      <c r="I124" s="45">
        <v>0</v>
      </c>
      <c r="J124" s="45"/>
      <c r="K124" s="45">
        <v>679337</v>
      </c>
      <c r="L124" s="45"/>
      <c r="M124" s="45">
        <v>2349684</v>
      </c>
      <c r="N124" s="45"/>
      <c r="O124" s="45">
        <v>0</v>
      </c>
      <c r="P124" s="45"/>
      <c r="Q124" s="45">
        <f>62621+132611</f>
        <v>195232</v>
      </c>
      <c r="R124" s="45"/>
      <c r="S124" s="44">
        <f t="shared" si="2"/>
        <v>680340</v>
      </c>
      <c r="T124" s="45"/>
      <c r="U124" s="45">
        <v>10224191</v>
      </c>
      <c r="V124" s="44"/>
      <c r="W124" s="45">
        <f>337309+193155+1833531</f>
        <v>2363995</v>
      </c>
    </row>
    <row r="125" spans="1:23" s="117" customFormat="1" ht="12.75" customHeight="1">
      <c r="A125" s="44" t="s">
        <v>150</v>
      </c>
      <c r="B125" s="116"/>
      <c r="C125" s="44" t="s">
        <v>27</v>
      </c>
      <c r="D125" s="35"/>
      <c r="E125" s="45">
        <v>4712150</v>
      </c>
      <c r="F125" s="45"/>
      <c r="G125" s="45">
        <v>5983062</v>
      </c>
      <c r="H125" s="45"/>
      <c r="I125" s="45">
        <v>128884</v>
      </c>
      <c r="J125" s="45"/>
      <c r="K125" s="45">
        <v>538424</v>
      </c>
      <c r="L125" s="45"/>
      <c r="M125" s="45">
        <v>3469507</v>
      </c>
      <c r="N125" s="45"/>
      <c r="O125" s="45">
        <v>1024054</v>
      </c>
      <c r="P125" s="45"/>
      <c r="Q125" s="45">
        <f>1821940+28102</f>
        <v>1850042</v>
      </c>
      <c r="R125" s="45"/>
      <c r="S125" s="44">
        <f t="shared" si="2"/>
        <v>380773</v>
      </c>
      <c r="T125" s="45"/>
      <c r="U125" s="45">
        <v>18086896</v>
      </c>
      <c r="V125" s="44"/>
      <c r="W125" s="45">
        <f>28244+1500000+1013684</f>
        <v>2541928</v>
      </c>
    </row>
    <row r="126" spans="1:23" s="116" customFormat="1" ht="12.75" customHeight="1">
      <c r="A126" s="44" t="s">
        <v>151</v>
      </c>
      <c r="C126" s="44" t="s">
        <v>13</v>
      </c>
      <c r="D126" s="35"/>
      <c r="E126" s="45">
        <v>2260651</v>
      </c>
      <c r="F126" s="45"/>
      <c r="G126" s="45">
        <v>6253348</v>
      </c>
      <c r="H126" s="45"/>
      <c r="I126" s="45">
        <v>0</v>
      </c>
      <c r="J126" s="45"/>
      <c r="K126" s="45">
        <v>1479196</v>
      </c>
      <c r="L126" s="45"/>
      <c r="M126" s="45">
        <v>2538765</v>
      </c>
      <c r="N126" s="45"/>
      <c r="O126" s="45">
        <v>229964</v>
      </c>
      <c r="P126" s="45"/>
      <c r="Q126" s="45">
        <v>783420</v>
      </c>
      <c r="R126" s="45"/>
      <c r="S126" s="44">
        <f t="shared" si="2"/>
        <v>219033</v>
      </c>
      <c r="T126" s="45"/>
      <c r="U126" s="45">
        <v>13764377</v>
      </c>
      <c r="V126" s="44"/>
      <c r="W126" s="45">
        <f>929818+156139+1709405</f>
        <v>2795362</v>
      </c>
    </row>
    <row r="127" spans="1:23" s="116" customFormat="1" ht="12.75" customHeight="1">
      <c r="A127" s="44" t="s">
        <v>481</v>
      </c>
      <c r="C127" s="44" t="s">
        <v>45</v>
      </c>
      <c r="D127" s="35"/>
      <c r="E127" s="45">
        <v>4291411</v>
      </c>
      <c r="F127" s="45"/>
      <c r="G127" s="45">
        <v>0</v>
      </c>
      <c r="H127" s="45"/>
      <c r="I127" s="45">
        <v>0</v>
      </c>
      <c r="J127" s="45"/>
      <c r="K127" s="45">
        <v>73498</v>
      </c>
      <c r="L127" s="45"/>
      <c r="M127" s="45">
        <v>1949114</v>
      </c>
      <c r="N127" s="45"/>
      <c r="O127" s="45">
        <v>0</v>
      </c>
      <c r="P127" s="45"/>
      <c r="Q127" s="45">
        <f>75030+123744</f>
        <v>198774</v>
      </c>
      <c r="R127" s="45"/>
      <c r="S127" s="44">
        <f t="shared" si="2"/>
        <v>334203</v>
      </c>
      <c r="T127" s="45"/>
      <c r="U127" s="45">
        <v>6847000</v>
      </c>
      <c r="V127" s="44"/>
      <c r="W127" s="45">
        <v>477000</v>
      </c>
    </row>
    <row r="128" spans="1:23" s="118" customFormat="1" ht="12.75" customHeight="1">
      <c r="A128" s="44" t="s">
        <v>152</v>
      </c>
      <c r="B128" s="116"/>
      <c r="C128" s="44" t="s">
        <v>153</v>
      </c>
      <c r="D128" s="35"/>
      <c r="E128" s="45">
        <v>2386719</v>
      </c>
      <c r="F128" s="45"/>
      <c r="G128" s="45">
        <v>19066443</v>
      </c>
      <c r="H128" s="45"/>
      <c r="I128" s="45">
        <v>0</v>
      </c>
      <c r="J128" s="45"/>
      <c r="K128" s="45">
        <v>1699492</v>
      </c>
      <c r="L128" s="45"/>
      <c r="M128" s="45">
        <v>12094597</v>
      </c>
      <c r="N128" s="45"/>
      <c r="O128" s="45">
        <v>56273</v>
      </c>
      <c r="P128" s="45"/>
      <c r="Q128" s="45">
        <f>754461+2317850</f>
        <v>3072311</v>
      </c>
      <c r="R128" s="45"/>
      <c r="S128" s="44">
        <f t="shared" si="2"/>
        <v>966445</v>
      </c>
      <c r="T128" s="45"/>
      <c r="U128" s="45">
        <v>39342280</v>
      </c>
      <c r="V128" s="44"/>
      <c r="W128" s="45">
        <f>167581+2620000+64448+100000+1660461</f>
        <v>4612490</v>
      </c>
    </row>
    <row r="129" spans="1:24" s="116" customFormat="1" ht="12.75" customHeight="1">
      <c r="A129" s="44" t="s">
        <v>154</v>
      </c>
      <c r="C129" s="44" t="s">
        <v>27</v>
      </c>
      <c r="D129" s="35"/>
      <c r="E129" s="45">
        <v>5698383</v>
      </c>
      <c r="F129" s="45"/>
      <c r="G129" s="45">
        <v>7233707</v>
      </c>
      <c r="H129" s="45"/>
      <c r="I129" s="45">
        <v>0</v>
      </c>
      <c r="J129" s="45"/>
      <c r="K129" s="45">
        <v>2407765</v>
      </c>
      <c r="L129" s="45"/>
      <c r="M129" s="45">
        <v>4419672</v>
      </c>
      <c r="N129" s="45"/>
      <c r="O129" s="45">
        <v>131155</v>
      </c>
      <c r="P129" s="45"/>
      <c r="Q129" s="45">
        <v>1755677</v>
      </c>
      <c r="R129" s="45"/>
      <c r="S129" s="44">
        <f t="shared" si="2"/>
        <v>263908</v>
      </c>
      <c r="T129" s="45"/>
      <c r="U129" s="45">
        <v>21910267</v>
      </c>
      <c r="V129" s="44"/>
      <c r="W129" s="45">
        <f>5000000+8940895</f>
        <v>13940895</v>
      </c>
    </row>
    <row r="130" spans="1:24" s="116" customFormat="1" ht="12.75" customHeight="1">
      <c r="A130" s="44" t="s">
        <v>155</v>
      </c>
      <c r="C130" s="44" t="s">
        <v>40</v>
      </c>
      <c r="D130" s="35"/>
      <c r="E130" s="45">
        <v>503650</v>
      </c>
      <c r="F130" s="45"/>
      <c r="G130" s="45">
        <v>7761706</v>
      </c>
      <c r="H130" s="45"/>
      <c r="I130" s="45">
        <f>252321+34242+201107+292239</f>
        <v>779909</v>
      </c>
      <c r="J130" s="45"/>
      <c r="K130" s="45">
        <v>1654214</v>
      </c>
      <c r="L130" s="45"/>
      <c r="M130" s="45">
        <v>6824941</v>
      </c>
      <c r="N130" s="45"/>
      <c r="O130" s="45">
        <v>0</v>
      </c>
      <c r="P130" s="45"/>
      <c r="Q130" s="45">
        <v>877041</v>
      </c>
      <c r="R130" s="45"/>
      <c r="S130" s="44">
        <f t="shared" si="2"/>
        <v>461187</v>
      </c>
      <c r="T130" s="45"/>
      <c r="U130" s="45">
        <v>18862648</v>
      </c>
      <c r="V130" s="44"/>
      <c r="W130" s="45">
        <f>50655+732000+138985</f>
        <v>921640</v>
      </c>
    </row>
    <row r="131" spans="1:24" s="116" customFormat="1" ht="12.75" customHeight="1">
      <c r="A131" s="46" t="s">
        <v>156</v>
      </c>
      <c r="B131" s="117"/>
      <c r="C131" s="46" t="s">
        <v>156</v>
      </c>
      <c r="D131" s="35"/>
      <c r="E131" s="45">
        <v>1316619</v>
      </c>
      <c r="F131" s="45"/>
      <c r="G131" s="45">
        <v>12655161</v>
      </c>
      <c r="H131" s="45"/>
      <c r="I131" s="45">
        <v>345570</v>
      </c>
      <c r="J131" s="45"/>
      <c r="K131" s="45">
        <v>1827413</v>
      </c>
      <c r="L131" s="45"/>
      <c r="M131" s="45">
        <v>5621327</v>
      </c>
      <c r="N131" s="45"/>
      <c r="O131" s="45">
        <v>0</v>
      </c>
      <c r="P131" s="45"/>
      <c r="Q131" s="45">
        <f>363818+1214293</f>
        <v>1578111</v>
      </c>
      <c r="R131" s="45"/>
      <c r="S131" s="44">
        <f t="shared" ref="S131" si="3">+U131-SUM(E131:Q131)</f>
        <v>699212</v>
      </c>
      <c r="T131" s="45"/>
      <c r="U131" s="45">
        <v>24043413</v>
      </c>
      <c r="V131" s="44"/>
      <c r="W131" s="45">
        <f>3780000+3650+1125210</f>
        <v>4908860</v>
      </c>
    </row>
    <row r="132" spans="1:24" s="116" customFormat="1" ht="12.75" customHeight="1">
      <c r="A132" s="44" t="s">
        <v>157</v>
      </c>
      <c r="C132" s="44" t="s">
        <v>33</v>
      </c>
      <c r="D132" s="35"/>
      <c r="E132" s="45">
        <v>307346</v>
      </c>
      <c r="F132" s="45"/>
      <c r="G132" s="45">
        <v>1133295</v>
      </c>
      <c r="H132" s="45"/>
      <c r="I132" s="45">
        <v>0</v>
      </c>
      <c r="J132" s="45"/>
      <c r="K132" s="45">
        <v>855488</v>
      </c>
      <c r="L132" s="45"/>
      <c r="M132" s="45">
        <v>1184782</v>
      </c>
      <c r="N132" s="45"/>
      <c r="O132" s="45">
        <v>0</v>
      </c>
      <c r="P132" s="45"/>
      <c r="Q132" s="45">
        <f>76517+25000</f>
        <v>101517</v>
      </c>
      <c r="R132" s="45"/>
      <c r="S132" s="44">
        <f t="shared" ref="S132:S195" si="4">+U132-SUM(E132:Q132)</f>
        <v>106300</v>
      </c>
      <c r="T132" s="45"/>
      <c r="U132" s="45">
        <v>3688728</v>
      </c>
      <c r="V132" s="44"/>
      <c r="W132" s="45">
        <f>184000+140000+128000</f>
        <v>452000</v>
      </c>
    </row>
    <row r="133" spans="1:24" s="116" customFormat="1" ht="12.75" customHeight="1">
      <c r="A133" s="44" t="s">
        <v>158</v>
      </c>
      <c r="C133" s="44" t="s">
        <v>159</v>
      </c>
      <c r="D133" s="35"/>
      <c r="E133" s="45">
        <v>1867916</v>
      </c>
      <c r="F133" s="45"/>
      <c r="G133" s="45">
        <v>8435459</v>
      </c>
      <c r="H133" s="45"/>
      <c r="I133" s="45">
        <f>120864+956394</f>
        <v>1077258</v>
      </c>
      <c r="J133" s="45"/>
      <c r="K133" s="45">
        <v>1115969</v>
      </c>
      <c r="L133" s="45"/>
      <c r="M133" s="45">
        <v>3163702</v>
      </c>
      <c r="N133" s="45"/>
      <c r="O133" s="45">
        <v>0</v>
      </c>
      <c r="P133" s="45"/>
      <c r="Q133" s="45">
        <f>362866+632938</f>
        <v>995804</v>
      </c>
      <c r="R133" s="45"/>
      <c r="S133" s="44">
        <f t="shared" si="4"/>
        <v>319729</v>
      </c>
      <c r="T133" s="45"/>
      <c r="U133" s="45">
        <v>16975837</v>
      </c>
      <c r="V133" s="44"/>
      <c r="W133" s="45">
        <f>12980000+34177+80396+2447091</f>
        <v>15541664</v>
      </c>
      <c r="X133" s="118"/>
    </row>
    <row r="134" spans="1:24" s="117" customFormat="1" ht="12.75" customHeight="1">
      <c r="A134" s="46" t="s">
        <v>160</v>
      </c>
      <c r="C134" s="46" t="s">
        <v>111</v>
      </c>
      <c r="D134" s="64"/>
      <c r="E134" s="45">
        <v>28023892</v>
      </c>
      <c r="F134" s="45"/>
      <c r="G134" s="45">
        <v>0</v>
      </c>
      <c r="H134" s="45"/>
      <c r="I134" s="45">
        <v>0</v>
      </c>
      <c r="J134" s="45"/>
      <c r="K134" s="45">
        <v>2158383</v>
      </c>
      <c r="L134" s="45"/>
      <c r="M134" s="45">
        <v>5698095</v>
      </c>
      <c r="N134" s="45"/>
      <c r="O134" s="45">
        <v>69847</v>
      </c>
      <c r="P134" s="45"/>
      <c r="Q134" s="45">
        <v>1993982</v>
      </c>
      <c r="R134" s="45"/>
      <c r="S134" s="44">
        <f t="shared" si="4"/>
        <v>1555585</v>
      </c>
      <c r="T134" s="45"/>
      <c r="U134" s="45">
        <v>39499784</v>
      </c>
      <c r="V134" s="44"/>
      <c r="W134" s="45">
        <v>5549055</v>
      </c>
    </row>
    <row r="135" spans="1:24" s="116" customFormat="1" ht="12.75" customHeight="1">
      <c r="A135" s="44" t="s">
        <v>161</v>
      </c>
      <c r="C135" s="44" t="s">
        <v>15</v>
      </c>
      <c r="D135" s="35"/>
      <c r="E135" s="45">
        <v>1711220</v>
      </c>
      <c r="F135" s="45"/>
      <c r="G135" s="45">
        <v>12903636</v>
      </c>
      <c r="H135" s="45"/>
      <c r="I135" s="45">
        <v>465315</v>
      </c>
      <c r="J135" s="45"/>
      <c r="K135" s="45">
        <v>1866609</v>
      </c>
      <c r="L135" s="45"/>
      <c r="M135" s="45">
        <v>4969102</v>
      </c>
      <c r="N135" s="45"/>
      <c r="O135" s="45">
        <v>701</v>
      </c>
      <c r="P135" s="45"/>
      <c r="Q135" s="45">
        <f>294018+1776570</f>
        <v>2070588</v>
      </c>
      <c r="R135" s="45"/>
      <c r="S135" s="44">
        <f t="shared" si="4"/>
        <v>716612</v>
      </c>
      <c r="T135" s="45"/>
      <c r="U135" s="45">
        <v>24703783</v>
      </c>
      <c r="V135" s="44"/>
      <c r="W135" s="45">
        <f>157325+1505396</f>
        <v>1662721</v>
      </c>
    </row>
    <row r="136" spans="1:24" s="116" customFormat="1" ht="12.75" customHeight="1">
      <c r="A136" s="44" t="s">
        <v>162</v>
      </c>
      <c r="C136" s="44" t="s">
        <v>163</v>
      </c>
      <c r="D136" s="35"/>
      <c r="E136" s="45">
        <v>3261983</v>
      </c>
      <c r="F136" s="45"/>
      <c r="G136" s="45">
        <v>13918990</v>
      </c>
      <c r="H136" s="45"/>
      <c r="I136" s="45">
        <v>0</v>
      </c>
      <c r="J136" s="45"/>
      <c r="K136" s="45">
        <v>998873</v>
      </c>
      <c r="L136" s="45"/>
      <c r="M136" s="45">
        <v>4284104</v>
      </c>
      <c r="N136" s="45"/>
      <c r="O136" s="45">
        <v>500619</v>
      </c>
      <c r="P136" s="45"/>
      <c r="Q136" s="45">
        <f>171446+841879</f>
        <v>1013325</v>
      </c>
      <c r="R136" s="45"/>
      <c r="S136" s="44">
        <f t="shared" si="4"/>
        <v>1101330</v>
      </c>
      <c r="T136" s="45"/>
      <c r="U136" s="45">
        <v>25079224</v>
      </c>
      <c r="V136" s="44"/>
      <c r="W136" s="45">
        <f>138211+350000+15731228</f>
        <v>16219439</v>
      </c>
    </row>
    <row r="137" spans="1:24" s="116" customFormat="1" ht="12.75" customHeight="1">
      <c r="A137" s="44" t="s">
        <v>164</v>
      </c>
      <c r="C137" s="44" t="s">
        <v>27</v>
      </c>
      <c r="D137" s="35"/>
      <c r="E137" s="45">
        <v>5102987</v>
      </c>
      <c r="F137" s="45"/>
      <c r="G137" s="45">
        <v>9560642</v>
      </c>
      <c r="H137" s="45"/>
      <c r="I137" s="45">
        <v>104302</v>
      </c>
      <c r="J137" s="45"/>
      <c r="K137" s="45">
        <v>657923</v>
      </c>
      <c r="L137" s="45"/>
      <c r="M137" s="45">
        <v>3323558</v>
      </c>
      <c r="N137" s="45"/>
      <c r="O137" s="45">
        <v>12270</v>
      </c>
      <c r="P137" s="45"/>
      <c r="Q137" s="45">
        <f>14244+780481</f>
        <v>794725</v>
      </c>
      <c r="R137" s="45"/>
      <c r="S137" s="44">
        <f t="shared" si="4"/>
        <v>541237</v>
      </c>
      <c r="T137" s="45"/>
      <c r="U137" s="45">
        <v>20097644</v>
      </c>
      <c r="V137" s="44"/>
      <c r="W137" s="45">
        <f>19586+91819+4500000+1650817</f>
        <v>6262222</v>
      </c>
    </row>
    <row r="138" spans="1:24" s="116" customFormat="1" ht="12.75" customHeight="1">
      <c r="A138" s="44" t="s">
        <v>53</v>
      </c>
      <c r="C138" s="44" t="s">
        <v>53</v>
      </c>
      <c r="D138" s="35"/>
      <c r="E138" s="45">
        <v>2792461</v>
      </c>
      <c r="F138" s="45"/>
      <c r="G138" s="45">
        <v>11527831</v>
      </c>
      <c r="H138" s="45"/>
      <c r="I138" s="45">
        <v>1020</v>
      </c>
      <c r="J138" s="45"/>
      <c r="K138" s="45">
        <v>1105178</v>
      </c>
      <c r="L138" s="45"/>
      <c r="M138" s="45">
        <v>5496266</v>
      </c>
      <c r="N138" s="45"/>
      <c r="O138" s="45">
        <v>277788</v>
      </c>
      <c r="P138" s="45"/>
      <c r="Q138" s="45">
        <f>459038+1915300</f>
        <v>2374338</v>
      </c>
      <c r="R138" s="45"/>
      <c r="S138" s="44">
        <f t="shared" si="4"/>
        <v>612533</v>
      </c>
      <c r="T138" s="45"/>
      <c r="U138" s="45">
        <v>24187415</v>
      </c>
      <c r="V138" s="44"/>
      <c r="W138" s="45">
        <f>34374+17500</f>
        <v>51874</v>
      </c>
    </row>
    <row r="139" spans="1:24" s="116" customFormat="1" ht="12.75" customHeight="1">
      <c r="A139" s="44" t="s">
        <v>165</v>
      </c>
      <c r="C139" s="44" t="s">
        <v>92</v>
      </c>
      <c r="D139" s="35"/>
      <c r="E139" s="45">
        <v>5968931</v>
      </c>
      <c r="F139" s="45"/>
      <c r="G139" s="45">
        <v>29691413</v>
      </c>
      <c r="H139" s="45"/>
      <c r="I139" s="45">
        <f>443137+232416</f>
        <v>675553</v>
      </c>
      <c r="J139" s="45"/>
      <c r="K139" s="45">
        <v>5418323</v>
      </c>
      <c r="L139" s="45"/>
      <c r="M139" s="45">
        <v>8454989</v>
      </c>
      <c r="N139" s="45"/>
      <c r="O139" s="45">
        <v>2314723</v>
      </c>
      <c r="P139" s="45"/>
      <c r="Q139" s="45">
        <f>1521951+1380055</f>
        <v>2902006</v>
      </c>
      <c r="R139" s="45"/>
      <c r="S139" s="44">
        <f t="shared" si="4"/>
        <v>1145729</v>
      </c>
      <c r="T139" s="45"/>
      <c r="U139" s="45">
        <v>56571667</v>
      </c>
      <c r="V139" s="44"/>
      <c r="W139" s="45">
        <f>4335000+21485+34116+543863</f>
        <v>4934464</v>
      </c>
    </row>
    <row r="140" spans="1:24" s="116" customFormat="1" ht="12.75" customHeight="1">
      <c r="A140" s="44" t="s">
        <v>166</v>
      </c>
      <c r="C140" s="44" t="s">
        <v>92</v>
      </c>
      <c r="D140" s="35"/>
      <c r="E140" s="45">
        <v>1701513</v>
      </c>
      <c r="F140" s="45"/>
      <c r="G140" s="45">
        <v>820768</v>
      </c>
      <c r="H140" s="45"/>
      <c r="I140" s="45">
        <v>0</v>
      </c>
      <c r="J140" s="45"/>
      <c r="K140" s="45">
        <v>551101</v>
      </c>
      <c r="L140" s="45"/>
      <c r="M140" s="45">
        <v>1720201</v>
      </c>
      <c r="N140" s="45"/>
      <c r="O140" s="45">
        <v>0</v>
      </c>
      <c r="P140" s="45"/>
      <c r="Q140" s="45">
        <f>7012+27925</f>
        <v>34937</v>
      </c>
      <c r="R140" s="45"/>
      <c r="S140" s="44">
        <f t="shared" si="4"/>
        <v>20282</v>
      </c>
      <c r="T140" s="45"/>
      <c r="U140" s="45">
        <v>4848802</v>
      </c>
      <c r="V140" s="44"/>
      <c r="W140" s="45">
        <f>728559+306481</f>
        <v>1035040</v>
      </c>
    </row>
    <row r="141" spans="1:24" s="116" customFormat="1" ht="12.75" customHeight="1">
      <c r="A141" s="44" t="s">
        <v>167</v>
      </c>
      <c r="C141" s="44" t="s">
        <v>66</v>
      </c>
      <c r="D141" s="35"/>
      <c r="E141" s="45">
        <v>2483216</v>
      </c>
      <c r="F141" s="45"/>
      <c r="G141" s="45">
        <v>8640328</v>
      </c>
      <c r="H141" s="45"/>
      <c r="I141" s="45">
        <v>0</v>
      </c>
      <c r="J141" s="45"/>
      <c r="K141" s="45">
        <v>2752542</v>
      </c>
      <c r="L141" s="45"/>
      <c r="M141" s="45">
        <v>3770201</v>
      </c>
      <c r="N141" s="45"/>
      <c r="O141" s="45">
        <v>0</v>
      </c>
      <c r="P141" s="45"/>
      <c r="Q141" s="45">
        <v>1404889</v>
      </c>
      <c r="R141" s="45"/>
      <c r="S141" s="44">
        <v>20162568</v>
      </c>
      <c r="T141" s="45"/>
      <c r="U141" s="45">
        <v>20162568</v>
      </c>
      <c r="V141" s="44"/>
      <c r="W141" s="45">
        <f>33187+1013656</f>
        <v>1046843</v>
      </c>
    </row>
    <row r="142" spans="1:24" s="116" customFormat="1" ht="12.75" customHeight="1">
      <c r="A142" s="44" t="s">
        <v>168</v>
      </c>
      <c r="C142" s="44" t="s">
        <v>27</v>
      </c>
      <c r="D142" s="35"/>
      <c r="E142" s="45">
        <v>2398978</v>
      </c>
      <c r="F142" s="45"/>
      <c r="G142" s="45">
        <v>15810195</v>
      </c>
      <c r="H142" s="45"/>
      <c r="I142" s="45">
        <v>464692</v>
      </c>
      <c r="J142" s="45"/>
      <c r="K142" s="45">
        <v>1677224</v>
      </c>
      <c r="L142" s="45"/>
      <c r="M142" s="45">
        <v>4452591</v>
      </c>
      <c r="N142" s="45"/>
      <c r="O142" s="45">
        <v>155908</v>
      </c>
      <c r="P142" s="45"/>
      <c r="Q142" s="45">
        <v>970642</v>
      </c>
      <c r="R142" s="45"/>
      <c r="S142" s="44">
        <f t="shared" si="4"/>
        <v>596379</v>
      </c>
      <c r="T142" s="45"/>
      <c r="U142" s="45">
        <v>26526609</v>
      </c>
      <c r="V142" s="44"/>
      <c r="W142" s="45">
        <f>800+195989+850000</f>
        <v>1046789</v>
      </c>
    </row>
    <row r="143" spans="1:24" s="116" customFormat="1" ht="12.75" customHeight="1">
      <c r="A143" s="44" t="s">
        <v>169</v>
      </c>
      <c r="C143" s="44" t="s">
        <v>103</v>
      </c>
      <c r="D143" s="35"/>
      <c r="E143" s="45">
        <v>4533387</v>
      </c>
      <c r="F143" s="45"/>
      <c r="G143" s="45">
        <v>18640199</v>
      </c>
      <c r="H143" s="45"/>
      <c r="I143" s="45">
        <v>831119</v>
      </c>
      <c r="J143" s="45"/>
      <c r="K143" s="45">
        <v>4448912</v>
      </c>
      <c r="L143" s="45"/>
      <c r="M143" s="45">
        <v>23324571</v>
      </c>
      <c r="N143" s="45"/>
      <c r="O143" s="45">
        <v>385101</v>
      </c>
      <c r="P143" s="45"/>
      <c r="Q143" s="45">
        <f>186910+1774068</f>
        <v>1960978</v>
      </c>
      <c r="R143" s="45"/>
      <c r="S143" s="44">
        <f t="shared" si="4"/>
        <v>1592381</v>
      </c>
      <c r="T143" s="45"/>
      <c r="U143" s="45">
        <v>55716648</v>
      </c>
      <c r="V143" s="44"/>
      <c r="W143" s="45">
        <f>1074648+6530000+11029+2056916</f>
        <v>9672593</v>
      </c>
    </row>
    <row r="144" spans="1:24" s="116" customFormat="1" ht="12.75" customHeight="1">
      <c r="A144" s="44" t="s">
        <v>170</v>
      </c>
      <c r="C144" s="44" t="s">
        <v>171</v>
      </c>
      <c r="D144" s="35"/>
      <c r="E144" s="45">
        <v>2170840</v>
      </c>
      <c r="F144" s="45"/>
      <c r="G144" s="45">
        <v>2699122</v>
      </c>
      <c r="H144" s="45"/>
      <c r="I144" s="45">
        <v>0</v>
      </c>
      <c r="J144" s="45"/>
      <c r="K144" s="45">
        <v>237884</v>
      </c>
      <c r="L144" s="45"/>
      <c r="M144" s="45">
        <v>1534948</v>
      </c>
      <c r="N144" s="45"/>
      <c r="O144" s="45">
        <v>0</v>
      </c>
      <c r="P144" s="45"/>
      <c r="Q144" s="45">
        <f>29065+165535</f>
        <v>194600</v>
      </c>
      <c r="R144" s="45"/>
      <c r="S144" s="44">
        <f t="shared" si="4"/>
        <v>756184</v>
      </c>
      <c r="T144" s="45"/>
      <c r="U144" s="45">
        <v>7593578</v>
      </c>
      <c r="V144" s="44"/>
      <c r="W144" s="45">
        <f>120000+35445</f>
        <v>155445</v>
      </c>
    </row>
    <row r="145" spans="1:23" s="116" customFormat="1" ht="12.75" customHeight="1">
      <c r="A145" s="44" t="s">
        <v>172</v>
      </c>
      <c r="C145" s="44" t="s">
        <v>103</v>
      </c>
      <c r="D145" s="35"/>
      <c r="E145" s="45">
        <v>2041637</v>
      </c>
      <c r="F145" s="45"/>
      <c r="G145" s="45">
        <v>5784713</v>
      </c>
      <c r="H145" s="45"/>
      <c r="I145" s="45">
        <v>2005203</v>
      </c>
      <c r="J145" s="45"/>
      <c r="K145" s="45">
        <v>1251564</v>
      </c>
      <c r="L145" s="45"/>
      <c r="M145" s="45">
        <v>5716065</v>
      </c>
      <c r="N145" s="45"/>
      <c r="O145" s="45">
        <v>301213</v>
      </c>
      <c r="P145" s="45"/>
      <c r="Q145" s="45">
        <v>221530</v>
      </c>
      <c r="R145" s="45"/>
      <c r="S145" s="44">
        <f t="shared" si="4"/>
        <v>1020159</v>
      </c>
      <c r="T145" s="45"/>
      <c r="U145" s="45">
        <v>18342084</v>
      </c>
      <c r="V145" s="44"/>
      <c r="W145" s="45">
        <v>5468000</v>
      </c>
    </row>
    <row r="146" spans="1:23" s="116" customFormat="1" ht="12.75" customHeight="1">
      <c r="A146" s="44" t="s">
        <v>66</v>
      </c>
      <c r="C146" s="44" t="s">
        <v>45</v>
      </c>
      <c r="D146" s="35"/>
      <c r="E146" s="45">
        <v>13555648</v>
      </c>
      <c r="F146" s="45"/>
      <c r="G146" s="45">
        <v>0</v>
      </c>
      <c r="H146" s="45"/>
      <c r="I146" s="45">
        <v>0</v>
      </c>
      <c r="J146" s="45"/>
      <c r="K146" s="45">
        <v>501427</v>
      </c>
      <c r="L146" s="45"/>
      <c r="M146" s="45">
        <v>1208965</v>
      </c>
      <c r="N146" s="45"/>
      <c r="O146" s="45">
        <v>251871</v>
      </c>
      <c r="P146" s="45"/>
      <c r="Q146" s="45">
        <f>200366+176193</f>
        <v>376559</v>
      </c>
      <c r="R146" s="45"/>
      <c r="S146" s="44">
        <f t="shared" si="4"/>
        <v>549275</v>
      </c>
      <c r="T146" s="45"/>
      <c r="U146" s="45">
        <v>16443745</v>
      </c>
      <c r="V146" s="44"/>
      <c r="W146" s="45">
        <f>29722+2345345</f>
        <v>2375067</v>
      </c>
    </row>
    <row r="147" spans="1:23" s="116" customFormat="1" ht="12.75" customHeight="1">
      <c r="A147" s="44" t="s">
        <v>173</v>
      </c>
      <c r="C147" s="44" t="s">
        <v>66</v>
      </c>
      <c r="D147" s="35"/>
      <c r="E147" s="45">
        <v>473697</v>
      </c>
      <c r="F147" s="45"/>
      <c r="G147" s="45">
        <v>11657120</v>
      </c>
      <c r="H147" s="45"/>
      <c r="I147" s="45">
        <f>10876+851739</f>
        <v>862615</v>
      </c>
      <c r="J147" s="45"/>
      <c r="K147" s="45">
        <v>94790</v>
      </c>
      <c r="L147" s="45"/>
      <c r="M147" s="45">
        <v>1106794</v>
      </c>
      <c r="N147" s="45"/>
      <c r="O147" s="45">
        <v>0</v>
      </c>
      <c r="P147" s="45"/>
      <c r="Q147" s="45">
        <f>232393+257281</f>
        <v>489674</v>
      </c>
      <c r="R147" s="45"/>
      <c r="S147" s="44">
        <f t="shared" si="4"/>
        <v>3806653</v>
      </c>
      <c r="T147" s="45"/>
      <c r="U147" s="45">
        <v>18491343</v>
      </c>
      <c r="V147" s="44"/>
      <c r="W147" s="45">
        <f>3297155+450000+40939</f>
        <v>3788094</v>
      </c>
    </row>
    <row r="148" spans="1:23" s="116" customFormat="1" ht="12.75" customHeight="1">
      <c r="A148" s="44" t="s">
        <v>174</v>
      </c>
      <c r="C148" s="44" t="s">
        <v>45</v>
      </c>
      <c r="D148" s="35"/>
      <c r="E148" s="45">
        <v>861450</v>
      </c>
      <c r="F148" s="45"/>
      <c r="G148" s="45">
        <v>1385972</v>
      </c>
      <c r="H148" s="45"/>
      <c r="I148" s="45">
        <v>61621</v>
      </c>
      <c r="J148" s="45"/>
      <c r="K148" s="45">
        <v>708252</v>
      </c>
      <c r="L148" s="45"/>
      <c r="M148" s="45">
        <v>1035340</v>
      </c>
      <c r="N148" s="45"/>
      <c r="O148" s="45">
        <v>0</v>
      </c>
      <c r="P148" s="45"/>
      <c r="Q148" s="45">
        <v>374109</v>
      </c>
      <c r="R148" s="45"/>
      <c r="S148" s="44">
        <f t="shared" si="4"/>
        <v>147933</v>
      </c>
      <c r="T148" s="45"/>
      <c r="U148" s="45">
        <v>4574677</v>
      </c>
      <c r="V148" s="44"/>
      <c r="W148" s="45">
        <f>342203+411467+7502</f>
        <v>761172</v>
      </c>
    </row>
    <row r="149" spans="1:23" s="116" customFormat="1" ht="12.75" customHeight="1">
      <c r="A149" s="44" t="s">
        <v>175</v>
      </c>
      <c r="C149" s="44" t="s">
        <v>176</v>
      </c>
      <c r="D149" s="35"/>
      <c r="E149" s="45">
        <v>11494371</v>
      </c>
      <c r="F149" s="45"/>
      <c r="G149" s="45">
        <v>0</v>
      </c>
      <c r="H149" s="45"/>
      <c r="I149" s="45">
        <v>0</v>
      </c>
      <c r="J149" s="45"/>
      <c r="K149" s="45">
        <v>1529878</v>
      </c>
      <c r="L149" s="45"/>
      <c r="M149" s="45">
        <v>3395984</v>
      </c>
      <c r="N149" s="45"/>
      <c r="O149" s="45">
        <v>0</v>
      </c>
      <c r="P149" s="45"/>
      <c r="Q149" s="45">
        <f>15471+746363</f>
        <v>761834</v>
      </c>
      <c r="R149" s="45"/>
      <c r="S149" s="44">
        <f t="shared" si="4"/>
        <v>347675</v>
      </c>
      <c r="T149" s="45"/>
      <c r="U149" s="45">
        <v>17529742</v>
      </c>
      <c r="V149" s="44"/>
      <c r="W149" s="45">
        <f>17865+125000+2165000+8232+1286170</f>
        <v>3602267</v>
      </c>
    </row>
    <row r="150" spans="1:23" s="116" customFormat="1" ht="12.75" customHeight="1">
      <c r="A150" s="44" t="s">
        <v>177</v>
      </c>
      <c r="C150" s="44" t="s">
        <v>13</v>
      </c>
      <c r="D150" s="35"/>
      <c r="E150" s="45">
        <v>786762</v>
      </c>
      <c r="F150" s="45"/>
      <c r="G150" s="45">
        <v>1046685</v>
      </c>
      <c r="H150" s="45"/>
      <c r="I150" s="45">
        <v>0</v>
      </c>
      <c r="J150" s="45"/>
      <c r="K150" s="45">
        <v>179908</v>
      </c>
      <c r="L150" s="45"/>
      <c r="M150" s="45">
        <v>724899</v>
      </c>
      <c r="N150" s="45"/>
      <c r="O150" s="45">
        <v>21002</v>
      </c>
      <c r="P150" s="45"/>
      <c r="Q150" s="45">
        <v>125880</v>
      </c>
      <c r="R150" s="45"/>
      <c r="S150" s="44">
        <f t="shared" si="4"/>
        <v>232972</v>
      </c>
      <c r="T150" s="45"/>
      <c r="U150" s="45">
        <v>3118108</v>
      </c>
      <c r="V150" s="44"/>
      <c r="W150" s="45">
        <v>22834</v>
      </c>
    </row>
    <row r="151" spans="1:23" s="116" customFormat="1" ht="12.75" customHeight="1">
      <c r="A151" s="44" t="s">
        <v>178</v>
      </c>
      <c r="C151" s="44" t="s">
        <v>179</v>
      </c>
      <c r="D151" s="35"/>
      <c r="E151" s="45">
        <v>382531</v>
      </c>
      <c r="F151" s="45"/>
      <c r="G151" s="45">
        <v>2345100</v>
      </c>
      <c r="H151" s="45"/>
      <c r="I151" s="45">
        <v>493053</v>
      </c>
      <c r="J151" s="45"/>
      <c r="K151" s="45">
        <v>803479</v>
      </c>
      <c r="L151" s="45"/>
      <c r="M151" s="45">
        <v>1605562</v>
      </c>
      <c r="N151" s="45"/>
      <c r="O151" s="45">
        <v>106700</v>
      </c>
      <c r="P151" s="45"/>
      <c r="Q151" s="45">
        <f>63825+407561</f>
        <v>471386</v>
      </c>
      <c r="R151" s="45"/>
      <c r="S151" s="44">
        <f t="shared" si="4"/>
        <v>983363</v>
      </c>
      <c r="T151" s="45"/>
      <c r="U151" s="45">
        <v>7191174</v>
      </c>
      <c r="V151" s="44"/>
      <c r="W151" s="45">
        <f>10941+1907304</f>
        <v>1918245</v>
      </c>
    </row>
    <row r="152" spans="1:23" s="116" customFormat="1" ht="12.75" customHeight="1">
      <c r="A152" s="44" t="s">
        <v>180</v>
      </c>
      <c r="C152" s="44" t="s">
        <v>20</v>
      </c>
      <c r="D152" s="35"/>
      <c r="E152" s="45">
        <v>367862</v>
      </c>
      <c r="F152" s="45"/>
      <c r="G152" s="45">
        <v>1642089</v>
      </c>
      <c r="H152" s="45"/>
      <c r="I152" s="45">
        <v>0</v>
      </c>
      <c r="J152" s="45"/>
      <c r="K152" s="45">
        <v>96139</v>
      </c>
      <c r="L152" s="45"/>
      <c r="M152" s="45">
        <v>1609940</v>
      </c>
      <c r="N152" s="45"/>
      <c r="O152" s="45">
        <v>0</v>
      </c>
      <c r="P152" s="45"/>
      <c r="Q152" s="45">
        <v>88874</v>
      </c>
      <c r="R152" s="45"/>
      <c r="S152" s="44">
        <f t="shared" si="4"/>
        <v>249532</v>
      </c>
      <c r="T152" s="45"/>
      <c r="U152" s="45">
        <v>4054436</v>
      </c>
      <c r="V152" s="44"/>
      <c r="W152" s="45">
        <f>24075+4246+150096+375000+26333</f>
        <v>579750</v>
      </c>
    </row>
    <row r="153" spans="1:23" s="116" customFormat="1" ht="12.75" customHeight="1">
      <c r="A153" s="44" t="s">
        <v>182</v>
      </c>
      <c r="C153" s="44" t="s">
        <v>183</v>
      </c>
      <c r="D153" s="35"/>
      <c r="E153" s="45">
        <v>587641</v>
      </c>
      <c r="F153" s="45"/>
      <c r="G153" s="45">
        <v>847473</v>
      </c>
      <c r="H153" s="45"/>
      <c r="I153" s="45">
        <v>96843</v>
      </c>
      <c r="J153" s="45"/>
      <c r="K153" s="45">
        <v>582146</v>
      </c>
      <c r="L153" s="45"/>
      <c r="M153" s="45">
        <v>560380</v>
      </c>
      <c r="N153" s="45"/>
      <c r="O153" s="45">
        <v>175797</v>
      </c>
      <c r="P153" s="45"/>
      <c r="Q153" s="45">
        <f>4290+11935</f>
        <v>16225</v>
      </c>
      <c r="R153" s="45"/>
      <c r="S153" s="44">
        <f t="shared" si="4"/>
        <v>34274</v>
      </c>
      <c r="T153" s="45"/>
      <c r="U153" s="45">
        <v>2900779</v>
      </c>
      <c r="V153" s="44"/>
      <c r="W153" s="45">
        <f>120000+12070+525000+61063</f>
        <v>718133</v>
      </c>
    </row>
    <row r="154" spans="1:23" s="116" customFormat="1" ht="12.75" customHeight="1">
      <c r="A154" s="44" t="s">
        <v>487</v>
      </c>
      <c r="C154" s="44" t="s">
        <v>13</v>
      </c>
      <c r="D154" s="35"/>
      <c r="E154" s="45">
        <v>3732452</v>
      </c>
      <c r="F154" s="45"/>
      <c r="G154" s="45">
        <v>0</v>
      </c>
      <c r="H154" s="45"/>
      <c r="I154" s="45">
        <v>0</v>
      </c>
      <c r="J154" s="45"/>
      <c r="K154" s="45">
        <v>412850</v>
      </c>
      <c r="L154" s="45"/>
      <c r="M154" s="45">
        <v>2728972</v>
      </c>
      <c r="N154" s="45"/>
      <c r="O154" s="45">
        <v>11340</v>
      </c>
      <c r="P154" s="45"/>
      <c r="Q154" s="45">
        <f>131375+3779</f>
        <v>135154</v>
      </c>
      <c r="R154" s="45"/>
      <c r="S154" s="44">
        <f t="shared" si="4"/>
        <v>35807</v>
      </c>
      <c r="T154" s="45"/>
      <c r="U154" s="45">
        <v>7056575</v>
      </c>
      <c r="V154" s="44"/>
      <c r="W154" s="45">
        <v>142604</v>
      </c>
    </row>
    <row r="155" spans="1:23" s="116" customFormat="1" ht="12.75" customHeight="1">
      <c r="A155" s="44" t="s">
        <v>184</v>
      </c>
      <c r="C155" s="44" t="s">
        <v>89</v>
      </c>
      <c r="D155" s="35"/>
      <c r="E155" s="45">
        <v>1140357</v>
      </c>
      <c r="F155" s="45"/>
      <c r="G155" s="45">
        <v>5944336</v>
      </c>
      <c r="H155" s="45"/>
      <c r="I155" s="45">
        <v>0</v>
      </c>
      <c r="J155" s="45"/>
      <c r="K155" s="45">
        <v>689353</v>
      </c>
      <c r="L155" s="45"/>
      <c r="M155" s="45">
        <v>3821427</v>
      </c>
      <c r="N155" s="45"/>
      <c r="O155" s="45">
        <v>6262</v>
      </c>
      <c r="P155" s="45"/>
      <c r="Q155" s="45">
        <f>168994+951495</f>
        <v>1120489</v>
      </c>
      <c r="R155" s="45"/>
      <c r="S155" s="44">
        <f t="shared" si="4"/>
        <v>407258</v>
      </c>
      <c r="T155" s="45"/>
      <c r="U155" s="45">
        <v>13129482</v>
      </c>
      <c r="V155" s="44"/>
      <c r="W155" s="45">
        <f>156417+10300</f>
        <v>166717</v>
      </c>
    </row>
    <row r="156" spans="1:23" s="116" customFormat="1" ht="12.75" customHeight="1">
      <c r="A156" s="44" t="s">
        <v>181</v>
      </c>
      <c r="C156" s="44" t="s">
        <v>125</v>
      </c>
      <c r="D156" s="35"/>
      <c r="E156" s="45">
        <v>21995412</v>
      </c>
      <c r="F156" s="45"/>
      <c r="G156" s="45">
        <v>0</v>
      </c>
      <c r="H156" s="45"/>
      <c r="I156" s="45">
        <v>0</v>
      </c>
      <c r="J156" s="45"/>
      <c r="K156" s="45">
        <v>2484063</v>
      </c>
      <c r="L156" s="45"/>
      <c r="M156" s="45">
        <v>9778082</v>
      </c>
      <c r="N156" s="45"/>
      <c r="O156" s="45">
        <v>39295</v>
      </c>
      <c r="P156" s="45"/>
      <c r="Q156" s="45">
        <f>739218+2134239</f>
        <v>2873457</v>
      </c>
      <c r="R156" s="45"/>
      <c r="S156" s="44">
        <f t="shared" si="4"/>
        <v>1497244</v>
      </c>
      <c r="T156" s="45"/>
      <c r="U156" s="45">
        <v>38667553</v>
      </c>
      <c r="V156" s="44"/>
      <c r="W156" s="45">
        <f>1021359+21370773</f>
        <v>22392132</v>
      </c>
    </row>
    <row r="157" spans="1:23" s="116" customFormat="1" ht="12.75" customHeight="1">
      <c r="A157" s="44" t="s">
        <v>185</v>
      </c>
      <c r="C157" s="44" t="s">
        <v>80</v>
      </c>
      <c r="D157" s="35"/>
      <c r="E157" s="45">
        <v>1907601</v>
      </c>
      <c r="F157" s="45"/>
      <c r="G157" s="45">
        <v>5588995</v>
      </c>
      <c r="H157" s="45"/>
      <c r="I157" s="45">
        <v>0</v>
      </c>
      <c r="J157" s="45"/>
      <c r="K157" s="45">
        <v>1309378</v>
      </c>
      <c r="L157" s="45"/>
      <c r="M157" s="45">
        <v>1960036</v>
      </c>
      <c r="N157" s="45"/>
      <c r="O157" s="45">
        <v>28740</v>
      </c>
      <c r="P157" s="45"/>
      <c r="Q157" s="45">
        <f>498984+430926</f>
        <v>929910</v>
      </c>
      <c r="R157" s="45"/>
      <c r="S157" s="44">
        <f t="shared" si="4"/>
        <v>315151</v>
      </c>
      <c r="T157" s="45"/>
      <c r="U157" s="45">
        <v>12039811</v>
      </c>
      <c r="V157" s="44"/>
      <c r="W157" s="45">
        <f>40204+6299055</f>
        <v>6339259</v>
      </c>
    </row>
    <row r="158" spans="1:23" s="116" customFormat="1" ht="12.75" customHeight="1">
      <c r="A158" s="44" t="s">
        <v>186</v>
      </c>
      <c r="C158" s="44" t="s">
        <v>15</v>
      </c>
      <c r="D158" s="35"/>
      <c r="E158" s="45">
        <v>1680289</v>
      </c>
      <c r="F158" s="45"/>
      <c r="G158" s="45">
        <v>5496051</v>
      </c>
      <c r="H158" s="45"/>
      <c r="I158" s="45">
        <v>0</v>
      </c>
      <c r="J158" s="45"/>
      <c r="K158" s="45">
        <v>720470</v>
      </c>
      <c r="L158" s="45"/>
      <c r="M158" s="45">
        <v>5184081</v>
      </c>
      <c r="N158" s="45"/>
      <c r="O158" s="45">
        <v>0</v>
      </c>
      <c r="P158" s="45"/>
      <c r="Q158" s="45">
        <f>193024+215144</f>
        <v>408168</v>
      </c>
      <c r="R158" s="45"/>
      <c r="S158" s="44">
        <f t="shared" si="4"/>
        <v>1764837</v>
      </c>
      <c r="T158" s="45"/>
      <c r="U158" s="45">
        <v>15253896</v>
      </c>
      <c r="V158" s="44"/>
      <c r="W158" s="45">
        <v>2140000</v>
      </c>
    </row>
    <row r="159" spans="1:23" s="118" customFormat="1" ht="12.75" customHeight="1">
      <c r="A159" s="44" t="s">
        <v>187</v>
      </c>
      <c r="C159" s="44" t="s">
        <v>27</v>
      </c>
      <c r="D159" s="35"/>
      <c r="E159" s="45">
        <v>10687345</v>
      </c>
      <c r="F159" s="45"/>
      <c r="G159" s="45">
        <v>12241747</v>
      </c>
      <c r="H159" s="45"/>
      <c r="I159" s="45">
        <v>0</v>
      </c>
      <c r="J159" s="45"/>
      <c r="K159" s="45">
        <v>2318947</v>
      </c>
      <c r="L159" s="45"/>
      <c r="M159" s="45">
        <v>6146811</v>
      </c>
      <c r="N159" s="45"/>
      <c r="O159" s="45">
        <v>85000</v>
      </c>
      <c r="P159" s="45"/>
      <c r="Q159" s="45">
        <v>1211117</v>
      </c>
      <c r="R159" s="45"/>
      <c r="S159" s="44">
        <f t="shared" si="4"/>
        <v>280131</v>
      </c>
      <c r="T159" s="45"/>
      <c r="U159" s="45">
        <v>32971098</v>
      </c>
      <c r="V159" s="44"/>
      <c r="W159" s="45">
        <f>9450+1790131+3215000</f>
        <v>5014581</v>
      </c>
    </row>
    <row r="160" spans="1:23" s="116" customFormat="1" ht="12.75" customHeight="1">
      <c r="A160" s="44" t="s">
        <v>189</v>
      </c>
      <c r="C160" s="44" t="s">
        <v>17</v>
      </c>
      <c r="D160" s="35"/>
      <c r="E160" s="45">
        <v>5321267</v>
      </c>
      <c r="F160" s="45"/>
      <c r="G160" s="45">
        <v>7463586</v>
      </c>
      <c r="H160" s="45"/>
      <c r="I160" s="45">
        <v>0</v>
      </c>
      <c r="J160" s="45"/>
      <c r="K160" s="45">
        <v>2836288</v>
      </c>
      <c r="L160" s="45"/>
      <c r="M160" s="45">
        <v>4360187</v>
      </c>
      <c r="N160" s="45"/>
      <c r="O160" s="45">
        <v>138119</v>
      </c>
      <c r="P160" s="45"/>
      <c r="Q160" s="45">
        <v>1103492</v>
      </c>
      <c r="R160" s="45"/>
      <c r="S160" s="44">
        <f t="shared" si="4"/>
        <v>971566</v>
      </c>
      <c r="T160" s="45"/>
      <c r="U160" s="45">
        <v>22194505</v>
      </c>
      <c r="V160" s="44"/>
      <c r="W160" s="45">
        <f>8800000+2755680+4425</f>
        <v>11560105</v>
      </c>
    </row>
    <row r="161" spans="1:24" s="116" customFormat="1" ht="12.75" customHeight="1">
      <c r="A161" s="44" t="s">
        <v>188</v>
      </c>
      <c r="C161" s="44" t="s">
        <v>27</v>
      </c>
      <c r="D161" s="35"/>
      <c r="E161" s="45">
        <v>4650550</v>
      </c>
      <c r="F161" s="45"/>
      <c r="G161" s="45">
        <v>12093114</v>
      </c>
      <c r="H161" s="45"/>
      <c r="I161" s="45">
        <v>3180</v>
      </c>
      <c r="J161" s="45"/>
      <c r="K161" s="45">
        <v>1084873</v>
      </c>
      <c r="L161" s="45"/>
      <c r="M161" s="45">
        <v>3407685</v>
      </c>
      <c r="N161" s="45"/>
      <c r="O161" s="45">
        <v>251154</v>
      </c>
      <c r="P161" s="45"/>
      <c r="Q161" s="45">
        <f>623963+373479</f>
        <v>997442</v>
      </c>
      <c r="R161" s="45"/>
      <c r="S161" s="44">
        <f t="shared" si="4"/>
        <v>225479</v>
      </c>
      <c r="T161" s="45"/>
      <c r="U161" s="45">
        <v>22713477</v>
      </c>
      <c r="V161" s="44"/>
      <c r="W161" s="45">
        <f>16600+5350000+2547480</f>
        <v>7914080</v>
      </c>
    </row>
    <row r="162" spans="1:24" s="116" customFormat="1" ht="12.75" customHeight="1">
      <c r="A162" s="44" t="s">
        <v>190</v>
      </c>
      <c r="C162" s="44" t="s">
        <v>47</v>
      </c>
      <c r="D162" s="35"/>
      <c r="E162" s="45">
        <v>361207</v>
      </c>
      <c r="F162" s="45"/>
      <c r="G162" s="45">
        <v>3690436</v>
      </c>
      <c r="H162" s="45"/>
      <c r="I162" s="45">
        <v>47714</v>
      </c>
      <c r="J162" s="45"/>
      <c r="K162" s="45">
        <v>347120</v>
      </c>
      <c r="L162" s="45"/>
      <c r="M162" s="45">
        <v>1377468</v>
      </c>
      <c r="N162" s="45"/>
      <c r="O162" s="45">
        <v>90020</v>
      </c>
      <c r="P162" s="45"/>
      <c r="Q162" s="45">
        <f>140602+231562</f>
        <v>372164</v>
      </c>
      <c r="R162" s="45"/>
      <c r="S162" s="44">
        <f t="shared" si="4"/>
        <v>174427</v>
      </c>
      <c r="T162" s="45"/>
      <c r="U162" s="45">
        <v>6460556</v>
      </c>
      <c r="V162" s="44"/>
      <c r="W162" s="45">
        <f>2200+236833</f>
        <v>239033</v>
      </c>
    </row>
    <row r="163" spans="1:24" s="116" customFormat="1" ht="12.75" customHeight="1">
      <c r="A163" s="44" t="s">
        <v>191</v>
      </c>
      <c r="C163" s="44" t="s">
        <v>13</v>
      </c>
      <c r="D163" s="35"/>
      <c r="E163" s="45">
        <v>1690713</v>
      </c>
      <c r="F163" s="45"/>
      <c r="G163" s="45">
        <v>3738028</v>
      </c>
      <c r="H163" s="45"/>
      <c r="I163" s="45">
        <v>0</v>
      </c>
      <c r="J163" s="45"/>
      <c r="K163" s="45">
        <v>706886</v>
      </c>
      <c r="L163" s="45"/>
      <c r="M163" s="45">
        <v>2533500</v>
      </c>
      <c r="N163" s="45"/>
      <c r="O163" s="45">
        <v>75171</v>
      </c>
      <c r="P163" s="45"/>
      <c r="Q163" s="45">
        <f>74823+115799</f>
        <v>190622</v>
      </c>
      <c r="R163" s="45"/>
      <c r="S163" s="44">
        <f t="shared" si="4"/>
        <v>251747</v>
      </c>
      <c r="T163" s="45"/>
      <c r="U163" s="45">
        <v>9186667</v>
      </c>
      <c r="V163" s="44"/>
      <c r="W163" s="45">
        <v>1043419</v>
      </c>
    </row>
    <row r="164" spans="1:24" s="116" customFormat="1" ht="12.75" customHeight="1">
      <c r="A164" s="44" t="s">
        <v>192</v>
      </c>
      <c r="C164" s="44" t="s">
        <v>38</v>
      </c>
      <c r="D164" s="35"/>
      <c r="E164" s="45">
        <v>1577918</v>
      </c>
      <c r="F164" s="45"/>
      <c r="G164" s="45">
        <v>4841472</v>
      </c>
      <c r="H164" s="45"/>
      <c r="I164" s="45">
        <v>0</v>
      </c>
      <c r="J164" s="45"/>
      <c r="K164" s="45">
        <v>1073927</v>
      </c>
      <c r="L164" s="45"/>
      <c r="M164" s="45">
        <v>2148228</v>
      </c>
      <c r="N164" s="45"/>
      <c r="O164" s="45">
        <v>855610</v>
      </c>
      <c r="P164" s="45"/>
      <c r="Q164" s="45">
        <f>27572+925222</f>
        <v>952794</v>
      </c>
      <c r="R164" s="45"/>
      <c r="S164" s="44">
        <f t="shared" si="4"/>
        <v>-124464</v>
      </c>
      <c r="T164" s="45"/>
      <c r="U164" s="45">
        <v>11325485</v>
      </c>
      <c r="V164" s="44"/>
      <c r="W164" s="45">
        <v>948212</v>
      </c>
    </row>
    <row r="165" spans="1:24" s="116" customFormat="1" ht="12.75" customHeight="1">
      <c r="A165" s="44" t="s">
        <v>193</v>
      </c>
      <c r="C165" s="44" t="s">
        <v>45</v>
      </c>
      <c r="D165" s="35"/>
      <c r="E165" s="45">
        <v>2711543</v>
      </c>
      <c r="F165" s="45"/>
      <c r="G165" s="45">
        <v>16754724</v>
      </c>
      <c r="H165" s="45"/>
      <c r="I165" s="45">
        <f>114216+9522+1096882</f>
        <v>1220620</v>
      </c>
      <c r="J165" s="45"/>
      <c r="K165" s="45">
        <v>773945</v>
      </c>
      <c r="L165" s="45"/>
      <c r="M165" s="45">
        <v>2939135</v>
      </c>
      <c r="N165" s="45"/>
      <c r="O165" s="45">
        <v>208937</v>
      </c>
      <c r="P165" s="45"/>
      <c r="Q165" s="45">
        <f>292400+368237</f>
        <v>660637</v>
      </c>
      <c r="R165" s="45"/>
      <c r="S165" s="44">
        <f t="shared" si="4"/>
        <v>475489</v>
      </c>
      <c r="T165" s="45"/>
      <c r="U165" s="45">
        <v>25745030</v>
      </c>
      <c r="V165" s="44"/>
      <c r="W165" s="45">
        <f>1810772+62971</f>
        <v>1873743</v>
      </c>
      <c r="X165" s="118"/>
    </row>
    <row r="166" spans="1:24" s="116" customFormat="1" ht="12.75" customHeight="1">
      <c r="A166" s="44" t="s">
        <v>194</v>
      </c>
      <c r="C166" s="44" t="s">
        <v>66</v>
      </c>
      <c r="D166" s="35"/>
      <c r="E166" s="45">
        <v>1546783</v>
      </c>
      <c r="F166" s="45"/>
      <c r="G166" s="45">
        <v>5674213</v>
      </c>
      <c r="H166" s="45"/>
      <c r="I166" s="45">
        <v>0</v>
      </c>
      <c r="J166" s="45"/>
      <c r="K166" s="45">
        <v>1070581</v>
      </c>
      <c r="L166" s="45"/>
      <c r="M166" s="45">
        <v>4294286</v>
      </c>
      <c r="N166" s="45"/>
      <c r="O166" s="45">
        <v>143829</v>
      </c>
      <c r="P166" s="45"/>
      <c r="Q166" s="45">
        <v>172652</v>
      </c>
      <c r="R166" s="45"/>
      <c r="S166" s="44">
        <f t="shared" si="4"/>
        <v>611077</v>
      </c>
      <c r="T166" s="45"/>
      <c r="U166" s="45">
        <v>13513421</v>
      </c>
      <c r="V166" s="44"/>
      <c r="W166" s="45">
        <v>2792862</v>
      </c>
    </row>
    <row r="167" spans="1:24" s="116" customFormat="1" ht="12.75" customHeight="1">
      <c r="A167" s="44" t="s">
        <v>195</v>
      </c>
      <c r="C167" s="44" t="s">
        <v>17</v>
      </c>
      <c r="D167" s="35"/>
      <c r="E167" s="45">
        <v>901042</v>
      </c>
      <c r="F167" s="45"/>
      <c r="G167" s="45">
        <v>5188010</v>
      </c>
      <c r="H167" s="45"/>
      <c r="I167" s="45">
        <v>0</v>
      </c>
      <c r="J167" s="45"/>
      <c r="K167" s="45">
        <v>103951</v>
      </c>
      <c r="L167" s="45"/>
      <c r="M167" s="45">
        <v>2390351</v>
      </c>
      <c r="N167" s="45"/>
      <c r="O167" s="45">
        <v>12422</v>
      </c>
      <c r="P167" s="45"/>
      <c r="Q167" s="45">
        <f>333040+932051</f>
        <v>1265091</v>
      </c>
      <c r="R167" s="45"/>
      <c r="S167" s="44">
        <f t="shared" si="4"/>
        <v>1733094</v>
      </c>
      <c r="T167" s="45"/>
      <c r="U167" s="45">
        <v>11593961</v>
      </c>
      <c r="V167" s="44"/>
      <c r="W167" s="45">
        <f>511+305109+1544727</f>
        <v>1850347</v>
      </c>
    </row>
    <row r="168" spans="1:24" s="134" customFormat="1" ht="12.75" hidden="1" customHeight="1">
      <c r="A168" s="44"/>
      <c r="B168" s="116"/>
      <c r="C168" s="44"/>
      <c r="D168" s="35"/>
      <c r="E168" s="45">
        <v>0</v>
      </c>
      <c r="F168" s="45"/>
      <c r="G168" s="45">
        <v>0</v>
      </c>
      <c r="H168" s="45"/>
      <c r="I168" s="45">
        <v>0</v>
      </c>
      <c r="J168" s="45"/>
      <c r="K168" s="45">
        <v>0</v>
      </c>
      <c r="L168" s="45"/>
      <c r="M168" s="45">
        <v>0</v>
      </c>
      <c r="N168" s="45"/>
      <c r="O168" s="45">
        <v>0</v>
      </c>
      <c r="P168" s="45"/>
      <c r="Q168" s="45">
        <v>0</v>
      </c>
      <c r="R168" s="45"/>
      <c r="S168" s="44">
        <f t="shared" si="4"/>
        <v>0</v>
      </c>
      <c r="T168" s="45"/>
      <c r="U168" s="45">
        <v>0</v>
      </c>
      <c r="V168" s="44"/>
      <c r="W168" s="45">
        <v>0</v>
      </c>
    </row>
    <row r="169" spans="1:24" s="116" customFormat="1" ht="12.75" customHeight="1">
      <c r="A169" s="44" t="s">
        <v>402</v>
      </c>
      <c r="C169" s="44" t="s">
        <v>153</v>
      </c>
      <c r="D169" s="35"/>
      <c r="E169" s="45">
        <v>488737</v>
      </c>
      <c r="F169" s="45"/>
      <c r="G169" s="45">
        <v>3237924</v>
      </c>
      <c r="H169" s="45"/>
      <c r="I169" s="45">
        <v>56608</v>
      </c>
      <c r="J169" s="45"/>
      <c r="K169" s="45">
        <v>69774</v>
      </c>
      <c r="L169" s="45"/>
      <c r="M169" s="45">
        <v>1236931</v>
      </c>
      <c r="N169" s="45"/>
      <c r="O169" s="45">
        <v>3173</v>
      </c>
      <c r="P169" s="45"/>
      <c r="Q169" s="45">
        <v>522062</v>
      </c>
      <c r="R169" s="45"/>
      <c r="S169" s="44">
        <f t="shared" si="4"/>
        <v>316201</v>
      </c>
      <c r="T169" s="45"/>
      <c r="U169" s="45">
        <v>5931410</v>
      </c>
      <c r="V169" s="44"/>
      <c r="W169" s="45">
        <f>1950000+1511+167000</f>
        <v>2118511</v>
      </c>
    </row>
    <row r="170" spans="1:24" s="117" customFormat="1" ht="12.75" customHeight="1">
      <c r="A170" s="44" t="s">
        <v>197</v>
      </c>
      <c r="B170" s="116"/>
      <c r="C170" s="44" t="s">
        <v>163</v>
      </c>
      <c r="D170" s="35"/>
      <c r="E170" s="45">
        <v>1742268</v>
      </c>
      <c r="F170" s="45"/>
      <c r="G170" s="45">
        <v>15337798</v>
      </c>
      <c r="H170" s="45"/>
      <c r="I170" s="45">
        <v>0</v>
      </c>
      <c r="J170" s="45"/>
      <c r="K170" s="45">
        <v>2359281</v>
      </c>
      <c r="L170" s="45"/>
      <c r="M170" s="45">
        <v>3678759</v>
      </c>
      <c r="N170" s="45"/>
      <c r="O170" s="45">
        <v>887241</v>
      </c>
      <c r="P170" s="45"/>
      <c r="Q170" s="45">
        <f>203805+565032</f>
        <v>768837</v>
      </c>
      <c r="R170" s="45"/>
      <c r="S170" s="44">
        <f t="shared" si="4"/>
        <v>1153581</v>
      </c>
      <c r="T170" s="45"/>
      <c r="U170" s="45">
        <v>25927765</v>
      </c>
      <c r="V170" s="44"/>
      <c r="W170" s="45">
        <f>11636+127132+117093+2173403+7234602</f>
        <v>9663866</v>
      </c>
    </row>
    <row r="171" spans="1:24" s="116" customFormat="1" ht="12.75" customHeight="1">
      <c r="A171" s="44" t="s">
        <v>198</v>
      </c>
      <c r="C171" s="44" t="s">
        <v>199</v>
      </c>
      <c r="D171" s="35"/>
      <c r="E171" s="45">
        <v>491616</v>
      </c>
      <c r="F171" s="45"/>
      <c r="G171" s="45">
        <v>4208090</v>
      </c>
      <c r="H171" s="45"/>
      <c r="I171" s="45">
        <v>847907</v>
      </c>
      <c r="J171" s="45"/>
      <c r="K171" s="45">
        <v>810187</v>
      </c>
      <c r="L171" s="45"/>
      <c r="M171" s="45">
        <v>2215934</v>
      </c>
      <c r="N171" s="45"/>
      <c r="O171" s="45">
        <v>19048</v>
      </c>
      <c r="P171" s="45"/>
      <c r="Q171" s="45">
        <v>42816</v>
      </c>
      <c r="R171" s="45"/>
      <c r="S171" s="44">
        <f t="shared" si="4"/>
        <v>249895</v>
      </c>
      <c r="T171" s="45"/>
      <c r="U171" s="45">
        <v>8885493</v>
      </c>
      <c r="V171" s="44"/>
      <c r="W171" s="45">
        <v>327310</v>
      </c>
    </row>
    <row r="172" spans="1:24" s="116" customFormat="1" ht="12.75" customHeight="1">
      <c r="A172" s="44" t="s">
        <v>200</v>
      </c>
      <c r="C172" s="44" t="s">
        <v>103</v>
      </c>
      <c r="D172" s="35"/>
      <c r="E172" s="45">
        <v>1317292</v>
      </c>
      <c r="F172" s="45"/>
      <c r="G172" s="45">
        <v>7068135</v>
      </c>
      <c r="H172" s="45"/>
      <c r="I172" s="45">
        <v>0</v>
      </c>
      <c r="J172" s="45"/>
      <c r="K172" s="45">
        <v>1288349</v>
      </c>
      <c r="L172" s="45"/>
      <c r="M172" s="45">
        <v>1887062</v>
      </c>
      <c r="N172" s="45"/>
      <c r="O172" s="45">
        <v>10153</v>
      </c>
      <c r="P172" s="45"/>
      <c r="Q172" s="45">
        <f>541226+387828</f>
        <v>929054</v>
      </c>
      <c r="R172" s="45"/>
      <c r="S172" s="44">
        <f t="shared" si="4"/>
        <v>647015</v>
      </c>
      <c r="T172" s="45"/>
      <c r="U172" s="45">
        <v>13147060</v>
      </c>
      <c r="V172" s="44"/>
      <c r="W172" s="45">
        <f>1792768+2595000+22508</f>
        <v>4410276</v>
      </c>
    </row>
    <row r="173" spans="1:24" s="116" customFormat="1" ht="12.75" customHeight="1">
      <c r="A173" s="44" t="s">
        <v>201</v>
      </c>
      <c r="C173" s="44" t="s">
        <v>92</v>
      </c>
      <c r="D173" s="35"/>
      <c r="E173" s="45">
        <v>1194797</v>
      </c>
      <c r="F173" s="45"/>
      <c r="G173" s="45">
        <v>7748218</v>
      </c>
      <c r="H173" s="45"/>
      <c r="I173" s="45">
        <v>11164</v>
      </c>
      <c r="J173" s="45"/>
      <c r="K173" s="45">
        <v>660330</v>
      </c>
      <c r="L173" s="45"/>
      <c r="M173" s="45">
        <v>3147204</v>
      </c>
      <c r="N173" s="45"/>
      <c r="O173" s="45">
        <v>104844</v>
      </c>
      <c r="P173" s="45"/>
      <c r="Q173" s="45">
        <f>23116+1341501</f>
        <v>1364617</v>
      </c>
      <c r="R173" s="45"/>
      <c r="S173" s="44">
        <f t="shared" si="4"/>
        <v>1527918</v>
      </c>
      <c r="T173" s="45"/>
      <c r="U173" s="45">
        <v>15759092</v>
      </c>
      <c r="V173" s="44"/>
      <c r="W173" s="45">
        <f>9745+1192+2132398</f>
        <v>2143335</v>
      </c>
    </row>
    <row r="174" spans="1:24" s="116" customFormat="1" ht="12.75" customHeight="1">
      <c r="A174" s="44" t="s">
        <v>202</v>
      </c>
      <c r="C174" s="44" t="s">
        <v>27</v>
      </c>
      <c r="D174" s="35"/>
      <c r="E174" s="45">
        <v>10241687</v>
      </c>
      <c r="F174" s="45"/>
      <c r="G174" s="45">
        <v>33465253</v>
      </c>
      <c r="H174" s="45"/>
      <c r="I174" s="45">
        <v>0</v>
      </c>
      <c r="J174" s="45"/>
      <c r="K174" s="45">
        <v>2778564</v>
      </c>
      <c r="L174" s="45"/>
      <c r="M174" s="45">
        <v>19567300</v>
      </c>
      <c r="N174" s="45"/>
      <c r="O174" s="45">
        <v>0</v>
      </c>
      <c r="P174" s="45"/>
      <c r="Q174" s="45">
        <f>1858007+2836390</f>
        <v>4694397</v>
      </c>
      <c r="R174" s="45"/>
      <c r="S174" s="44">
        <f t="shared" si="4"/>
        <v>2015168</v>
      </c>
      <c r="T174" s="45"/>
      <c r="U174" s="45">
        <v>72762369</v>
      </c>
      <c r="V174" s="44"/>
      <c r="W174" s="45">
        <f>2000+8102901</f>
        <v>8104901</v>
      </c>
    </row>
    <row r="175" spans="1:24" s="116" customFormat="1" ht="12.75" customHeight="1">
      <c r="A175" s="44" t="s">
        <v>203</v>
      </c>
      <c r="C175" s="44" t="s">
        <v>27</v>
      </c>
      <c r="D175" s="35"/>
      <c r="E175" s="45">
        <v>3608992</v>
      </c>
      <c r="F175" s="45"/>
      <c r="G175" s="45">
        <v>7791879</v>
      </c>
      <c r="H175" s="45"/>
      <c r="I175" s="45">
        <v>0</v>
      </c>
      <c r="J175" s="45"/>
      <c r="K175" s="45">
        <v>1418389</v>
      </c>
      <c r="L175" s="45"/>
      <c r="M175" s="45">
        <v>4557450</v>
      </c>
      <c r="N175" s="45"/>
      <c r="O175" s="45">
        <v>78946</v>
      </c>
      <c r="P175" s="45"/>
      <c r="Q175" s="45">
        <v>663820</v>
      </c>
      <c r="R175" s="45"/>
      <c r="S175" s="44">
        <f t="shared" si="4"/>
        <v>294610</v>
      </c>
      <c r="T175" s="45"/>
      <c r="U175" s="45">
        <v>18414086</v>
      </c>
      <c r="V175" s="44"/>
      <c r="W175" s="45">
        <f>208850+1650000+367347</f>
        <v>2226197</v>
      </c>
    </row>
    <row r="176" spans="1:24" s="116" customFormat="1" ht="12.75" customHeight="1">
      <c r="A176" s="44" t="s">
        <v>204</v>
      </c>
      <c r="C176" s="44" t="s">
        <v>125</v>
      </c>
      <c r="D176" s="35"/>
      <c r="E176" s="45">
        <v>2192130</v>
      </c>
      <c r="F176" s="45"/>
      <c r="G176" s="45">
        <v>0</v>
      </c>
      <c r="H176" s="45"/>
      <c r="I176" s="45">
        <v>0</v>
      </c>
      <c r="J176" s="45"/>
      <c r="K176" s="45">
        <v>23310</v>
      </c>
      <c r="L176" s="45"/>
      <c r="M176" s="45">
        <v>1638319</v>
      </c>
      <c r="N176" s="45"/>
      <c r="O176" s="45">
        <v>0</v>
      </c>
      <c r="P176" s="45"/>
      <c r="Q176" s="45">
        <f>259098+134523</f>
        <v>393621</v>
      </c>
      <c r="R176" s="45"/>
      <c r="S176" s="44">
        <f t="shared" si="4"/>
        <v>246346</v>
      </c>
      <c r="T176" s="45"/>
      <c r="U176" s="45">
        <v>4493726</v>
      </c>
      <c r="V176" s="44"/>
      <c r="W176" s="45">
        <f>860000+1730+49500+180703+65657</f>
        <v>1157590</v>
      </c>
    </row>
    <row r="177" spans="1:23" s="116" customFormat="1" ht="12.75" customHeight="1">
      <c r="A177" s="44" t="s">
        <v>471</v>
      </c>
      <c r="C177" s="44"/>
      <c r="D177" s="3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4"/>
      <c r="T177" s="45"/>
      <c r="U177" s="45"/>
      <c r="V177" s="44"/>
      <c r="W177" s="48" t="s">
        <v>484</v>
      </c>
    </row>
    <row r="178" spans="1:23" s="116" customFormat="1" ht="12.75" customHeight="1">
      <c r="A178" s="46" t="s">
        <v>205</v>
      </c>
      <c r="B178" s="117"/>
      <c r="C178" s="46" t="s">
        <v>27</v>
      </c>
      <c r="D178" s="64"/>
      <c r="E178" s="94">
        <v>3293155</v>
      </c>
      <c r="F178" s="94"/>
      <c r="G178" s="94">
        <v>3994028</v>
      </c>
      <c r="H178" s="94"/>
      <c r="I178" s="94">
        <f>615662+279130</f>
        <v>894792</v>
      </c>
      <c r="J178" s="94"/>
      <c r="K178" s="94">
        <v>165991</v>
      </c>
      <c r="L178" s="94"/>
      <c r="M178" s="94">
        <v>930971</v>
      </c>
      <c r="N178" s="94"/>
      <c r="O178" s="94">
        <v>69409</v>
      </c>
      <c r="P178" s="94"/>
      <c r="Q178" s="94">
        <f>204750+49279</f>
        <v>254029</v>
      </c>
      <c r="R178" s="94"/>
      <c r="S178" s="46">
        <f t="shared" si="4"/>
        <v>1028708</v>
      </c>
      <c r="T178" s="94"/>
      <c r="U178" s="94">
        <v>10631083</v>
      </c>
      <c r="V178" s="46"/>
      <c r="W178" s="94">
        <f>7000+3460000+31282+1089191</f>
        <v>4587473</v>
      </c>
    </row>
    <row r="179" spans="1:23" s="116" customFormat="1" ht="12.75" customHeight="1">
      <c r="A179" s="44" t="s">
        <v>206</v>
      </c>
      <c r="C179" s="44" t="s">
        <v>47</v>
      </c>
      <c r="D179" s="35"/>
      <c r="E179" s="45">
        <v>3343667</v>
      </c>
      <c r="F179" s="45"/>
      <c r="G179" s="45">
        <v>12136108</v>
      </c>
      <c r="H179" s="45"/>
      <c r="I179" s="45">
        <v>0</v>
      </c>
      <c r="J179" s="45"/>
      <c r="K179" s="45">
        <v>750264</v>
      </c>
      <c r="L179" s="45"/>
      <c r="M179" s="45">
        <v>3276748</v>
      </c>
      <c r="N179" s="45"/>
      <c r="O179" s="45">
        <v>2852989</v>
      </c>
      <c r="P179" s="45"/>
      <c r="Q179" s="45">
        <f>134656+840051</f>
        <v>974707</v>
      </c>
      <c r="R179" s="45"/>
      <c r="S179" s="44">
        <f t="shared" si="4"/>
        <v>-748005</v>
      </c>
      <c r="T179" s="45"/>
      <c r="U179" s="45">
        <v>22586478</v>
      </c>
      <c r="V179" s="44"/>
      <c r="W179" s="45">
        <v>4402435</v>
      </c>
    </row>
    <row r="180" spans="1:23" s="116" customFormat="1" ht="12.75" customHeight="1">
      <c r="A180" s="44" t="s">
        <v>207</v>
      </c>
      <c r="C180" s="44" t="s">
        <v>102</v>
      </c>
      <c r="D180" s="35"/>
      <c r="E180" s="45">
        <v>2265277</v>
      </c>
      <c r="F180" s="45"/>
      <c r="G180" s="45">
        <v>4545475</v>
      </c>
      <c r="H180" s="45"/>
      <c r="I180" s="45">
        <f>99378+192112+323888+655079</f>
        <v>1270457</v>
      </c>
      <c r="J180" s="45"/>
      <c r="K180" s="45">
        <v>356126</v>
      </c>
      <c r="L180" s="45"/>
      <c r="M180" s="45">
        <v>6222723</v>
      </c>
      <c r="N180" s="45"/>
      <c r="O180" s="45">
        <v>0</v>
      </c>
      <c r="P180" s="45"/>
      <c r="Q180" s="45">
        <f>335713+154033</f>
        <v>489746</v>
      </c>
      <c r="R180" s="45"/>
      <c r="S180" s="44">
        <f t="shared" si="4"/>
        <v>734680</v>
      </c>
      <c r="T180" s="45"/>
      <c r="U180" s="45">
        <v>15884484</v>
      </c>
      <c r="V180" s="44"/>
      <c r="W180" s="45">
        <f>2780000+893061+4580968</f>
        <v>8254029</v>
      </c>
    </row>
    <row r="181" spans="1:23" s="116" customFormat="1" ht="12.75" customHeight="1">
      <c r="A181" s="44" t="s">
        <v>208</v>
      </c>
      <c r="C181" s="44" t="s">
        <v>209</v>
      </c>
      <c r="D181" s="35"/>
      <c r="E181" s="45">
        <v>1349521</v>
      </c>
      <c r="F181" s="45"/>
      <c r="G181" s="45">
        <v>7002778</v>
      </c>
      <c r="H181" s="45"/>
      <c r="I181" s="45">
        <f>3781537+1123045</f>
        <v>4904582</v>
      </c>
      <c r="J181" s="45"/>
      <c r="K181" s="45">
        <v>0</v>
      </c>
      <c r="L181" s="45"/>
      <c r="M181" s="45">
        <f>512522+372788</f>
        <v>885310</v>
      </c>
      <c r="N181" s="45"/>
      <c r="O181" s="45">
        <v>0</v>
      </c>
      <c r="P181" s="45"/>
      <c r="Q181" s="45">
        <v>1020519</v>
      </c>
      <c r="R181" s="45"/>
      <c r="S181" s="44">
        <f t="shared" si="4"/>
        <v>1016691</v>
      </c>
      <c r="T181" s="45"/>
      <c r="U181" s="45">
        <v>16179401</v>
      </c>
      <c r="V181" s="44"/>
      <c r="W181" s="45">
        <f>1122882+9515+1024720</f>
        <v>2157117</v>
      </c>
    </row>
    <row r="182" spans="1:23" s="117" customFormat="1" ht="12.75" customHeight="1">
      <c r="A182" s="44" t="s">
        <v>210</v>
      </c>
      <c r="B182" s="116"/>
      <c r="C182" s="44" t="s">
        <v>211</v>
      </c>
      <c r="D182" s="35"/>
      <c r="E182" s="45">
        <v>762788</v>
      </c>
      <c r="F182" s="45"/>
      <c r="G182" s="45">
        <v>2157779</v>
      </c>
      <c r="H182" s="45"/>
      <c r="I182" s="45">
        <v>213371</v>
      </c>
      <c r="J182" s="45"/>
      <c r="K182" s="45">
        <v>306848</v>
      </c>
      <c r="L182" s="45"/>
      <c r="M182" s="45">
        <v>1219370</v>
      </c>
      <c r="N182" s="45"/>
      <c r="O182" s="45">
        <v>13074</v>
      </c>
      <c r="P182" s="45"/>
      <c r="Q182" s="45">
        <f>50779+16374</f>
        <v>67153</v>
      </c>
      <c r="R182" s="45"/>
      <c r="S182" s="44">
        <f t="shared" si="4"/>
        <v>117098</v>
      </c>
      <c r="T182" s="45"/>
      <c r="U182" s="45">
        <v>4857481</v>
      </c>
      <c r="V182" s="44"/>
      <c r="W182" s="45">
        <f>118000+642418</f>
        <v>760418</v>
      </c>
    </row>
    <row r="183" spans="1:23" s="116" customFormat="1" ht="12.75" customHeight="1">
      <c r="A183" s="44" t="s">
        <v>212</v>
      </c>
      <c r="C183" s="44" t="s">
        <v>213</v>
      </c>
      <c r="D183" s="35"/>
      <c r="E183" s="45">
        <v>9699794</v>
      </c>
      <c r="F183" s="45"/>
      <c r="G183" s="45">
        <v>0</v>
      </c>
      <c r="H183" s="45"/>
      <c r="I183" s="45">
        <v>0</v>
      </c>
      <c r="J183" s="45"/>
      <c r="K183" s="45">
        <v>268133</v>
      </c>
      <c r="L183" s="45"/>
      <c r="M183" s="45">
        <v>5989859</v>
      </c>
      <c r="N183" s="45"/>
      <c r="O183" s="45">
        <v>0</v>
      </c>
      <c r="P183" s="45"/>
      <c r="Q183" s="45">
        <f>199195+1248024</f>
        <v>1447219</v>
      </c>
      <c r="R183" s="45"/>
      <c r="S183" s="44">
        <f t="shared" si="4"/>
        <v>501408</v>
      </c>
      <c r="T183" s="45"/>
      <c r="U183" s="45">
        <v>17906413</v>
      </c>
      <c r="V183" s="44"/>
      <c r="W183" s="45">
        <f>474793+788362</f>
        <v>1263155</v>
      </c>
    </row>
    <row r="184" spans="1:23" s="118" customFormat="1" ht="12.75" customHeight="1">
      <c r="A184" s="44" t="s">
        <v>214</v>
      </c>
      <c r="B184" s="116"/>
      <c r="C184" s="44" t="s">
        <v>86</v>
      </c>
      <c r="D184" s="35"/>
      <c r="E184" s="45">
        <v>1810880</v>
      </c>
      <c r="F184" s="45"/>
      <c r="G184" s="45">
        <v>4015942</v>
      </c>
      <c r="H184" s="45"/>
      <c r="I184" s="45">
        <v>0</v>
      </c>
      <c r="J184" s="45"/>
      <c r="K184" s="45">
        <v>130284</v>
      </c>
      <c r="L184" s="45"/>
      <c r="M184" s="45">
        <f>168072+180037+896898</f>
        <v>1245007</v>
      </c>
      <c r="N184" s="45"/>
      <c r="O184" s="45">
        <v>0</v>
      </c>
      <c r="P184" s="45"/>
      <c r="Q184" s="45">
        <f>499826+9137</f>
        <v>508963</v>
      </c>
      <c r="R184" s="45"/>
      <c r="S184" s="44">
        <f t="shared" si="4"/>
        <v>1422424</v>
      </c>
      <c r="T184" s="45"/>
      <c r="U184" s="45">
        <v>9133500</v>
      </c>
      <c r="V184" s="44"/>
      <c r="W184" s="45">
        <v>373100</v>
      </c>
    </row>
    <row r="185" spans="1:23" s="116" customFormat="1" ht="12.75" customHeight="1">
      <c r="A185" s="44" t="s">
        <v>215</v>
      </c>
      <c r="C185" s="44" t="s">
        <v>22</v>
      </c>
      <c r="D185" s="35"/>
      <c r="E185" s="45">
        <v>609352</v>
      </c>
      <c r="F185" s="45"/>
      <c r="G185" s="45">
        <v>6740574</v>
      </c>
      <c r="H185" s="45"/>
      <c r="I185" s="45">
        <v>0</v>
      </c>
      <c r="J185" s="45"/>
      <c r="K185" s="45">
        <v>1108758</v>
      </c>
      <c r="L185" s="45"/>
      <c r="M185" s="45">
        <v>2398559</v>
      </c>
      <c r="N185" s="45"/>
      <c r="O185" s="45">
        <v>0</v>
      </c>
      <c r="P185" s="45"/>
      <c r="Q185" s="45">
        <f>555805+54228</f>
        <v>610033</v>
      </c>
      <c r="R185" s="45"/>
      <c r="S185" s="44">
        <f t="shared" si="4"/>
        <v>216813</v>
      </c>
      <c r="T185" s="45"/>
      <c r="U185" s="45">
        <v>11684089</v>
      </c>
      <c r="V185" s="44"/>
      <c r="W185" s="45">
        <f>1240+258326</f>
        <v>259566</v>
      </c>
    </row>
    <row r="186" spans="1:23" s="116" customFormat="1" ht="12.75" customHeight="1">
      <c r="A186" s="44" t="s">
        <v>216</v>
      </c>
      <c r="C186" s="44" t="s">
        <v>45</v>
      </c>
      <c r="D186" s="35"/>
      <c r="E186" s="45">
        <v>6626854</v>
      </c>
      <c r="F186" s="45"/>
      <c r="G186" s="45">
        <v>0</v>
      </c>
      <c r="H186" s="45"/>
      <c r="I186" s="45">
        <v>0</v>
      </c>
      <c r="J186" s="45"/>
      <c r="K186" s="45">
        <v>1110223</v>
      </c>
      <c r="L186" s="45"/>
      <c r="M186" s="45">
        <v>2045694</v>
      </c>
      <c r="N186" s="45"/>
      <c r="O186" s="45">
        <v>0</v>
      </c>
      <c r="P186" s="45"/>
      <c r="Q186" s="45">
        <v>312655</v>
      </c>
      <c r="R186" s="45"/>
      <c r="S186" s="44">
        <f t="shared" si="4"/>
        <v>96915</v>
      </c>
      <c r="T186" s="45"/>
      <c r="U186" s="45">
        <v>10192341</v>
      </c>
      <c r="V186" s="44"/>
      <c r="W186" s="45">
        <f>325000+648944</f>
        <v>973944</v>
      </c>
    </row>
    <row r="187" spans="1:23" s="116" customFormat="1" ht="12.75" customHeight="1">
      <c r="A187" s="44" t="s">
        <v>217</v>
      </c>
      <c r="C187" s="44" t="s">
        <v>43</v>
      </c>
      <c r="D187" s="35"/>
      <c r="E187" s="45">
        <v>12950279</v>
      </c>
      <c r="F187" s="45"/>
      <c r="G187" s="45">
        <v>0</v>
      </c>
      <c r="H187" s="45"/>
      <c r="I187" s="45">
        <v>0</v>
      </c>
      <c r="J187" s="45"/>
      <c r="K187" s="45">
        <v>246190</v>
      </c>
      <c r="L187" s="45"/>
      <c r="M187" s="45">
        <v>5511551</v>
      </c>
      <c r="N187" s="45"/>
      <c r="O187" s="45">
        <v>42361</v>
      </c>
      <c r="P187" s="45"/>
      <c r="Q187" s="45">
        <f>376009+796690</f>
        <v>1172699</v>
      </c>
      <c r="R187" s="45"/>
      <c r="S187" s="44">
        <f t="shared" si="4"/>
        <v>611919</v>
      </c>
      <c r="T187" s="45"/>
      <c r="U187" s="45">
        <v>20534999</v>
      </c>
      <c r="V187" s="44"/>
      <c r="W187" s="45">
        <v>819551</v>
      </c>
    </row>
    <row r="188" spans="1:23" s="116" customFormat="1" ht="12.75" hidden="1" customHeight="1">
      <c r="A188" s="44" t="s">
        <v>218</v>
      </c>
      <c r="B188" s="118"/>
      <c r="C188" s="44" t="s">
        <v>27</v>
      </c>
      <c r="D188" s="35"/>
      <c r="E188" s="45">
        <v>0</v>
      </c>
      <c r="F188" s="45"/>
      <c r="G188" s="45">
        <v>0</v>
      </c>
      <c r="H188" s="45"/>
      <c r="I188" s="45">
        <v>0</v>
      </c>
      <c r="J188" s="45"/>
      <c r="K188" s="45">
        <v>0</v>
      </c>
      <c r="L188" s="45"/>
      <c r="M188" s="45">
        <v>0</v>
      </c>
      <c r="N188" s="45"/>
      <c r="O188" s="45">
        <v>0</v>
      </c>
      <c r="P188" s="45"/>
      <c r="Q188" s="45">
        <v>0</v>
      </c>
      <c r="R188" s="45"/>
      <c r="S188" s="44">
        <f t="shared" si="4"/>
        <v>0</v>
      </c>
      <c r="T188" s="45"/>
      <c r="U188" s="45">
        <v>0</v>
      </c>
      <c r="V188" s="44"/>
      <c r="W188" s="45">
        <v>0</v>
      </c>
    </row>
    <row r="189" spans="1:23" s="116" customFormat="1" ht="12.75" customHeight="1">
      <c r="A189" s="44" t="s">
        <v>219</v>
      </c>
      <c r="C189" s="44" t="s">
        <v>199</v>
      </c>
      <c r="D189" s="35"/>
      <c r="E189" s="45">
        <v>636116</v>
      </c>
      <c r="F189" s="45"/>
      <c r="G189" s="45">
        <v>1040391</v>
      </c>
      <c r="H189" s="45"/>
      <c r="I189" s="45">
        <v>0</v>
      </c>
      <c r="J189" s="45"/>
      <c r="K189" s="45">
        <v>1170668</v>
      </c>
      <c r="L189" s="45"/>
      <c r="M189" s="45">
        <v>1179385</v>
      </c>
      <c r="N189" s="45"/>
      <c r="O189" s="45">
        <v>23102</v>
      </c>
      <c r="P189" s="45"/>
      <c r="Q189" s="45">
        <v>109662</v>
      </c>
      <c r="R189" s="45"/>
      <c r="S189" s="44">
        <f t="shared" si="4"/>
        <v>302850</v>
      </c>
      <c r="T189" s="45"/>
      <c r="U189" s="45">
        <v>4462174</v>
      </c>
      <c r="V189" s="44"/>
      <c r="W189" s="45">
        <f>77000+272070</f>
        <v>349070</v>
      </c>
    </row>
    <row r="190" spans="1:23" s="116" customFormat="1" ht="12.75" customHeight="1">
      <c r="A190" s="44" t="s">
        <v>220</v>
      </c>
      <c r="C190" s="44" t="s">
        <v>66</v>
      </c>
      <c r="D190" s="35"/>
      <c r="E190" s="45">
        <v>244700</v>
      </c>
      <c r="F190" s="45"/>
      <c r="G190" s="45">
        <v>4229056</v>
      </c>
      <c r="H190" s="45"/>
      <c r="I190" s="45">
        <v>232739</v>
      </c>
      <c r="J190" s="45"/>
      <c r="K190" s="45">
        <v>1756819</v>
      </c>
      <c r="L190" s="45"/>
      <c r="M190" s="45">
        <v>2820529</v>
      </c>
      <c r="N190" s="45"/>
      <c r="O190" s="45">
        <v>36406</v>
      </c>
      <c r="P190" s="45"/>
      <c r="Q190" s="45">
        <f>53592+40584</f>
        <v>94176</v>
      </c>
      <c r="R190" s="45"/>
      <c r="S190" s="44">
        <f t="shared" si="4"/>
        <v>2246779</v>
      </c>
      <c r="T190" s="45"/>
      <c r="U190" s="45">
        <v>11661204</v>
      </c>
      <c r="V190" s="44"/>
      <c r="W190" s="45">
        <v>3755293</v>
      </c>
    </row>
    <row r="191" spans="1:23" s="116" customFormat="1" ht="12.75" customHeight="1">
      <c r="A191" s="44" t="s">
        <v>221</v>
      </c>
      <c r="C191" s="44" t="s">
        <v>27</v>
      </c>
      <c r="D191" s="35"/>
      <c r="E191" s="45">
        <v>7080115</v>
      </c>
      <c r="F191" s="45"/>
      <c r="G191" s="45">
        <v>7748760</v>
      </c>
      <c r="H191" s="45"/>
      <c r="I191" s="45">
        <v>163144</v>
      </c>
      <c r="J191" s="45"/>
      <c r="K191" s="45">
        <v>3317448</v>
      </c>
      <c r="L191" s="45"/>
      <c r="M191" s="45">
        <v>6285727</v>
      </c>
      <c r="N191" s="45"/>
      <c r="O191" s="45">
        <v>66757</v>
      </c>
      <c r="P191" s="45"/>
      <c r="Q191" s="45">
        <v>3357804</v>
      </c>
      <c r="R191" s="45"/>
      <c r="S191" s="44">
        <f t="shared" si="4"/>
        <v>453816</v>
      </c>
      <c r="T191" s="45"/>
      <c r="U191" s="45">
        <v>28473571</v>
      </c>
      <c r="V191" s="44"/>
      <c r="W191" s="45">
        <f>228754+16127+5487764</f>
        <v>5732645</v>
      </c>
    </row>
    <row r="192" spans="1:23" s="116" customFormat="1" ht="12.75" customHeight="1">
      <c r="A192" s="44" t="s">
        <v>222</v>
      </c>
      <c r="C192" s="44" t="s">
        <v>47</v>
      </c>
      <c r="D192" s="35"/>
      <c r="E192" s="45">
        <v>1323421</v>
      </c>
      <c r="F192" s="45"/>
      <c r="G192" s="45">
        <v>2451868</v>
      </c>
      <c r="H192" s="45"/>
      <c r="I192" s="45">
        <v>0</v>
      </c>
      <c r="J192" s="45"/>
      <c r="K192" s="45">
        <v>295764</v>
      </c>
      <c r="L192" s="45"/>
      <c r="M192" s="45">
        <v>1316863</v>
      </c>
      <c r="N192" s="45"/>
      <c r="O192" s="45">
        <v>383057</v>
      </c>
      <c r="P192" s="45"/>
      <c r="Q192" s="45">
        <v>46665</v>
      </c>
      <c r="R192" s="45"/>
      <c r="S192" s="44">
        <f t="shared" si="4"/>
        <v>954317</v>
      </c>
      <c r="T192" s="45"/>
      <c r="U192" s="45">
        <v>6771955</v>
      </c>
      <c r="V192" s="44"/>
      <c r="W192" s="45">
        <v>662120</v>
      </c>
    </row>
    <row r="193" spans="1:23" s="116" customFormat="1" ht="12.75" customHeight="1">
      <c r="A193" s="44" t="s">
        <v>223</v>
      </c>
      <c r="C193" s="44" t="s">
        <v>94</v>
      </c>
      <c r="D193" s="35"/>
      <c r="E193" s="45">
        <v>11291382</v>
      </c>
      <c r="F193" s="45"/>
      <c r="G193" s="45">
        <v>0</v>
      </c>
      <c r="H193" s="45"/>
      <c r="I193" s="45">
        <v>0</v>
      </c>
      <c r="J193" s="45"/>
      <c r="K193" s="45">
        <v>283860</v>
      </c>
      <c r="L193" s="45"/>
      <c r="M193" s="45">
        <v>1470220</v>
      </c>
      <c r="N193" s="45"/>
      <c r="O193" s="45">
        <v>0</v>
      </c>
      <c r="P193" s="45"/>
      <c r="Q193" s="45">
        <f>70993+69358</f>
        <v>140351</v>
      </c>
      <c r="R193" s="45"/>
      <c r="S193" s="44">
        <f t="shared" si="4"/>
        <v>288024</v>
      </c>
      <c r="T193" s="45"/>
      <c r="U193" s="45">
        <v>13473837</v>
      </c>
      <c r="V193" s="44"/>
      <c r="W193" s="45">
        <f>16078+4456166</f>
        <v>4472244</v>
      </c>
    </row>
    <row r="194" spans="1:23" s="116" customFormat="1" ht="12.75" customHeight="1">
      <c r="A194" s="44" t="s">
        <v>76</v>
      </c>
      <c r="C194" s="44" t="s">
        <v>132</v>
      </c>
      <c r="D194" s="35"/>
      <c r="E194" s="45">
        <v>2296321</v>
      </c>
      <c r="F194" s="45"/>
      <c r="G194" s="45">
        <v>7035145</v>
      </c>
      <c r="H194" s="45"/>
      <c r="I194" s="45">
        <f>509041+3954181</f>
        <v>4463222</v>
      </c>
      <c r="J194" s="45"/>
      <c r="K194" s="45">
        <v>1625516</v>
      </c>
      <c r="L194" s="45"/>
      <c r="M194" s="45">
        <v>6725011</v>
      </c>
      <c r="N194" s="45"/>
      <c r="O194" s="45">
        <v>363594</v>
      </c>
      <c r="P194" s="45"/>
      <c r="Q194" s="45">
        <f>860515+1175414</f>
        <v>2035929</v>
      </c>
      <c r="R194" s="45"/>
      <c r="S194" s="44">
        <f t="shared" si="4"/>
        <v>1638149</v>
      </c>
      <c r="T194" s="45"/>
      <c r="U194" s="45">
        <v>26182887</v>
      </c>
      <c r="V194" s="44"/>
      <c r="W194" s="45">
        <f>84400+30806+2769241</f>
        <v>2884447</v>
      </c>
    </row>
    <row r="195" spans="1:23" s="116" customFormat="1" ht="12.75" customHeight="1">
      <c r="A195" s="44" t="s">
        <v>224</v>
      </c>
      <c r="C195" s="44" t="s">
        <v>27</v>
      </c>
      <c r="D195" s="35"/>
      <c r="E195" s="45">
        <v>7445836</v>
      </c>
      <c r="F195" s="45"/>
      <c r="G195" s="45">
        <v>0</v>
      </c>
      <c r="H195" s="45"/>
      <c r="I195" s="45">
        <v>0</v>
      </c>
      <c r="J195" s="45"/>
      <c r="K195" s="45">
        <v>1094282</v>
      </c>
      <c r="L195" s="45"/>
      <c r="M195" s="45">
        <v>1998005</v>
      </c>
      <c r="N195" s="45"/>
      <c r="O195" s="45">
        <v>305613</v>
      </c>
      <c r="P195" s="45"/>
      <c r="Q195" s="45">
        <v>491640</v>
      </c>
      <c r="R195" s="45"/>
      <c r="S195" s="44">
        <f t="shared" si="4"/>
        <v>103481</v>
      </c>
      <c r="T195" s="45"/>
      <c r="U195" s="45">
        <v>11438857</v>
      </c>
      <c r="V195" s="44"/>
      <c r="W195" s="45">
        <f>10470+1360000+1164000+2095+2113672</f>
        <v>4650237</v>
      </c>
    </row>
    <row r="196" spans="1:23" s="116" customFormat="1" ht="12.75" customHeight="1">
      <c r="A196" s="44" t="s">
        <v>225</v>
      </c>
      <c r="C196" s="44" t="s">
        <v>27</v>
      </c>
      <c r="D196" s="35"/>
      <c r="E196" s="45">
        <v>8399301</v>
      </c>
      <c r="F196" s="45"/>
      <c r="G196" s="45">
        <v>20144932</v>
      </c>
      <c r="H196" s="45"/>
      <c r="I196" s="45">
        <v>53478</v>
      </c>
      <c r="J196" s="45"/>
      <c r="K196" s="45">
        <v>6538429</v>
      </c>
      <c r="L196" s="45"/>
      <c r="M196" s="45">
        <v>12338984</v>
      </c>
      <c r="N196" s="45"/>
      <c r="O196" s="45">
        <v>1830121</v>
      </c>
      <c r="P196" s="45"/>
      <c r="Q196" s="45">
        <f>577437+1069127</f>
        <v>1646564</v>
      </c>
      <c r="R196" s="45"/>
      <c r="S196" s="44">
        <f>+U196-SUM(E196:Q196)</f>
        <v>924017</v>
      </c>
      <c r="T196" s="45"/>
      <c r="U196" s="45">
        <v>51875826</v>
      </c>
      <c r="V196" s="44"/>
      <c r="W196" s="45">
        <f>7775852+64482+9351044+176497</f>
        <v>17367875</v>
      </c>
    </row>
    <row r="197" spans="1:23" s="116" customFormat="1" ht="12.75" customHeight="1">
      <c r="A197" s="44" t="s">
        <v>226</v>
      </c>
      <c r="C197" s="44" t="s">
        <v>45</v>
      </c>
      <c r="D197" s="64"/>
      <c r="E197" s="45">
        <v>17504675</v>
      </c>
      <c r="F197" s="45"/>
      <c r="G197" s="45">
        <v>0</v>
      </c>
      <c r="H197" s="45"/>
      <c r="I197" s="45">
        <v>736368</v>
      </c>
      <c r="J197" s="45"/>
      <c r="K197" s="45">
        <v>959323</v>
      </c>
      <c r="L197" s="45"/>
      <c r="M197" s="45">
        <v>2807875</v>
      </c>
      <c r="N197" s="45"/>
      <c r="O197" s="45">
        <v>13847</v>
      </c>
      <c r="P197" s="45"/>
      <c r="Q197" s="45">
        <f>467005+370313</f>
        <v>837318</v>
      </c>
      <c r="R197" s="45"/>
      <c r="S197" s="44">
        <f t="shared" ref="S197:S256" si="5">+U197-SUM(E197:Q197)</f>
        <v>565608</v>
      </c>
      <c r="T197" s="45"/>
      <c r="U197" s="45">
        <v>23425014</v>
      </c>
      <c r="V197" s="44"/>
      <c r="W197" s="45">
        <f>15161+3460000+115357+3356021</f>
        <v>6946539</v>
      </c>
    </row>
    <row r="198" spans="1:23" s="117" customFormat="1" ht="12.75" customHeight="1">
      <c r="A198" s="46" t="s">
        <v>227</v>
      </c>
      <c r="C198" s="46" t="s">
        <v>17</v>
      </c>
      <c r="D198" s="64"/>
      <c r="E198" s="45">
        <v>1305120</v>
      </c>
      <c r="F198" s="45"/>
      <c r="G198" s="45">
        <v>1906234</v>
      </c>
      <c r="H198" s="45"/>
      <c r="I198" s="45">
        <v>0</v>
      </c>
      <c r="J198" s="45"/>
      <c r="K198" s="45">
        <v>925058</v>
      </c>
      <c r="L198" s="45"/>
      <c r="M198" s="45">
        <v>1521801</v>
      </c>
      <c r="N198" s="45"/>
      <c r="O198" s="45">
        <v>9903</v>
      </c>
      <c r="P198" s="45"/>
      <c r="Q198" s="45">
        <v>201347</v>
      </c>
      <c r="R198" s="45"/>
      <c r="S198" s="44">
        <f t="shared" si="5"/>
        <v>670504</v>
      </c>
      <c r="T198" s="45"/>
      <c r="U198" s="45">
        <v>6539967</v>
      </c>
      <c r="V198" s="44"/>
      <c r="W198" s="45">
        <f>269026+751000+39026</f>
        <v>1059052</v>
      </c>
    </row>
    <row r="199" spans="1:23" s="116" customFormat="1" ht="12.75" customHeight="1">
      <c r="A199" s="44" t="s">
        <v>228</v>
      </c>
      <c r="C199" s="44" t="s">
        <v>153</v>
      </c>
      <c r="D199" s="35"/>
      <c r="E199" s="45">
        <v>1048466</v>
      </c>
      <c r="F199" s="45"/>
      <c r="G199" s="45">
        <v>2380663</v>
      </c>
      <c r="H199" s="45"/>
      <c r="I199" s="45">
        <v>0</v>
      </c>
      <c r="J199" s="45"/>
      <c r="K199" s="45">
        <v>467211</v>
      </c>
      <c r="L199" s="45"/>
      <c r="M199" s="45">
        <v>3752939</v>
      </c>
      <c r="N199" s="45"/>
      <c r="O199" s="45">
        <v>11898</v>
      </c>
      <c r="P199" s="45"/>
      <c r="Q199" s="45">
        <f>40905+286334</f>
        <v>327239</v>
      </c>
      <c r="R199" s="45"/>
      <c r="S199" s="44">
        <f t="shared" si="5"/>
        <v>190695</v>
      </c>
      <c r="T199" s="45"/>
      <c r="U199" s="45">
        <v>8179111</v>
      </c>
      <c r="V199" s="44"/>
      <c r="W199" s="45">
        <f>205325+42922</f>
        <v>248247</v>
      </c>
    </row>
    <row r="200" spans="1:23" s="116" customFormat="1" ht="12.75" customHeight="1">
      <c r="A200" s="44" t="s">
        <v>229</v>
      </c>
      <c r="C200" s="44" t="s">
        <v>228</v>
      </c>
      <c r="D200" s="35"/>
      <c r="E200" s="45">
        <v>12110032</v>
      </c>
      <c r="F200" s="45"/>
      <c r="G200" s="45">
        <v>0</v>
      </c>
      <c r="H200" s="45"/>
      <c r="I200" s="45">
        <v>0</v>
      </c>
      <c r="J200" s="45"/>
      <c r="K200" s="45">
        <v>1524444</v>
      </c>
      <c r="L200" s="45"/>
      <c r="M200" s="45">
        <v>4913153</v>
      </c>
      <c r="N200" s="45"/>
      <c r="O200" s="45">
        <v>261408</v>
      </c>
      <c r="P200" s="45"/>
      <c r="Q200" s="45">
        <v>385620</v>
      </c>
      <c r="R200" s="45"/>
      <c r="S200" s="44">
        <f t="shared" si="5"/>
        <v>521964</v>
      </c>
      <c r="T200" s="45"/>
      <c r="U200" s="45">
        <v>19716621</v>
      </c>
      <c r="V200" s="44"/>
      <c r="W200" s="45">
        <f>2312307+21017</f>
        <v>2333324</v>
      </c>
    </row>
    <row r="201" spans="1:23" s="116" customFormat="1" ht="12.75" customHeight="1">
      <c r="A201" s="46" t="s">
        <v>230</v>
      </c>
      <c r="B201" s="117"/>
      <c r="C201" s="46" t="s">
        <v>45</v>
      </c>
      <c r="D201" s="35"/>
      <c r="E201" s="45">
        <v>635668</v>
      </c>
      <c r="F201" s="45"/>
      <c r="G201" s="45">
        <v>1556953</v>
      </c>
      <c r="H201" s="45"/>
      <c r="I201" s="45">
        <v>0</v>
      </c>
      <c r="J201" s="45"/>
      <c r="K201" s="45">
        <v>217036</v>
      </c>
      <c r="L201" s="45"/>
      <c r="M201" s="45">
        <v>577330</v>
      </c>
      <c r="N201" s="45"/>
      <c r="O201" s="45">
        <v>0</v>
      </c>
      <c r="P201" s="45"/>
      <c r="Q201" s="45">
        <v>78149</v>
      </c>
      <c r="R201" s="45"/>
      <c r="S201" s="44">
        <f t="shared" si="5"/>
        <v>152314</v>
      </c>
      <c r="T201" s="45"/>
      <c r="U201" s="45">
        <v>3217450</v>
      </c>
      <c r="V201" s="44"/>
      <c r="W201" s="45">
        <f>854002+27720+162106</f>
        <v>1043828</v>
      </c>
    </row>
    <row r="202" spans="1:23" s="116" customFormat="1" ht="12.75" customHeight="1">
      <c r="A202" s="44" t="s">
        <v>231</v>
      </c>
      <c r="C202" s="44" t="s">
        <v>27</v>
      </c>
      <c r="D202" s="35"/>
      <c r="E202" s="45">
        <v>4439830</v>
      </c>
      <c r="F202" s="45"/>
      <c r="G202" s="45">
        <v>33433337</v>
      </c>
      <c r="H202" s="45"/>
      <c r="I202" s="45">
        <v>0</v>
      </c>
      <c r="J202" s="45"/>
      <c r="K202" s="45">
        <v>3646417</v>
      </c>
      <c r="L202" s="45"/>
      <c r="M202" s="45">
        <v>6379986</v>
      </c>
      <c r="N202" s="45"/>
      <c r="O202" s="45">
        <v>788768</v>
      </c>
      <c r="P202" s="45"/>
      <c r="Q202" s="45">
        <f>670840+337471</f>
        <v>1008311</v>
      </c>
      <c r="R202" s="45"/>
      <c r="S202" s="44">
        <f t="shared" si="5"/>
        <v>1748486</v>
      </c>
      <c r="T202" s="45"/>
      <c r="U202" s="45">
        <v>51445135</v>
      </c>
      <c r="V202" s="44"/>
      <c r="W202" s="45">
        <f>83882+5553280</f>
        <v>5637162</v>
      </c>
    </row>
    <row r="203" spans="1:23" s="116" customFormat="1" ht="12.75" customHeight="1">
      <c r="A203" s="44" t="s">
        <v>232</v>
      </c>
      <c r="C203" s="44" t="s">
        <v>27</v>
      </c>
      <c r="D203" s="35"/>
      <c r="E203" s="45">
        <v>5534076</v>
      </c>
      <c r="F203" s="45"/>
      <c r="G203" s="45">
        <v>8311273</v>
      </c>
      <c r="H203" s="45"/>
      <c r="I203" s="45">
        <v>0</v>
      </c>
      <c r="J203" s="45"/>
      <c r="K203" s="45">
        <v>640340</v>
      </c>
      <c r="L203" s="45"/>
      <c r="M203" s="45">
        <v>3745257</v>
      </c>
      <c r="N203" s="45"/>
      <c r="O203" s="45">
        <v>2863451</v>
      </c>
      <c r="P203" s="45"/>
      <c r="Q203" s="45">
        <f>474395+686194</f>
        <v>1160589</v>
      </c>
      <c r="R203" s="45"/>
      <c r="S203" s="44">
        <f t="shared" si="5"/>
        <v>787253</v>
      </c>
      <c r="T203" s="45"/>
      <c r="U203" s="45">
        <v>23042239</v>
      </c>
      <c r="V203" s="44"/>
      <c r="W203" s="45">
        <f>10707+103670+18550000+43535+1110000</f>
        <v>19817912</v>
      </c>
    </row>
    <row r="204" spans="1:23" s="116" customFormat="1" ht="12.75" customHeight="1">
      <c r="A204" s="44" t="s">
        <v>233</v>
      </c>
      <c r="C204" s="44" t="s">
        <v>111</v>
      </c>
      <c r="D204" s="35"/>
      <c r="E204" s="45">
        <v>808536</v>
      </c>
      <c r="F204" s="45"/>
      <c r="G204" s="45">
        <v>9388476</v>
      </c>
      <c r="H204" s="45"/>
      <c r="I204" s="45">
        <v>538388</v>
      </c>
      <c r="J204" s="45"/>
      <c r="K204" s="45">
        <v>1231045</v>
      </c>
      <c r="L204" s="45"/>
      <c r="M204" s="45">
        <v>1970660</v>
      </c>
      <c r="N204" s="45"/>
      <c r="O204" s="45">
        <v>411611</v>
      </c>
      <c r="P204" s="45"/>
      <c r="Q204" s="45">
        <v>391751</v>
      </c>
      <c r="R204" s="45"/>
      <c r="S204" s="44">
        <f t="shared" si="5"/>
        <v>732939</v>
      </c>
      <c r="T204" s="45"/>
      <c r="U204" s="45">
        <v>15473406</v>
      </c>
      <c r="V204" s="44"/>
      <c r="W204" s="45">
        <v>4816392</v>
      </c>
    </row>
    <row r="205" spans="1:23" s="116" customFormat="1" ht="12.75" customHeight="1">
      <c r="A205" s="44" t="s">
        <v>234</v>
      </c>
      <c r="C205" s="44" t="s">
        <v>45</v>
      </c>
      <c r="D205" s="35"/>
      <c r="E205" s="45">
        <v>1477370</v>
      </c>
      <c r="F205" s="45"/>
      <c r="G205" s="45">
        <v>13080829</v>
      </c>
      <c r="H205" s="45"/>
      <c r="I205" s="45">
        <v>682506</v>
      </c>
      <c r="J205" s="45"/>
      <c r="K205" s="45">
        <v>377922</v>
      </c>
      <c r="L205" s="45"/>
      <c r="M205" s="45">
        <v>4960511</v>
      </c>
      <c r="N205" s="45"/>
      <c r="O205" s="45">
        <v>209128</v>
      </c>
      <c r="P205" s="45"/>
      <c r="Q205" s="45">
        <f>339888+400417</f>
        <v>740305</v>
      </c>
      <c r="R205" s="45"/>
      <c r="S205" s="44">
        <f t="shared" si="5"/>
        <v>575705</v>
      </c>
      <c r="T205" s="45"/>
      <c r="U205" s="45">
        <v>22104276</v>
      </c>
      <c r="V205" s="44"/>
      <c r="W205" s="45">
        <f>6855+865400</f>
        <v>872255</v>
      </c>
    </row>
    <row r="206" spans="1:23" s="116" customFormat="1" ht="12.75" customHeight="1">
      <c r="A206" s="44" t="s">
        <v>235</v>
      </c>
      <c r="C206" s="44" t="s">
        <v>183</v>
      </c>
      <c r="D206" s="35"/>
      <c r="E206" s="45">
        <v>2738257</v>
      </c>
      <c r="F206" s="45"/>
      <c r="G206" s="45">
        <v>27677409</v>
      </c>
      <c r="H206" s="45"/>
      <c r="I206" s="45">
        <f>806171+6699829</f>
        <v>7506000</v>
      </c>
      <c r="J206" s="45"/>
      <c r="K206" s="45">
        <v>3515061</v>
      </c>
      <c r="L206" s="45"/>
      <c r="M206" s="45">
        <v>14112858</v>
      </c>
      <c r="N206" s="45"/>
      <c r="O206" s="45">
        <v>202283</v>
      </c>
      <c r="P206" s="45"/>
      <c r="Q206" s="45">
        <v>1123856</v>
      </c>
      <c r="R206" s="45"/>
      <c r="S206" s="44">
        <f t="shared" si="5"/>
        <v>8314251</v>
      </c>
      <c r="T206" s="45"/>
      <c r="U206" s="45">
        <v>65189975</v>
      </c>
      <c r="V206" s="44"/>
      <c r="W206" s="45">
        <f>74257+5873660+27865+337131+3087619</f>
        <v>9400532</v>
      </c>
    </row>
    <row r="207" spans="1:23" s="116" customFormat="1" ht="12.75" customHeight="1">
      <c r="A207" s="44" t="s">
        <v>236</v>
      </c>
      <c r="B207" s="118"/>
      <c r="C207" s="44" t="s">
        <v>45</v>
      </c>
      <c r="D207" s="35"/>
      <c r="E207" s="45">
        <v>11291382</v>
      </c>
      <c r="F207" s="45"/>
      <c r="G207" s="45">
        <v>0</v>
      </c>
      <c r="H207" s="45"/>
      <c r="I207" s="45">
        <v>0</v>
      </c>
      <c r="J207" s="45"/>
      <c r="K207" s="45">
        <v>283860</v>
      </c>
      <c r="L207" s="45"/>
      <c r="M207" s="45">
        <v>1470220</v>
      </c>
      <c r="N207" s="45"/>
      <c r="O207" s="45">
        <v>0</v>
      </c>
      <c r="P207" s="45"/>
      <c r="Q207" s="45">
        <f>69358+70993</f>
        <v>140351</v>
      </c>
      <c r="R207" s="45"/>
      <c r="S207" s="44">
        <f t="shared" si="5"/>
        <v>288024</v>
      </c>
      <c r="T207" s="45"/>
      <c r="U207" s="45">
        <v>13473837</v>
      </c>
      <c r="V207" s="44"/>
      <c r="W207" s="45">
        <f>16078+4456166</f>
        <v>4472244</v>
      </c>
    </row>
    <row r="208" spans="1:23" s="116" customFormat="1" ht="12.75" customHeight="1">
      <c r="A208" s="44" t="s">
        <v>237</v>
      </c>
      <c r="C208" s="44" t="s">
        <v>33</v>
      </c>
      <c r="D208" s="35"/>
      <c r="E208" s="45">
        <v>773781</v>
      </c>
      <c r="F208" s="45"/>
      <c r="G208" s="45">
        <v>0</v>
      </c>
      <c r="H208" s="45"/>
      <c r="I208" s="45">
        <v>0</v>
      </c>
      <c r="J208" s="45"/>
      <c r="K208" s="45">
        <v>35667</v>
      </c>
      <c r="L208" s="45"/>
      <c r="M208" s="45">
        <v>3605150</v>
      </c>
      <c r="N208" s="45"/>
      <c r="O208" s="45">
        <v>104710</v>
      </c>
      <c r="P208" s="45"/>
      <c r="Q208" s="45">
        <f>112587+8809</f>
        <v>121396</v>
      </c>
      <c r="R208" s="45"/>
      <c r="S208" s="44">
        <f t="shared" si="5"/>
        <v>223199</v>
      </c>
      <c r="T208" s="45"/>
      <c r="U208" s="45">
        <v>4863903</v>
      </c>
      <c r="V208" s="44"/>
      <c r="W208" s="45">
        <f>1399700+148643+59929</f>
        <v>1608272</v>
      </c>
    </row>
    <row r="209" spans="1:24" s="116" customFormat="1" ht="12.75" customHeight="1">
      <c r="A209" s="44" t="s">
        <v>238</v>
      </c>
      <c r="C209" s="44" t="s">
        <v>239</v>
      </c>
      <c r="D209" s="35"/>
      <c r="E209" s="45">
        <v>1192815</v>
      </c>
      <c r="F209" s="45"/>
      <c r="G209" s="45">
        <v>3606759</v>
      </c>
      <c r="H209" s="45"/>
      <c r="I209" s="45">
        <v>0</v>
      </c>
      <c r="J209" s="45"/>
      <c r="K209" s="45">
        <v>461807</v>
      </c>
      <c r="L209" s="45"/>
      <c r="M209" s="45">
        <v>1160408</v>
      </c>
      <c r="N209" s="45"/>
      <c r="O209" s="45">
        <v>162435</v>
      </c>
      <c r="P209" s="45"/>
      <c r="Q209" s="45">
        <f>101632+16832</f>
        <v>118464</v>
      </c>
      <c r="R209" s="45"/>
      <c r="S209" s="44">
        <f t="shared" si="5"/>
        <v>459879</v>
      </c>
      <c r="T209" s="45"/>
      <c r="U209" s="45">
        <v>7162567</v>
      </c>
      <c r="V209" s="44"/>
      <c r="W209" s="45">
        <v>397285</v>
      </c>
    </row>
    <row r="210" spans="1:24" s="116" customFormat="1" ht="12.75" customHeight="1">
      <c r="A210" s="44" t="s">
        <v>486</v>
      </c>
      <c r="C210" s="44" t="s">
        <v>249</v>
      </c>
      <c r="D210" s="35"/>
      <c r="E210" s="45">
        <v>1541407</v>
      </c>
      <c r="F210" s="45"/>
      <c r="G210" s="45">
        <v>8883446</v>
      </c>
      <c r="H210" s="45"/>
      <c r="I210" s="45">
        <v>0</v>
      </c>
      <c r="J210" s="45"/>
      <c r="K210" s="45">
        <v>99956</v>
      </c>
      <c r="L210" s="45"/>
      <c r="M210" s="45">
        <v>4840646</v>
      </c>
      <c r="N210" s="45"/>
      <c r="O210" s="45">
        <v>24546</v>
      </c>
      <c r="P210" s="45"/>
      <c r="Q210" s="45">
        <f>531924+385276</f>
        <v>917200</v>
      </c>
      <c r="R210" s="45"/>
      <c r="S210" s="44">
        <f t="shared" si="5"/>
        <v>639353</v>
      </c>
      <c r="T210" s="45"/>
      <c r="U210" s="45">
        <v>16946554</v>
      </c>
      <c r="V210" s="44"/>
      <c r="W210" s="45">
        <f>3500000+150000</f>
        <v>3650000</v>
      </c>
    </row>
    <row r="211" spans="1:24" s="116" customFormat="1" ht="12.75" customHeight="1">
      <c r="A211" s="44" t="s">
        <v>240</v>
      </c>
      <c r="C211" s="44" t="s">
        <v>13</v>
      </c>
      <c r="D211" s="35"/>
      <c r="E211" s="45">
        <v>7433923</v>
      </c>
      <c r="F211" s="45"/>
      <c r="G211" s="45">
        <v>10878906</v>
      </c>
      <c r="H211" s="45"/>
      <c r="I211" s="45">
        <v>0</v>
      </c>
      <c r="J211" s="45"/>
      <c r="K211" s="45">
        <v>891690</v>
      </c>
      <c r="L211" s="45"/>
      <c r="M211" s="45">
        <v>7524790</v>
      </c>
      <c r="N211" s="45"/>
      <c r="O211" s="45">
        <v>87235</v>
      </c>
      <c r="P211" s="45"/>
      <c r="Q211" s="45">
        <f>745026+2931853</f>
        <v>3676879</v>
      </c>
      <c r="R211" s="45"/>
      <c r="S211" s="44">
        <f t="shared" si="5"/>
        <v>4112865</v>
      </c>
      <c r="T211" s="45"/>
      <c r="U211" s="45">
        <v>34606288</v>
      </c>
      <c r="V211" s="44"/>
      <c r="W211" s="45">
        <f>7925000+505596+77882+1771307+1778978</f>
        <v>12058763</v>
      </c>
    </row>
    <row r="212" spans="1:24" s="116" customFormat="1" ht="12.75" customHeight="1">
      <c r="A212" s="44" t="s">
        <v>241</v>
      </c>
      <c r="C212" s="44" t="s">
        <v>22</v>
      </c>
      <c r="D212" s="35"/>
      <c r="E212" s="45">
        <v>1872228</v>
      </c>
      <c r="F212" s="45"/>
      <c r="G212" s="45">
        <v>7716160</v>
      </c>
      <c r="H212" s="45"/>
      <c r="I212" s="45">
        <v>0</v>
      </c>
      <c r="J212" s="45"/>
      <c r="K212" s="45">
        <v>837479</v>
      </c>
      <c r="L212" s="45"/>
      <c r="M212" s="45">
        <v>1173043</v>
      </c>
      <c r="N212" s="45"/>
      <c r="O212" s="45">
        <v>132480</v>
      </c>
      <c r="P212" s="45"/>
      <c r="Q212" s="45">
        <f>261373+63847</f>
        <v>325220</v>
      </c>
      <c r="R212" s="45"/>
      <c r="S212" s="44">
        <f t="shared" si="5"/>
        <v>513636</v>
      </c>
      <c r="T212" s="45"/>
      <c r="U212" s="45">
        <v>12570246</v>
      </c>
      <c r="V212" s="44"/>
      <c r="W212" s="45">
        <f>364636+169144</f>
        <v>533780</v>
      </c>
    </row>
    <row r="213" spans="1:24" s="116" customFormat="1" ht="12.75" customHeight="1">
      <c r="A213" s="44" t="s">
        <v>242</v>
      </c>
      <c r="C213" s="44" t="s">
        <v>27</v>
      </c>
      <c r="D213" s="35"/>
      <c r="E213" s="45">
        <v>9895558</v>
      </c>
      <c r="F213" s="45"/>
      <c r="G213" s="45">
        <v>25926979</v>
      </c>
      <c r="H213" s="45"/>
      <c r="I213" s="45">
        <v>2265750</v>
      </c>
      <c r="J213" s="45"/>
      <c r="K213" s="45">
        <v>4746566</v>
      </c>
      <c r="L213" s="45"/>
      <c r="M213" s="45">
        <v>6397976</v>
      </c>
      <c r="N213" s="45"/>
      <c r="O213" s="45">
        <v>150000</v>
      </c>
      <c r="P213" s="45"/>
      <c r="Q213" s="45">
        <v>1422755</v>
      </c>
      <c r="R213" s="45"/>
      <c r="S213" s="44">
        <f t="shared" si="5"/>
        <v>852680</v>
      </c>
      <c r="T213" s="45"/>
      <c r="U213" s="45">
        <v>51658264</v>
      </c>
      <c r="V213" s="44"/>
      <c r="W213" s="45">
        <f>10324632+26320+23450000+1535000+553020</f>
        <v>35888972</v>
      </c>
    </row>
    <row r="214" spans="1:24" s="116" customFormat="1" ht="12.75" customHeight="1">
      <c r="A214" s="44" t="s">
        <v>243</v>
      </c>
      <c r="C214" s="44" t="s">
        <v>163</v>
      </c>
      <c r="D214" s="35"/>
      <c r="E214" s="45">
        <v>1504564</v>
      </c>
      <c r="F214" s="45"/>
      <c r="G214" s="45">
        <v>8118235</v>
      </c>
      <c r="H214" s="45"/>
      <c r="I214" s="45">
        <v>0</v>
      </c>
      <c r="J214" s="45"/>
      <c r="K214" s="45">
        <v>509218</v>
      </c>
      <c r="L214" s="45"/>
      <c r="M214" s="45">
        <v>3258614</v>
      </c>
      <c r="N214" s="45"/>
      <c r="O214" s="45">
        <v>719888</v>
      </c>
      <c r="P214" s="45"/>
      <c r="Q214" s="45">
        <f>301331+1095061</f>
        <v>1396392</v>
      </c>
      <c r="R214" s="45"/>
      <c r="S214" s="44">
        <f t="shared" si="5"/>
        <v>889431</v>
      </c>
      <c r="T214" s="45"/>
      <c r="U214" s="45">
        <v>16396342</v>
      </c>
      <c r="V214" s="44"/>
      <c r="W214" s="45">
        <v>11471033</v>
      </c>
    </row>
    <row r="215" spans="1:24" s="116" customFormat="1" ht="12.75" customHeight="1">
      <c r="A215" s="44" t="s">
        <v>244</v>
      </c>
      <c r="C215" s="44" t="s">
        <v>13</v>
      </c>
      <c r="D215" s="35"/>
      <c r="E215" s="45">
        <v>2241114</v>
      </c>
      <c r="F215" s="45"/>
      <c r="G215" s="45">
        <v>7156634</v>
      </c>
      <c r="H215" s="45"/>
      <c r="I215" s="45">
        <v>0</v>
      </c>
      <c r="J215" s="45"/>
      <c r="K215" s="45">
        <v>2188832</v>
      </c>
      <c r="L215" s="45"/>
      <c r="M215" s="45">
        <v>3589375</v>
      </c>
      <c r="N215" s="45"/>
      <c r="O215" s="45">
        <v>109413</v>
      </c>
      <c r="P215" s="45"/>
      <c r="Q215" s="45">
        <v>438045</v>
      </c>
      <c r="R215" s="45"/>
      <c r="S215" s="44">
        <f t="shared" si="5"/>
        <v>464100</v>
      </c>
      <c r="T215" s="45"/>
      <c r="U215" s="45">
        <v>16187513</v>
      </c>
      <c r="V215" s="44"/>
      <c r="W215" s="45">
        <f>144277+3800000+22344+2618165</f>
        <v>6584786</v>
      </c>
    </row>
    <row r="216" spans="1:24" s="116" customFormat="1" ht="12.75" customHeight="1">
      <c r="A216" s="44" t="s">
        <v>245</v>
      </c>
      <c r="C216" s="44" t="s">
        <v>110</v>
      </c>
      <c r="D216" s="35"/>
      <c r="E216" s="45">
        <v>1237047</v>
      </c>
      <c r="F216" s="45"/>
      <c r="G216" s="45">
        <v>6529259</v>
      </c>
      <c r="H216" s="45"/>
      <c r="I216" s="45">
        <v>0</v>
      </c>
      <c r="J216" s="45"/>
      <c r="K216" s="45">
        <v>592868</v>
      </c>
      <c r="L216" s="45"/>
      <c r="M216" s="45">
        <v>4513651</v>
      </c>
      <c r="N216" s="45"/>
      <c r="O216" s="45">
        <v>125239</v>
      </c>
      <c r="P216" s="45"/>
      <c r="Q216" s="45">
        <f>30191+537522</f>
        <v>567713</v>
      </c>
      <c r="R216" s="45"/>
      <c r="S216" s="44">
        <f t="shared" si="5"/>
        <v>541812</v>
      </c>
      <c r="T216" s="45"/>
      <c r="U216" s="45">
        <v>14107589</v>
      </c>
      <c r="V216" s="44"/>
      <c r="W216" s="45">
        <f>15922+1398620</f>
        <v>1414542</v>
      </c>
    </row>
    <row r="217" spans="1:24" s="116" customFormat="1" ht="12.75" customHeight="1">
      <c r="A217" s="44" t="s">
        <v>246</v>
      </c>
      <c r="C217" s="44" t="s">
        <v>209</v>
      </c>
      <c r="D217" s="35"/>
      <c r="E217" s="45">
        <v>3571583</v>
      </c>
      <c r="F217" s="45"/>
      <c r="G217" s="45">
        <v>0</v>
      </c>
      <c r="H217" s="45"/>
      <c r="I217" s="45">
        <v>0</v>
      </c>
      <c r="J217" s="45"/>
      <c r="K217" s="45">
        <v>1738276</v>
      </c>
      <c r="L217" s="45"/>
      <c r="M217" s="45">
        <v>3201047</v>
      </c>
      <c r="N217" s="45"/>
      <c r="O217" s="45">
        <v>134197</v>
      </c>
      <c r="P217" s="45"/>
      <c r="Q217" s="45">
        <f>12858+15962</f>
        <v>28820</v>
      </c>
      <c r="R217" s="45"/>
      <c r="S217" s="44">
        <f t="shared" si="5"/>
        <v>584356</v>
      </c>
      <c r="T217" s="45"/>
      <c r="U217" s="45">
        <v>9258279</v>
      </c>
      <c r="V217" s="44"/>
      <c r="W217" s="45">
        <v>1150447</v>
      </c>
    </row>
    <row r="218" spans="1:24" s="116" customFormat="1" ht="12.75" customHeight="1">
      <c r="A218" s="44" t="s">
        <v>247</v>
      </c>
      <c r="C218" s="44" t="s">
        <v>163</v>
      </c>
      <c r="D218" s="35"/>
      <c r="E218" s="45">
        <v>13612000</v>
      </c>
      <c r="F218" s="45"/>
      <c r="G218" s="45">
        <v>141554000</v>
      </c>
      <c r="H218" s="45"/>
      <c r="I218" s="45">
        <v>0</v>
      </c>
      <c r="J218" s="45"/>
      <c r="K218" s="45">
        <v>21516000</v>
      </c>
      <c r="L218" s="45"/>
      <c r="M218" s="45">
        <v>89942000</v>
      </c>
      <c r="N218" s="45"/>
      <c r="O218" s="45">
        <v>23965000</v>
      </c>
      <c r="P218" s="45"/>
      <c r="Q218" s="45">
        <f>2103000+5971000</f>
        <v>8074000</v>
      </c>
      <c r="R218" s="45"/>
      <c r="S218" s="44">
        <f t="shared" si="5"/>
        <v>11136000</v>
      </c>
      <c r="T218" s="45"/>
      <c r="U218" s="45">
        <v>309799000</v>
      </c>
      <c r="V218" s="44"/>
      <c r="W218" s="45">
        <v>92679000</v>
      </c>
      <c r="X218" s="116">
        <f>53893+30390+3763+3887+746</f>
        <v>92679</v>
      </c>
    </row>
    <row r="219" spans="1:24" s="116" customFormat="1" ht="12.75" customHeight="1">
      <c r="A219" s="44" t="s">
        <v>248</v>
      </c>
      <c r="C219" s="44" t="s">
        <v>249</v>
      </c>
      <c r="D219" s="35"/>
      <c r="E219" s="45">
        <v>157250</v>
      </c>
      <c r="F219" s="45"/>
      <c r="G219" s="45">
        <v>2154010</v>
      </c>
      <c r="H219" s="45"/>
      <c r="I219" s="45">
        <v>44103</v>
      </c>
      <c r="J219" s="45"/>
      <c r="K219" s="45">
        <v>73317</v>
      </c>
      <c r="L219" s="45"/>
      <c r="M219" s="45">
        <v>1615033</v>
      </c>
      <c r="N219" s="45"/>
      <c r="O219" s="45">
        <v>0</v>
      </c>
      <c r="P219" s="45"/>
      <c r="Q219" s="45">
        <f>34642+17641</f>
        <v>52283</v>
      </c>
      <c r="R219" s="45"/>
      <c r="S219" s="44">
        <f t="shared" si="5"/>
        <v>50319</v>
      </c>
      <c r="T219" s="45"/>
      <c r="U219" s="45">
        <v>4146315</v>
      </c>
      <c r="V219" s="44"/>
      <c r="W219" s="45">
        <v>1205658</v>
      </c>
    </row>
    <row r="220" spans="1:24" s="116" customFormat="1" ht="12.75" customHeight="1">
      <c r="A220" s="44" t="s">
        <v>250</v>
      </c>
      <c r="C220" s="44" t="s">
        <v>103</v>
      </c>
      <c r="D220" s="35"/>
      <c r="E220" s="45">
        <v>538061</v>
      </c>
      <c r="F220" s="45"/>
      <c r="G220" s="45">
        <v>1516298</v>
      </c>
      <c r="H220" s="45"/>
      <c r="I220" s="45">
        <v>0</v>
      </c>
      <c r="J220" s="45"/>
      <c r="K220" s="45">
        <v>298887</v>
      </c>
      <c r="L220" s="45"/>
      <c r="M220" s="45">
        <v>1037212</v>
      </c>
      <c r="N220" s="45"/>
      <c r="O220" s="45">
        <v>86540</v>
      </c>
      <c r="P220" s="45"/>
      <c r="Q220" s="45">
        <f>91290+198288</f>
        <v>289578</v>
      </c>
      <c r="R220" s="45"/>
      <c r="S220" s="44">
        <f t="shared" si="5"/>
        <v>213777</v>
      </c>
      <c r="T220" s="45"/>
      <c r="U220" s="45">
        <v>3980353</v>
      </c>
      <c r="V220" s="44"/>
      <c r="W220" s="45">
        <f>12124+567537</f>
        <v>579661</v>
      </c>
    </row>
    <row r="221" spans="1:24" s="116" customFormat="1" ht="12.75" customHeight="1">
      <c r="A221" s="44" t="s">
        <v>251</v>
      </c>
      <c r="C221" s="44" t="s">
        <v>66</v>
      </c>
      <c r="D221" s="35"/>
      <c r="E221" s="45">
        <v>9442375</v>
      </c>
      <c r="F221" s="45"/>
      <c r="G221" s="45">
        <v>0</v>
      </c>
      <c r="H221" s="45"/>
      <c r="I221" s="45">
        <v>0</v>
      </c>
      <c r="J221" s="45"/>
      <c r="K221" s="45">
        <v>1291014</v>
      </c>
      <c r="L221" s="45"/>
      <c r="M221" s="45">
        <v>6765127</v>
      </c>
      <c r="N221" s="45"/>
      <c r="O221" s="45">
        <v>56400</v>
      </c>
      <c r="P221" s="45"/>
      <c r="Q221" s="45">
        <v>616859</v>
      </c>
      <c r="R221" s="45"/>
      <c r="S221" s="44">
        <f t="shared" si="5"/>
        <v>735067</v>
      </c>
      <c r="T221" s="45"/>
      <c r="U221" s="45">
        <v>18906842</v>
      </c>
      <c r="V221" s="44"/>
      <c r="W221" s="45">
        <f>399679+386750</f>
        <v>786429</v>
      </c>
    </row>
    <row r="222" spans="1:24" s="116" customFormat="1" ht="12.75" customHeight="1">
      <c r="A222" s="44" t="s">
        <v>252</v>
      </c>
      <c r="C222" s="44" t="s">
        <v>209</v>
      </c>
      <c r="D222" s="35"/>
      <c r="E222" s="45">
        <v>14703665</v>
      </c>
      <c r="F222" s="45"/>
      <c r="G222" s="45">
        <v>0</v>
      </c>
      <c r="H222" s="45"/>
      <c r="I222" s="45">
        <v>0</v>
      </c>
      <c r="J222" s="45"/>
      <c r="K222" s="45">
        <v>2926793</v>
      </c>
      <c r="L222" s="45"/>
      <c r="M222" s="45">
        <v>4435499</v>
      </c>
      <c r="N222" s="45"/>
      <c r="O222" s="45">
        <v>298786</v>
      </c>
      <c r="P222" s="45"/>
      <c r="Q222" s="45">
        <v>117596</v>
      </c>
      <c r="R222" s="45"/>
      <c r="S222" s="44">
        <f t="shared" si="5"/>
        <v>1724066</v>
      </c>
      <c r="T222" s="45"/>
      <c r="U222" s="45">
        <v>24206405</v>
      </c>
      <c r="V222" s="44"/>
      <c r="W222" s="45">
        <f>18615+3804704</f>
        <v>3823319</v>
      </c>
    </row>
    <row r="223" spans="1:24" s="117" customFormat="1" ht="12.75" customHeight="1">
      <c r="A223" s="44" t="s">
        <v>253</v>
      </c>
      <c r="B223" s="116"/>
      <c r="C223" s="44" t="s">
        <v>13</v>
      </c>
      <c r="D223" s="35"/>
      <c r="E223" s="45">
        <v>1524121</v>
      </c>
      <c r="F223" s="45"/>
      <c r="G223" s="45">
        <v>16646073</v>
      </c>
      <c r="H223" s="45"/>
      <c r="I223" s="45">
        <v>0</v>
      </c>
      <c r="J223" s="45"/>
      <c r="K223" s="45">
        <v>1550995</v>
      </c>
      <c r="L223" s="45"/>
      <c r="M223" s="45">
        <v>2386313</v>
      </c>
      <c r="N223" s="45"/>
      <c r="O223" s="45">
        <v>0</v>
      </c>
      <c r="P223" s="45"/>
      <c r="Q223" s="45">
        <f>555731+117711</f>
        <v>673442</v>
      </c>
      <c r="R223" s="45"/>
      <c r="S223" s="44">
        <f t="shared" si="5"/>
        <v>1371850</v>
      </c>
      <c r="T223" s="45"/>
      <c r="U223" s="45">
        <v>24152794</v>
      </c>
      <c r="V223" s="44"/>
      <c r="W223" s="45">
        <f>34065+1551699+1086608</f>
        <v>2672372</v>
      </c>
    </row>
    <row r="224" spans="1:24" s="116" customFormat="1" ht="12.75" customHeight="1">
      <c r="A224" s="44" t="s">
        <v>254</v>
      </c>
      <c r="B224" s="118"/>
      <c r="C224" s="44" t="s">
        <v>89</v>
      </c>
      <c r="D224" s="35"/>
      <c r="E224" s="45">
        <v>505719</v>
      </c>
      <c r="F224" s="45"/>
      <c r="G224" s="45">
        <v>1170928</v>
      </c>
      <c r="H224" s="45"/>
      <c r="I224" s="45">
        <v>0</v>
      </c>
      <c r="J224" s="45"/>
      <c r="K224" s="45">
        <v>81405</v>
      </c>
      <c r="L224" s="45"/>
      <c r="M224" s="45">
        <v>1242249</v>
      </c>
      <c r="N224" s="45"/>
      <c r="O224" s="45">
        <v>140087</v>
      </c>
      <c r="P224" s="45"/>
      <c r="Q224" s="45">
        <f>42988+15478</f>
        <v>58466</v>
      </c>
      <c r="R224" s="45"/>
      <c r="S224" s="44">
        <f t="shared" si="5"/>
        <v>34881</v>
      </c>
      <c r="T224" s="45"/>
      <c r="U224" s="45">
        <v>3233735</v>
      </c>
      <c r="V224" s="44"/>
      <c r="W224" s="45">
        <f>77137+164830</f>
        <v>241967</v>
      </c>
    </row>
    <row r="225" spans="1:23" s="116" customFormat="1" ht="12.75" customHeight="1">
      <c r="A225" s="44" t="s">
        <v>159</v>
      </c>
      <c r="C225" s="44" t="s">
        <v>66</v>
      </c>
      <c r="D225" s="35"/>
      <c r="E225" s="45">
        <v>2038091</v>
      </c>
      <c r="F225" s="45"/>
      <c r="G225" s="45">
        <v>0</v>
      </c>
      <c r="H225" s="45"/>
      <c r="I225" s="45">
        <v>0</v>
      </c>
      <c r="J225" s="45"/>
      <c r="K225" s="45">
        <v>683281</v>
      </c>
      <c r="L225" s="45"/>
      <c r="M225" s="45">
        <v>822993</v>
      </c>
      <c r="N225" s="45"/>
      <c r="O225" s="45">
        <v>435499</v>
      </c>
      <c r="P225" s="45"/>
      <c r="Q225" s="45">
        <v>27703</v>
      </c>
      <c r="R225" s="45"/>
      <c r="S225" s="44">
        <f t="shared" si="5"/>
        <v>200913</v>
      </c>
      <c r="T225" s="45"/>
      <c r="U225" s="45">
        <v>4208480</v>
      </c>
      <c r="V225" s="44"/>
      <c r="W225" s="45">
        <f>13230+23+170077</f>
        <v>183330</v>
      </c>
    </row>
    <row r="226" spans="1:23" s="116" customFormat="1" ht="12.75" customHeight="1">
      <c r="A226" s="44" t="s">
        <v>255</v>
      </c>
      <c r="C226" s="44" t="s">
        <v>27</v>
      </c>
      <c r="D226" s="35"/>
      <c r="E226" s="45">
        <v>3269576</v>
      </c>
      <c r="F226" s="45"/>
      <c r="G226" s="45">
        <v>9118044</v>
      </c>
      <c r="H226" s="45"/>
      <c r="I226" s="45">
        <v>4131516</v>
      </c>
      <c r="J226" s="45"/>
      <c r="K226" s="45">
        <v>563033</v>
      </c>
      <c r="L226" s="45"/>
      <c r="M226" s="45">
        <v>2433108</v>
      </c>
      <c r="N226" s="45"/>
      <c r="O226" s="45">
        <v>924808</v>
      </c>
      <c r="P226" s="45"/>
      <c r="Q226" s="45">
        <v>473809</v>
      </c>
      <c r="R226" s="45"/>
      <c r="S226" s="44">
        <f t="shared" si="5"/>
        <v>67201</v>
      </c>
      <c r="T226" s="45"/>
      <c r="U226" s="45">
        <v>20981095</v>
      </c>
      <c r="V226" s="44"/>
      <c r="W226" s="45">
        <f>2222+2914000+4401917</f>
        <v>7318139</v>
      </c>
    </row>
    <row r="227" spans="1:23" s="118" customFormat="1" ht="12.75" customHeight="1">
      <c r="A227" s="44" t="s">
        <v>256</v>
      </c>
      <c r="C227" s="44" t="s">
        <v>43</v>
      </c>
      <c r="D227" s="35"/>
      <c r="E227" s="45">
        <v>9119015</v>
      </c>
      <c r="F227" s="45"/>
      <c r="G227" s="45">
        <v>12915601</v>
      </c>
      <c r="H227" s="45"/>
      <c r="I227" s="45">
        <f>4175460+1111446</f>
        <v>5286906</v>
      </c>
      <c r="J227" s="45"/>
      <c r="K227" s="45">
        <v>1912828</v>
      </c>
      <c r="L227" s="45"/>
      <c r="M227" s="45">
        <v>4208062</v>
      </c>
      <c r="N227" s="45"/>
      <c r="O227" s="45">
        <v>0</v>
      </c>
      <c r="P227" s="45"/>
      <c r="Q227" s="45">
        <v>388119</v>
      </c>
      <c r="R227" s="45"/>
      <c r="S227" s="44">
        <f t="shared" si="5"/>
        <v>2602735</v>
      </c>
      <c r="T227" s="45"/>
      <c r="U227" s="45">
        <v>36433266</v>
      </c>
      <c r="V227" s="44"/>
      <c r="W227" s="45">
        <f>5787589+10090000+6714994+487663+174315</f>
        <v>23254561</v>
      </c>
    </row>
    <row r="228" spans="1:23" s="116" customFormat="1" ht="12.75" customHeight="1">
      <c r="A228" s="44" t="s">
        <v>257</v>
      </c>
      <c r="C228" s="44" t="s">
        <v>258</v>
      </c>
      <c r="D228" s="49"/>
      <c r="E228" s="45">
        <v>393992</v>
      </c>
      <c r="F228" s="45"/>
      <c r="G228" s="45">
        <v>1745526</v>
      </c>
      <c r="H228" s="45"/>
      <c r="I228" s="45">
        <v>0</v>
      </c>
      <c r="J228" s="45"/>
      <c r="K228" s="45">
        <v>64499</v>
      </c>
      <c r="L228" s="45"/>
      <c r="M228" s="45">
        <v>1137364</v>
      </c>
      <c r="N228" s="45"/>
      <c r="O228" s="45">
        <v>0</v>
      </c>
      <c r="P228" s="45"/>
      <c r="Q228" s="45">
        <f>56115+554520</f>
        <v>610635</v>
      </c>
      <c r="R228" s="45"/>
      <c r="S228" s="44">
        <f t="shared" si="5"/>
        <v>160461</v>
      </c>
      <c r="T228" s="45"/>
      <c r="U228" s="45">
        <v>4112477</v>
      </c>
      <c r="V228" s="44"/>
      <c r="W228" s="45">
        <v>1329512</v>
      </c>
    </row>
    <row r="229" spans="1:23" s="116" customFormat="1" ht="12.75" customHeight="1">
      <c r="A229" s="44" t="s">
        <v>259</v>
      </c>
      <c r="C229" s="44" t="s">
        <v>260</v>
      </c>
      <c r="D229" s="35"/>
      <c r="E229" s="45">
        <v>565533</v>
      </c>
      <c r="F229" s="45"/>
      <c r="G229" s="45">
        <v>4728467</v>
      </c>
      <c r="H229" s="45"/>
      <c r="I229" s="45">
        <v>0</v>
      </c>
      <c r="J229" s="45"/>
      <c r="K229" s="45">
        <v>1036179</v>
      </c>
      <c r="L229" s="45"/>
      <c r="M229" s="45">
        <v>3389025</v>
      </c>
      <c r="N229" s="45"/>
      <c r="O229" s="45">
        <v>0</v>
      </c>
      <c r="P229" s="45"/>
      <c r="Q229" s="45">
        <v>940046</v>
      </c>
      <c r="R229" s="45"/>
      <c r="S229" s="44">
        <f t="shared" si="5"/>
        <v>676399</v>
      </c>
      <c r="T229" s="45"/>
      <c r="U229" s="45">
        <v>11335649</v>
      </c>
      <c r="V229" s="44"/>
      <c r="W229" s="45">
        <v>293870</v>
      </c>
    </row>
    <row r="230" spans="1:23" s="116" customFormat="1" ht="12.75" customHeight="1">
      <c r="A230" s="44" t="s">
        <v>261</v>
      </c>
      <c r="C230" s="44" t="s">
        <v>66</v>
      </c>
      <c r="D230" s="35"/>
      <c r="E230" s="45">
        <v>1691048</v>
      </c>
      <c r="F230" s="45"/>
      <c r="G230" s="45">
        <v>9377445</v>
      </c>
      <c r="H230" s="45"/>
      <c r="I230" s="45">
        <v>0</v>
      </c>
      <c r="J230" s="45"/>
      <c r="K230" s="45">
        <v>3544147</v>
      </c>
      <c r="L230" s="45"/>
      <c r="M230" s="45">
        <v>3891817</v>
      </c>
      <c r="N230" s="45"/>
      <c r="O230" s="45">
        <v>17950</v>
      </c>
      <c r="P230" s="45"/>
      <c r="Q230" s="45">
        <v>1469696</v>
      </c>
      <c r="R230" s="45"/>
      <c r="S230" s="44">
        <f t="shared" si="5"/>
        <v>772552</v>
      </c>
      <c r="T230" s="45"/>
      <c r="U230" s="45">
        <v>20764655</v>
      </c>
      <c r="V230" s="44"/>
      <c r="W230" s="45">
        <f>4755000+55093+50304+6841691</f>
        <v>11702088</v>
      </c>
    </row>
    <row r="231" spans="1:23" s="116" customFormat="1" ht="12.75" customHeight="1">
      <c r="A231" s="44" t="s">
        <v>262</v>
      </c>
      <c r="C231" s="44" t="s">
        <v>132</v>
      </c>
      <c r="D231" s="35"/>
      <c r="E231" s="45">
        <v>2685535</v>
      </c>
      <c r="F231" s="45"/>
      <c r="G231" s="45">
        <v>1120417</v>
      </c>
      <c r="H231" s="45"/>
      <c r="I231" s="45">
        <v>731</v>
      </c>
      <c r="J231" s="45"/>
      <c r="K231" s="45">
        <v>1392042</v>
      </c>
      <c r="L231" s="45"/>
      <c r="M231" s="45">
        <v>2095057</v>
      </c>
      <c r="N231" s="45"/>
      <c r="O231" s="45">
        <v>88275</v>
      </c>
      <c r="P231" s="45"/>
      <c r="Q231" s="45">
        <f>256422+434234</f>
        <v>690656</v>
      </c>
      <c r="R231" s="45"/>
      <c r="S231" s="44">
        <f t="shared" si="5"/>
        <v>183197</v>
      </c>
      <c r="T231" s="45"/>
      <c r="U231" s="45">
        <v>8255910</v>
      </c>
      <c r="V231" s="44"/>
      <c r="W231" s="45">
        <f>300000+2750000+185501+87925+1498834</f>
        <v>4822260</v>
      </c>
    </row>
    <row r="232" spans="1:23" s="116" customFormat="1" ht="12.75" customHeight="1">
      <c r="A232" s="44" t="s">
        <v>263</v>
      </c>
      <c r="C232" s="44" t="s">
        <v>53</v>
      </c>
      <c r="D232" s="35"/>
      <c r="E232" s="45">
        <v>3167698</v>
      </c>
      <c r="F232" s="45"/>
      <c r="G232" s="45">
        <v>6591226</v>
      </c>
      <c r="H232" s="45"/>
      <c r="I232" s="45">
        <v>0</v>
      </c>
      <c r="J232" s="45"/>
      <c r="K232" s="45">
        <v>2210771</v>
      </c>
      <c r="L232" s="45"/>
      <c r="M232" s="45">
        <v>5475695</v>
      </c>
      <c r="N232" s="45"/>
      <c r="O232" s="45">
        <v>84377</v>
      </c>
      <c r="P232" s="45"/>
      <c r="Q232" s="45">
        <f>938955+261333</f>
        <v>1200288</v>
      </c>
      <c r="R232" s="45"/>
      <c r="S232" s="44">
        <f t="shared" si="5"/>
        <v>579082</v>
      </c>
      <c r="T232" s="45"/>
      <c r="U232" s="45">
        <v>19309137</v>
      </c>
      <c r="V232" s="44"/>
      <c r="W232" s="45">
        <f>7339800+2015000+33222</f>
        <v>9388022</v>
      </c>
    </row>
    <row r="233" spans="1:23" s="116" customFormat="1" ht="12.75" customHeight="1">
      <c r="A233" s="44" t="s">
        <v>264</v>
      </c>
      <c r="C233" s="44" t="s">
        <v>239</v>
      </c>
      <c r="D233" s="35"/>
      <c r="E233" s="45">
        <v>454699</v>
      </c>
      <c r="F233" s="45"/>
      <c r="G233" s="45">
        <v>2138100</v>
      </c>
      <c r="H233" s="45"/>
      <c r="I233" s="45">
        <v>74478</v>
      </c>
      <c r="J233" s="45"/>
      <c r="K233" s="45">
        <v>624096</v>
      </c>
      <c r="L233" s="45"/>
      <c r="M233" s="45">
        <v>1985445</v>
      </c>
      <c r="N233" s="45"/>
      <c r="O233" s="45">
        <v>79745</v>
      </c>
      <c r="P233" s="45"/>
      <c r="Q233" s="45">
        <f>98226+21495</f>
        <v>119721</v>
      </c>
      <c r="R233" s="45"/>
      <c r="S233" s="44">
        <f t="shared" si="5"/>
        <v>937610</v>
      </c>
      <c r="T233" s="45"/>
      <c r="U233" s="45">
        <v>6413894</v>
      </c>
      <c r="V233" s="44"/>
      <c r="W233" s="45">
        <f>368662+1531+907759</f>
        <v>1277952</v>
      </c>
    </row>
    <row r="234" spans="1:23" s="116" customFormat="1" ht="12.75" customHeight="1">
      <c r="A234" s="44" t="s">
        <v>471</v>
      </c>
      <c r="C234" s="44"/>
      <c r="D234" s="3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4"/>
      <c r="T234" s="45"/>
      <c r="U234" s="45"/>
      <c r="V234" s="44"/>
      <c r="W234" s="48" t="s">
        <v>484</v>
      </c>
    </row>
    <row r="235" spans="1:23" s="116" customFormat="1" ht="12.75" customHeight="1">
      <c r="A235" s="44" t="s">
        <v>111</v>
      </c>
      <c r="C235" s="44" t="s">
        <v>80</v>
      </c>
      <c r="D235" s="64"/>
      <c r="E235" s="94">
        <v>1511528</v>
      </c>
      <c r="F235" s="94"/>
      <c r="G235" s="94">
        <v>15624357</v>
      </c>
      <c r="H235" s="94"/>
      <c r="I235" s="94">
        <v>0</v>
      </c>
      <c r="J235" s="94"/>
      <c r="K235" s="94">
        <v>2139791</v>
      </c>
      <c r="L235" s="94"/>
      <c r="M235" s="94">
        <v>12037848</v>
      </c>
      <c r="N235" s="94"/>
      <c r="O235" s="94">
        <v>27680</v>
      </c>
      <c r="P235" s="94"/>
      <c r="Q235" s="94">
        <f>2070754+1747233</f>
        <v>3817987</v>
      </c>
      <c r="R235" s="94"/>
      <c r="S235" s="46">
        <f t="shared" si="5"/>
        <v>1185768</v>
      </c>
      <c r="T235" s="94"/>
      <c r="U235" s="94">
        <v>36344959</v>
      </c>
      <c r="V235" s="46"/>
      <c r="W235" s="94">
        <v>1104143</v>
      </c>
    </row>
    <row r="236" spans="1:23" s="116" customFormat="1" ht="12.75" customHeight="1">
      <c r="A236" s="44" t="s">
        <v>265</v>
      </c>
      <c r="C236" s="44" t="s">
        <v>27</v>
      </c>
      <c r="D236" s="35"/>
      <c r="E236" s="45">
        <v>1572827</v>
      </c>
      <c r="F236" s="45"/>
      <c r="G236" s="45">
        <v>11099006</v>
      </c>
      <c r="H236" s="45"/>
      <c r="I236" s="45">
        <v>226612</v>
      </c>
      <c r="J236" s="45"/>
      <c r="K236" s="45">
        <v>425150</v>
      </c>
      <c r="L236" s="45"/>
      <c r="M236" s="45">
        <v>2424082</v>
      </c>
      <c r="N236" s="45"/>
      <c r="O236" s="45">
        <v>690621</v>
      </c>
      <c r="P236" s="45"/>
      <c r="Q236" s="45">
        <f>265502+209213</f>
        <v>474715</v>
      </c>
      <c r="R236" s="45"/>
      <c r="S236" s="44">
        <f t="shared" si="5"/>
        <v>128587</v>
      </c>
      <c r="T236" s="45"/>
      <c r="U236" s="45">
        <v>17041600</v>
      </c>
      <c r="V236" s="44"/>
      <c r="W236" s="45">
        <f>1960+203314+8892000+173704</f>
        <v>9270978</v>
      </c>
    </row>
    <row r="237" spans="1:23" s="117" customFormat="1" ht="12.75" customHeight="1">
      <c r="A237" s="44" t="s">
        <v>40</v>
      </c>
      <c r="B237" s="116"/>
      <c r="C237" s="47" t="s">
        <v>451</v>
      </c>
      <c r="D237" s="35"/>
      <c r="E237" s="45">
        <v>1623911</v>
      </c>
      <c r="F237" s="45"/>
      <c r="G237" s="45">
        <v>5385645</v>
      </c>
      <c r="H237" s="45"/>
      <c r="I237" s="45">
        <v>0</v>
      </c>
      <c r="J237" s="45"/>
      <c r="K237" s="45">
        <v>1048451</v>
      </c>
      <c r="L237" s="45"/>
      <c r="M237" s="45">
        <v>2203712</v>
      </c>
      <c r="N237" s="45"/>
      <c r="O237" s="45">
        <v>0</v>
      </c>
      <c r="P237" s="45"/>
      <c r="Q237" s="45">
        <v>831862</v>
      </c>
      <c r="R237" s="45"/>
      <c r="S237" s="44">
        <f t="shared" si="5"/>
        <v>1045729</v>
      </c>
      <c r="T237" s="45"/>
      <c r="U237" s="45">
        <v>12139310</v>
      </c>
      <c r="V237" s="44"/>
      <c r="W237" s="45">
        <f>238172+160000</f>
        <v>398172</v>
      </c>
    </row>
    <row r="238" spans="1:23" s="116" customFormat="1" ht="12.75" customHeight="1">
      <c r="A238" s="44" t="s">
        <v>266</v>
      </c>
      <c r="C238" s="44" t="s">
        <v>267</v>
      </c>
      <c r="D238" s="35"/>
      <c r="E238" s="45">
        <v>3245308</v>
      </c>
      <c r="F238" s="45"/>
      <c r="G238" s="45">
        <v>0</v>
      </c>
      <c r="H238" s="45"/>
      <c r="I238" s="45">
        <v>0</v>
      </c>
      <c r="J238" s="45"/>
      <c r="K238" s="45">
        <v>475007</v>
      </c>
      <c r="L238" s="45"/>
      <c r="M238" s="45">
        <v>1006829</v>
      </c>
      <c r="N238" s="45"/>
      <c r="O238" s="45">
        <v>0</v>
      </c>
      <c r="P238" s="45"/>
      <c r="Q238" s="45">
        <f>11165+30422</f>
        <v>41587</v>
      </c>
      <c r="R238" s="45"/>
      <c r="S238" s="44">
        <f t="shared" si="5"/>
        <v>128102</v>
      </c>
      <c r="T238" s="45"/>
      <c r="U238" s="45">
        <v>4896833</v>
      </c>
      <c r="V238" s="44"/>
      <c r="W238" s="45">
        <f>3100000+87958</f>
        <v>3187958</v>
      </c>
    </row>
    <row r="239" spans="1:23" s="118" customFormat="1" ht="12.75" customHeight="1">
      <c r="A239" s="44" t="s">
        <v>268</v>
      </c>
      <c r="B239" s="116"/>
      <c r="C239" s="44" t="s">
        <v>269</v>
      </c>
      <c r="D239" s="35"/>
      <c r="E239" s="45">
        <v>1985046</v>
      </c>
      <c r="F239" s="45"/>
      <c r="G239" s="45">
        <v>0</v>
      </c>
      <c r="H239" s="45"/>
      <c r="I239" s="45">
        <v>0</v>
      </c>
      <c r="J239" s="45"/>
      <c r="K239" s="45">
        <v>28805</v>
      </c>
      <c r="L239" s="45"/>
      <c r="M239" s="45">
        <v>961649</v>
      </c>
      <c r="N239" s="45"/>
      <c r="O239" s="45">
        <v>0</v>
      </c>
      <c r="P239" s="45"/>
      <c r="Q239" s="45">
        <f>1824+136587</f>
        <v>138411</v>
      </c>
      <c r="R239" s="45"/>
      <c r="S239" s="44">
        <f t="shared" si="5"/>
        <v>98979</v>
      </c>
      <c r="T239" s="45"/>
      <c r="U239" s="45">
        <v>3212890</v>
      </c>
      <c r="V239" s="44"/>
      <c r="W239" s="45">
        <f>729514+1081527</f>
        <v>1811041</v>
      </c>
    </row>
    <row r="240" spans="1:23" s="116" customFormat="1" ht="12.75" customHeight="1">
      <c r="A240" s="44" t="s">
        <v>270</v>
      </c>
      <c r="C240" s="44" t="s">
        <v>136</v>
      </c>
      <c r="D240" s="35"/>
      <c r="E240" s="45">
        <v>455025</v>
      </c>
      <c r="F240" s="45"/>
      <c r="G240" s="45">
        <v>1031452</v>
      </c>
      <c r="H240" s="45"/>
      <c r="I240" s="45">
        <v>47086</v>
      </c>
      <c r="J240" s="45"/>
      <c r="K240" s="45">
        <v>113960</v>
      </c>
      <c r="L240" s="45"/>
      <c r="M240" s="45">
        <v>1406739</v>
      </c>
      <c r="N240" s="45"/>
      <c r="O240" s="45">
        <v>0</v>
      </c>
      <c r="P240" s="45"/>
      <c r="Q240" s="45">
        <f>48913+30875</f>
        <v>79788</v>
      </c>
      <c r="R240" s="45"/>
      <c r="S240" s="44">
        <f t="shared" si="5"/>
        <v>377909</v>
      </c>
      <c r="T240" s="45"/>
      <c r="U240" s="45">
        <v>3511959</v>
      </c>
      <c r="V240" s="44"/>
      <c r="W240" s="45">
        <v>66087</v>
      </c>
    </row>
    <row r="241" spans="1:24" s="118" customFormat="1" ht="12.75" customHeight="1">
      <c r="A241" s="44" t="s">
        <v>271</v>
      </c>
      <c r="B241" s="116"/>
      <c r="C241" s="44" t="s">
        <v>66</v>
      </c>
      <c r="D241" s="35"/>
      <c r="E241" s="45">
        <v>7332110</v>
      </c>
      <c r="F241" s="45"/>
      <c r="G241" s="45">
        <v>0</v>
      </c>
      <c r="H241" s="45"/>
      <c r="I241" s="45">
        <v>0</v>
      </c>
      <c r="J241" s="45"/>
      <c r="K241" s="45">
        <v>239220</v>
      </c>
      <c r="L241" s="45"/>
      <c r="M241" s="45">
        <v>1539732</v>
      </c>
      <c r="N241" s="45"/>
      <c r="O241" s="45">
        <v>108246</v>
      </c>
      <c r="P241" s="45"/>
      <c r="Q241" s="45">
        <f>350183+51635</f>
        <v>401818</v>
      </c>
      <c r="R241" s="45"/>
      <c r="S241" s="44">
        <f t="shared" si="5"/>
        <v>485217</v>
      </c>
      <c r="T241" s="45"/>
      <c r="U241" s="45">
        <v>10106343</v>
      </c>
      <c r="V241" s="44"/>
      <c r="W241" s="45">
        <f>400000+1747921</f>
        <v>2147921</v>
      </c>
    </row>
    <row r="242" spans="1:24" s="116" customFormat="1" ht="12.75" customHeight="1">
      <c r="A242" s="44" t="s">
        <v>272</v>
      </c>
      <c r="C242" s="44" t="s">
        <v>43</v>
      </c>
      <c r="D242" s="35"/>
      <c r="E242" s="45">
        <v>10200505</v>
      </c>
      <c r="F242" s="45"/>
      <c r="G242" s="45">
        <v>32424966</v>
      </c>
      <c r="H242" s="45"/>
      <c r="I242" s="45">
        <v>498791</v>
      </c>
      <c r="J242" s="45"/>
      <c r="K242" s="45">
        <v>3330955</v>
      </c>
      <c r="L242" s="45"/>
      <c r="M242" s="45">
        <v>10620493</v>
      </c>
      <c r="N242" s="45"/>
      <c r="O242" s="45">
        <v>0</v>
      </c>
      <c r="P242" s="45"/>
      <c r="Q242" s="45">
        <f>724489+575686</f>
        <v>1300175</v>
      </c>
      <c r="R242" s="45"/>
      <c r="S242" s="44">
        <f t="shared" si="5"/>
        <v>3853824</v>
      </c>
      <c r="T242" s="45"/>
      <c r="U242" s="45">
        <v>62229709</v>
      </c>
      <c r="V242" s="44"/>
      <c r="W242" s="45">
        <f>18160735+1017054+242000+19936821</f>
        <v>39356610</v>
      </c>
    </row>
    <row r="243" spans="1:24" s="116" customFormat="1" ht="12.75" customHeight="1">
      <c r="A243" s="44" t="s">
        <v>273</v>
      </c>
      <c r="C243" s="44" t="s">
        <v>27</v>
      </c>
      <c r="D243" s="35"/>
      <c r="E243" s="45">
        <v>12216342</v>
      </c>
      <c r="F243" s="45"/>
      <c r="G243" s="45">
        <v>18253703</v>
      </c>
      <c r="H243" s="45"/>
      <c r="I243" s="45">
        <f>188867+374953+224745</f>
        <v>788565</v>
      </c>
      <c r="J243" s="45"/>
      <c r="K243" s="45">
        <v>3327200</v>
      </c>
      <c r="L243" s="45"/>
      <c r="M243" s="45">
        <v>6651892</v>
      </c>
      <c r="N243" s="45"/>
      <c r="O243" s="45">
        <v>300000</v>
      </c>
      <c r="P243" s="45"/>
      <c r="Q243" s="45">
        <f>540779+790128</f>
        <v>1330907</v>
      </c>
      <c r="R243" s="45"/>
      <c r="S243" s="44">
        <f t="shared" si="5"/>
        <v>4107088</v>
      </c>
      <c r="T243" s="45"/>
      <c r="U243" s="45">
        <v>46975697</v>
      </c>
      <c r="V243" s="44"/>
      <c r="W243" s="45">
        <f>13902+9300000+22878+889476</f>
        <v>10226256</v>
      </c>
    </row>
    <row r="244" spans="1:24" s="116" customFormat="1" ht="12.75" customHeight="1">
      <c r="A244" s="44" t="s">
        <v>274</v>
      </c>
      <c r="C244" s="44" t="s">
        <v>43</v>
      </c>
      <c r="D244" s="35"/>
      <c r="E244" s="45">
        <v>531046</v>
      </c>
      <c r="F244" s="45"/>
      <c r="G244" s="45">
        <v>16065683</v>
      </c>
      <c r="H244" s="45"/>
      <c r="I244" s="45">
        <v>1538265</v>
      </c>
      <c r="J244" s="45"/>
      <c r="K244" s="45">
        <v>590530</v>
      </c>
      <c r="L244" s="45"/>
      <c r="M244" s="45">
        <v>3823519</v>
      </c>
      <c r="N244" s="45"/>
      <c r="O244" s="45">
        <v>105781</v>
      </c>
      <c r="P244" s="45"/>
      <c r="Q244" s="45">
        <f>558019+306722</f>
        <v>864741</v>
      </c>
      <c r="R244" s="45"/>
      <c r="S244" s="44">
        <f t="shared" si="5"/>
        <v>804033</v>
      </c>
      <c r="T244" s="45"/>
      <c r="U244" s="45">
        <v>24323598</v>
      </c>
      <c r="V244" s="44"/>
      <c r="W244" s="45">
        <v>1358454</v>
      </c>
    </row>
    <row r="245" spans="1:24" s="116" customFormat="1" ht="12.75" customHeight="1">
      <c r="A245" s="44" t="s">
        <v>275</v>
      </c>
      <c r="C245" s="44" t="s">
        <v>92</v>
      </c>
      <c r="D245" s="35"/>
      <c r="E245" s="45">
        <v>2841607</v>
      </c>
      <c r="F245" s="45"/>
      <c r="G245" s="45">
        <v>9152430</v>
      </c>
      <c r="H245" s="45"/>
      <c r="I245" s="45">
        <v>162333</v>
      </c>
      <c r="J245" s="45"/>
      <c r="K245" s="45">
        <v>624670</v>
      </c>
      <c r="L245" s="45"/>
      <c r="M245" s="45">
        <f>2580887+1240889</f>
        <v>3821776</v>
      </c>
      <c r="N245" s="45"/>
      <c r="O245" s="45">
        <v>351790</v>
      </c>
      <c r="P245" s="45"/>
      <c r="Q245" s="45">
        <f>440202+148178</f>
        <v>588380</v>
      </c>
      <c r="R245" s="45"/>
      <c r="S245" s="44">
        <f t="shared" si="5"/>
        <v>660791</v>
      </c>
      <c r="T245" s="45"/>
      <c r="U245" s="45">
        <v>18203777</v>
      </c>
      <c r="V245" s="44"/>
      <c r="W245" s="45">
        <f>26718+307132</f>
        <v>333850</v>
      </c>
    </row>
    <row r="246" spans="1:24" s="116" customFormat="1" ht="12.75" customHeight="1">
      <c r="A246" s="44" t="s">
        <v>276</v>
      </c>
      <c r="C246" s="44" t="s">
        <v>38</v>
      </c>
      <c r="D246" s="35"/>
      <c r="E246" s="45">
        <v>365380</v>
      </c>
      <c r="F246" s="45"/>
      <c r="G246" s="45">
        <v>2686688</v>
      </c>
      <c r="H246" s="45"/>
      <c r="I246" s="45">
        <v>0</v>
      </c>
      <c r="J246" s="45"/>
      <c r="K246" s="45">
        <v>619751</v>
      </c>
      <c r="L246" s="45"/>
      <c r="M246" s="45">
        <v>1303489</v>
      </c>
      <c r="N246" s="45"/>
      <c r="O246" s="45">
        <v>0</v>
      </c>
      <c r="P246" s="45"/>
      <c r="Q246" s="45">
        <f>45365+42973</f>
        <v>88338</v>
      </c>
      <c r="R246" s="45"/>
      <c r="S246" s="44">
        <f t="shared" si="5"/>
        <v>244003</v>
      </c>
      <c r="T246" s="45"/>
      <c r="U246" s="45">
        <v>5307649</v>
      </c>
      <c r="V246" s="44"/>
      <c r="W246" s="45">
        <f>1275000+30000+3520+15400</f>
        <v>1323920</v>
      </c>
      <c r="X246" s="116">
        <v>1275000</v>
      </c>
    </row>
    <row r="247" spans="1:24" s="116" customFormat="1" ht="12.75" customHeight="1">
      <c r="A247" s="44" t="s">
        <v>277</v>
      </c>
      <c r="C247" s="44" t="s">
        <v>92</v>
      </c>
      <c r="D247" s="35"/>
      <c r="E247" s="45">
        <v>4490013</v>
      </c>
      <c r="F247" s="45"/>
      <c r="G247" s="45">
        <v>14434185</v>
      </c>
      <c r="H247" s="45"/>
      <c r="I247" s="45">
        <v>0</v>
      </c>
      <c r="J247" s="45"/>
      <c r="K247" s="45">
        <v>1663000</v>
      </c>
      <c r="L247" s="45"/>
      <c r="M247" s="45">
        <v>4609863</v>
      </c>
      <c r="N247" s="45"/>
      <c r="O247" s="45">
        <v>65811</v>
      </c>
      <c r="P247" s="45"/>
      <c r="Q247" s="45">
        <f>2610283+242715</f>
        <v>2852998</v>
      </c>
      <c r="R247" s="45"/>
      <c r="S247" s="44">
        <f t="shared" si="5"/>
        <v>2028355</v>
      </c>
      <c r="T247" s="45"/>
      <c r="U247" s="45">
        <v>30144225</v>
      </c>
      <c r="V247" s="44"/>
      <c r="W247" s="45">
        <f>3021404+16570</f>
        <v>3037974</v>
      </c>
      <c r="X247" s="116">
        <v>30000</v>
      </c>
    </row>
    <row r="248" spans="1:24" s="116" customFormat="1" ht="12.75" customHeight="1">
      <c r="A248" s="44" t="s">
        <v>278</v>
      </c>
      <c r="C248" s="44" t="s">
        <v>92</v>
      </c>
      <c r="D248" s="35"/>
      <c r="E248" s="45">
        <v>1967460</v>
      </c>
      <c r="F248" s="45"/>
      <c r="G248" s="45">
        <v>3250718</v>
      </c>
      <c r="H248" s="45"/>
      <c r="I248" s="45">
        <f>53597+65744+78994</f>
        <v>198335</v>
      </c>
      <c r="J248" s="45"/>
      <c r="K248" s="45">
        <v>416860</v>
      </c>
      <c r="L248" s="45"/>
      <c r="M248" s="45">
        <v>1991520</v>
      </c>
      <c r="N248" s="45"/>
      <c r="O248" s="45">
        <v>17358</v>
      </c>
      <c r="P248" s="45"/>
      <c r="Q248" s="45">
        <f>1829275+108393</f>
        <v>1937668</v>
      </c>
      <c r="R248" s="45"/>
      <c r="S248" s="44">
        <f t="shared" si="5"/>
        <v>341604</v>
      </c>
      <c r="T248" s="45"/>
      <c r="U248" s="45">
        <v>10121523</v>
      </c>
      <c r="V248" s="44"/>
      <c r="W248" s="45">
        <f>1250000+20051+102994+688964</f>
        <v>2062009</v>
      </c>
      <c r="X248" s="116">
        <v>3520</v>
      </c>
    </row>
    <row r="249" spans="1:24" s="116" customFormat="1" ht="12.75" customHeight="1">
      <c r="A249" s="44" t="s">
        <v>279</v>
      </c>
      <c r="C249" s="44" t="s">
        <v>92</v>
      </c>
      <c r="D249" s="35"/>
      <c r="E249" s="45">
        <v>4448664</v>
      </c>
      <c r="F249" s="45"/>
      <c r="G249" s="45">
        <v>2283135</v>
      </c>
      <c r="H249" s="45"/>
      <c r="I249" s="45">
        <v>135436</v>
      </c>
      <c r="J249" s="45"/>
      <c r="K249" s="45">
        <v>620756</v>
      </c>
      <c r="L249" s="45"/>
      <c r="M249" s="45">
        <v>4149624</v>
      </c>
      <c r="N249" s="45"/>
      <c r="O249" s="45">
        <v>0</v>
      </c>
      <c r="P249" s="45"/>
      <c r="Q249" s="45">
        <f>206663+109340</f>
        <v>316003</v>
      </c>
      <c r="R249" s="45"/>
      <c r="S249" s="44">
        <f t="shared" si="5"/>
        <v>168671</v>
      </c>
      <c r="T249" s="45"/>
      <c r="U249" s="45">
        <v>12122289</v>
      </c>
      <c r="V249" s="44"/>
      <c r="W249" s="45">
        <f>4842+2295000+3916156</f>
        <v>6215998</v>
      </c>
      <c r="X249" s="116">
        <v>15400</v>
      </c>
    </row>
    <row r="250" spans="1:24" s="116" customFormat="1" ht="12.75" customHeight="1">
      <c r="A250" s="44" t="s">
        <v>280</v>
      </c>
      <c r="C250" s="44" t="s">
        <v>281</v>
      </c>
      <c r="D250" s="35"/>
      <c r="E250" s="45">
        <v>2258611</v>
      </c>
      <c r="F250" s="45"/>
      <c r="G250" s="45">
        <v>6503119</v>
      </c>
      <c r="H250" s="45"/>
      <c r="I250" s="45">
        <v>0</v>
      </c>
      <c r="J250" s="45"/>
      <c r="K250" s="45">
        <v>1569684</v>
      </c>
      <c r="L250" s="45"/>
      <c r="M250" s="45">
        <v>2603373</v>
      </c>
      <c r="N250" s="45"/>
      <c r="O250" s="45">
        <v>311544</v>
      </c>
      <c r="P250" s="45"/>
      <c r="Q250" s="45">
        <f>27878+968671</f>
        <v>996549</v>
      </c>
      <c r="R250" s="45"/>
      <c r="S250" s="44">
        <f t="shared" si="5"/>
        <v>2941539</v>
      </c>
      <c r="T250" s="45"/>
      <c r="U250" s="45">
        <v>17184419</v>
      </c>
      <c r="V250" s="44"/>
      <c r="W250" s="45">
        <v>4598822</v>
      </c>
      <c r="X250" s="116">
        <f>SUM(X246:X249)</f>
        <v>1323920</v>
      </c>
    </row>
    <row r="251" spans="1:24" s="116" customFormat="1" ht="12.75" customHeight="1">
      <c r="A251" s="44" t="s">
        <v>282</v>
      </c>
      <c r="C251" s="44" t="s">
        <v>199</v>
      </c>
      <c r="D251" s="35"/>
      <c r="E251" s="45">
        <v>12227385</v>
      </c>
      <c r="F251" s="45"/>
      <c r="G251" s="45">
        <v>0</v>
      </c>
      <c r="H251" s="45"/>
      <c r="I251" s="45">
        <v>0</v>
      </c>
      <c r="J251" s="45"/>
      <c r="K251" s="45">
        <v>1356638</v>
      </c>
      <c r="L251" s="45"/>
      <c r="M251" s="45">
        <v>6859748</v>
      </c>
      <c r="N251" s="45"/>
      <c r="O251" s="45">
        <v>212418</v>
      </c>
      <c r="P251" s="45"/>
      <c r="Q251" s="45">
        <v>381550</v>
      </c>
      <c r="R251" s="45"/>
      <c r="S251" s="44">
        <f t="shared" si="5"/>
        <v>2482461</v>
      </c>
      <c r="T251" s="45"/>
      <c r="U251" s="45">
        <v>23520200</v>
      </c>
      <c r="V251" s="44"/>
      <c r="W251" s="45">
        <f>3220000+248019</f>
        <v>3468019</v>
      </c>
    </row>
    <row r="252" spans="1:24" s="116" customFormat="1" ht="12.75" customHeight="1">
      <c r="A252" s="44" t="s">
        <v>283</v>
      </c>
      <c r="C252" s="44" t="s">
        <v>43</v>
      </c>
      <c r="D252" s="35"/>
      <c r="E252" s="45">
        <v>2807404</v>
      </c>
      <c r="F252" s="45"/>
      <c r="G252" s="45">
        <v>14551854</v>
      </c>
      <c r="H252" s="45"/>
      <c r="I252" s="45">
        <v>152286</v>
      </c>
      <c r="J252" s="45"/>
      <c r="K252" s="45">
        <v>3013891</v>
      </c>
      <c r="L252" s="45"/>
      <c r="M252" s="45">
        <v>2126847</v>
      </c>
      <c r="N252" s="45"/>
      <c r="O252" s="45">
        <v>67857</v>
      </c>
      <c r="P252" s="45"/>
      <c r="Q252" s="45">
        <f>289931+204601</f>
        <v>494532</v>
      </c>
      <c r="R252" s="45"/>
      <c r="S252" s="44">
        <f t="shared" si="5"/>
        <v>1630231</v>
      </c>
      <c r="T252" s="45"/>
      <c r="U252" s="45">
        <v>24844902</v>
      </c>
      <c r="V252" s="44"/>
      <c r="W252" s="45">
        <v>1165000</v>
      </c>
    </row>
    <row r="253" spans="1:24" s="116" customFormat="1" ht="12.75" customHeight="1">
      <c r="A253" s="44" t="s">
        <v>284</v>
      </c>
      <c r="C253" s="44" t="s">
        <v>45</v>
      </c>
      <c r="D253" s="35"/>
      <c r="E253" s="45">
        <v>3725592</v>
      </c>
      <c r="F253" s="45"/>
      <c r="G253" s="45">
        <v>0</v>
      </c>
      <c r="H253" s="45"/>
      <c r="I253" s="45">
        <v>0</v>
      </c>
      <c r="J253" s="45"/>
      <c r="K253" s="45">
        <v>876069</v>
      </c>
      <c r="L253" s="45"/>
      <c r="M253" s="45">
        <v>3079907</v>
      </c>
      <c r="N253" s="45"/>
      <c r="O253" s="45">
        <v>709</v>
      </c>
      <c r="P253" s="45"/>
      <c r="Q253" s="45">
        <v>132307</v>
      </c>
      <c r="R253" s="45"/>
      <c r="S253" s="44">
        <f t="shared" si="5"/>
        <v>3343814</v>
      </c>
      <c r="T253" s="45"/>
      <c r="U253" s="45">
        <v>11158398</v>
      </c>
      <c r="V253" s="44"/>
      <c r="W253" s="45">
        <f>5208145+2650944</f>
        <v>7859089</v>
      </c>
    </row>
    <row r="254" spans="1:24" s="116" customFormat="1" ht="12.75" customHeight="1">
      <c r="A254" s="44" t="s">
        <v>285</v>
      </c>
      <c r="C254" s="44" t="s">
        <v>30</v>
      </c>
      <c r="D254" s="35"/>
      <c r="E254" s="45">
        <v>0</v>
      </c>
      <c r="F254" s="45"/>
      <c r="G254" s="45">
        <v>8418354</v>
      </c>
      <c r="H254" s="45"/>
      <c r="I254" s="45">
        <v>1899658</v>
      </c>
      <c r="J254" s="45"/>
      <c r="K254" s="45">
        <v>1669891</v>
      </c>
      <c r="L254" s="45"/>
      <c r="M254" s="45">
        <f>3296472+908950</f>
        <v>4205422</v>
      </c>
      <c r="N254" s="45"/>
      <c r="O254" s="45">
        <v>0</v>
      </c>
      <c r="P254" s="45"/>
      <c r="Q254" s="45">
        <v>1422179</v>
      </c>
      <c r="R254" s="45"/>
      <c r="S254" s="44">
        <f t="shared" si="5"/>
        <v>909516</v>
      </c>
      <c r="T254" s="45"/>
      <c r="U254" s="45">
        <v>18525020</v>
      </c>
      <c r="V254" s="44"/>
      <c r="W254" s="45">
        <f>190080+234000+1</f>
        <v>424081</v>
      </c>
    </row>
    <row r="255" spans="1:24" s="116" customFormat="1" ht="12.75" customHeight="1">
      <c r="A255" s="44" t="s">
        <v>286</v>
      </c>
      <c r="C255" s="44" t="s">
        <v>61</v>
      </c>
      <c r="D255" s="64"/>
      <c r="E255" s="45">
        <v>2187936</v>
      </c>
      <c r="F255" s="45"/>
      <c r="G255" s="45">
        <v>40431894</v>
      </c>
      <c r="H255" s="45"/>
      <c r="I255" s="45">
        <v>0</v>
      </c>
      <c r="J255" s="45"/>
      <c r="K255" s="45">
        <v>7557239</v>
      </c>
      <c r="L255" s="45"/>
      <c r="M255" s="45">
        <v>20920798</v>
      </c>
      <c r="N255" s="45"/>
      <c r="O255" s="45">
        <v>0</v>
      </c>
      <c r="P255" s="45"/>
      <c r="Q255" s="45">
        <f>600765+843451</f>
        <v>1444216</v>
      </c>
      <c r="R255" s="45"/>
      <c r="S255" s="44">
        <f t="shared" si="5"/>
        <v>5244774</v>
      </c>
      <c r="T255" s="45"/>
      <c r="U255" s="45">
        <v>77786857</v>
      </c>
      <c r="V255" s="44"/>
      <c r="W255" s="45">
        <f>1061483+28105709</f>
        <v>29167192</v>
      </c>
    </row>
    <row r="256" spans="1:24" s="116" customFormat="1" ht="12.75" customHeight="1">
      <c r="A256" s="44" t="s">
        <v>287</v>
      </c>
      <c r="C256" s="44" t="s">
        <v>288</v>
      </c>
      <c r="D256" s="35"/>
      <c r="E256" s="45">
        <v>1662589</v>
      </c>
      <c r="F256" s="45"/>
      <c r="G256" s="45">
        <v>14469908</v>
      </c>
      <c r="H256" s="45"/>
      <c r="I256" s="45">
        <v>0</v>
      </c>
      <c r="J256" s="45"/>
      <c r="K256" s="45">
        <v>2104259</v>
      </c>
      <c r="L256" s="45"/>
      <c r="M256" s="45">
        <v>4889663</v>
      </c>
      <c r="N256" s="45"/>
      <c r="O256" s="45">
        <v>0</v>
      </c>
      <c r="P256" s="45"/>
      <c r="Q256" s="45">
        <f>321739+487794</f>
        <v>809533</v>
      </c>
      <c r="R256" s="45"/>
      <c r="S256" s="44">
        <f t="shared" si="5"/>
        <v>412586</v>
      </c>
      <c r="T256" s="45"/>
      <c r="U256" s="45">
        <v>24348538</v>
      </c>
      <c r="V256" s="44"/>
      <c r="W256" s="45">
        <f>13189+7430849</f>
        <v>7444038</v>
      </c>
    </row>
    <row r="257" spans="1:23" s="49" customFormat="1" ht="12.75" customHeight="1">
      <c r="A257" s="44" t="s">
        <v>471</v>
      </c>
      <c r="B257" s="116"/>
      <c r="C257" s="47"/>
      <c r="D257" s="47"/>
      <c r="F257" s="44"/>
      <c r="H257" s="44"/>
      <c r="J257" s="44"/>
      <c r="L257" s="44"/>
      <c r="N257" s="44"/>
      <c r="P257" s="44"/>
      <c r="R257" s="44"/>
      <c r="S257" s="44"/>
      <c r="T257" s="44"/>
    </row>
    <row r="258" spans="1:23" s="116" customFormat="1" ht="12.75" customHeight="1">
      <c r="A258" s="49"/>
      <c r="B258" s="49"/>
      <c r="C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4"/>
      <c r="T258" s="49"/>
      <c r="U258" s="48"/>
      <c r="V258" s="47"/>
      <c r="W258" s="44"/>
    </row>
    <row r="259" spans="1:23" s="116" customFormat="1" ht="12.75" customHeight="1">
      <c r="A259" s="49"/>
      <c r="C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4"/>
      <c r="T259" s="49"/>
      <c r="U259" s="48"/>
      <c r="V259" s="47"/>
      <c r="W259" s="44"/>
    </row>
    <row r="260" spans="1:23" s="116" customFormat="1" ht="12.75" customHeight="1">
      <c r="A260" s="49"/>
      <c r="C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4"/>
      <c r="T260" s="49"/>
      <c r="U260" s="48"/>
      <c r="V260" s="47"/>
      <c r="W260" s="44"/>
    </row>
    <row r="261" spans="1:23" s="116" customFormat="1" ht="12.75" customHeight="1">
      <c r="A261" s="49"/>
      <c r="C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4"/>
      <c r="T261" s="49"/>
      <c r="U261" s="48"/>
      <c r="V261" s="47"/>
      <c r="W261" s="44"/>
    </row>
    <row r="262" spans="1:23" s="116" customFormat="1" ht="12.75" customHeight="1">
      <c r="A262" s="49"/>
      <c r="C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4"/>
      <c r="T262" s="49"/>
      <c r="U262" s="48"/>
      <c r="V262" s="47"/>
      <c r="W262" s="44"/>
    </row>
    <row r="263" spans="1:23" s="116" customFormat="1" ht="12.75" customHeight="1">
      <c r="A263" s="49"/>
      <c r="C263" s="4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8"/>
      <c r="T263" s="119"/>
      <c r="U263" s="120"/>
      <c r="W263" s="44"/>
    </row>
    <row r="264" spans="1:23" s="116" customFormat="1" ht="12.75" customHeight="1">
      <c r="A264" s="119"/>
      <c r="C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8"/>
      <c r="T264" s="119"/>
      <c r="U264" s="120"/>
      <c r="W264" s="44"/>
    </row>
    <row r="265" spans="1:23" s="116" customFormat="1" ht="12.75" customHeight="1">
      <c r="A265" s="119"/>
      <c r="C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8"/>
      <c r="T265" s="119"/>
      <c r="U265" s="120"/>
      <c r="W265" s="44"/>
    </row>
    <row r="266" spans="1:23" s="116" customFormat="1" ht="12.75" customHeight="1">
      <c r="A266" s="119"/>
      <c r="C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8"/>
      <c r="T266" s="119"/>
      <c r="U266" s="120"/>
      <c r="W266" s="44"/>
    </row>
    <row r="267" spans="1:23" s="116" customFormat="1" ht="12.75" customHeight="1">
      <c r="A267" s="119"/>
      <c r="C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8"/>
      <c r="T267" s="119"/>
      <c r="U267" s="120"/>
      <c r="W267" s="44"/>
    </row>
    <row r="268" spans="1:23" s="116" customFormat="1" ht="12.75" customHeight="1">
      <c r="A268" s="119"/>
      <c r="C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8"/>
      <c r="T268" s="119"/>
      <c r="U268" s="120"/>
      <c r="W268" s="44"/>
    </row>
    <row r="269" spans="1:23" s="116" customFormat="1" ht="12.75" customHeight="1">
      <c r="A269" s="119"/>
      <c r="C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8"/>
      <c r="T269" s="119"/>
      <c r="U269" s="120"/>
      <c r="W269" s="44"/>
    </row>
    <row r="270" spans="1:23" s="116" customFormat="1" ht="12.75" customHeight="1">
      <c r="A270" s="119"/>
      <c r="C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8"/>
      <c r="T270" s="119"/>
      <c r="U270" s="120"/>
      <c r="W270" s="44"/>
    </row>
    <row r="271" spans="1:23" s="116" customFormat="1" ht="12.75" customHeight="1">
      <c r="A271" s="119"/>
      <c r="C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8"/>
      <c r="T271" s="119"/>
      <c r="U271" s="120"/>
      <c r="W271" s="44"/>
    </row>
    <row r="272" spans="1:23" s="116" customFormat="1" ht="12.75" customHeight="1">
      <c r="A272" s="119"/>
      <c r="C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8"/>
      <c r="T272" s="119"/>
      <c r="U272" s="120"/>
      <c r="W272" s="44"/>
    </row>
    <row r="273" spans="1:23" s="116" customFormat="1" ht="12.75" customHeight="1">
      <c r="A273" s="119"/>
      <c r="C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8"/>
      <c r="T273" s="119"/>
      <c r="U273" s="120"/>
      <c r="W273" s="44"/>
    </row>
    <row r="274" spans="1:23" s="116" customFormat="1" ht="12.75" customHeight="1">
      <c r="A274" s="119"/>
      <c r="C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8"/>
      <c r="T274" s="119"/>
      <c r="U274" s="120"/>
      <c r="W274" s="44"/>
    </row>
    <row r="275" spans="1:23" s="116" customFormat="1" ht="12.75" customHeight="1">
      <c r="A275" s="119"/>
      <c r="C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8"/>
      <c r="T275" s="119"/>
      <c r="U275" s="120"/>
      <c r="W275" s="44"/>
    </row>
    <row r="276" spans="1:23" s="116" customFormat="1" ht="12.75" customHeight="1">
      <c r="A276" s="119"/>
      <c r="C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8"/>
      <c r="T276" s="119"/>
      <c r="U276" s="120"/>
      <c r="W276" s="44"/>
    </row>
    <row r="277" spans="1:23" s="116" customFormat="1" ht="12.75" customHeight="1">
      <c r="A277" s="119"/>
      <c r="C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8"/>
      <c r="T277" s="119"/>
      <c r="U277" s="120"/>
      <c r="W277" s="44"/>
    </row>
    <row r="278" spans="1:23" s="116" customFormat="1" ht="12.75" customHeight="1">
      <c r="A278" s="119"/>
      <c r="C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8"/>
      <c r="T278" s="119"/>
      <c r="U278" s="120"/>
      <c r="W278" s="44"/>
    </row>
    <row r="279" spans="1:23" s="116" customFormat="1" ht="12.75" customHeight="1">
      <c r="A279" s="119"/>
      <c r="C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8"/>
      <c r="T279" s="119"/>
      <c r="U279" s="120"/>
      <c r="W279" s="44"/>
    </row>
    <row r="280" spans="1:23" s="116" customFormat="1" ht="12.75" customHeight="1">
      <c r="A280" s="119"/>
      <c r="C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8"/>
      <c r="T280" s="119"/>
      <c r="U280" s="120"/>
      <c r="W280" s="44"/>
    </row>
    <row r="281" spans="1:23" s="116" customFormat="1" ht="12.75" customHeight="1">
      <c r="A281" s="119"/>
      <c r="C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8"/>
      <c r="T281" s="119"/>
      <c r="U281" s="120"/>
      <c r="W281" s="44"/>
    </row>
    <row r="282" spans="1:23" s="116" customFormat="1" ht="12.75" customHeight="1">
      <c r="A282" s="119"/>
      <c r="C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8"/>
      <c r="T282" s="119"/>
      <c r="U282" s="120"/>
      <c r="W282" s="44"/>
    </row>
    <row r="283" spans="1:23" s="116" customFormat="1" ht="12.75" customHeight="1">
      <c r="A283" s="119"/>
      <c r="C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8"/>
      <c r="T283" s="119"/>
      <c r="U283" s="120"/>
      <c r="W283" s="44"/>
    </row>
    <row r="284" spans="1:23" s="116" customFormat="1" ht="12.75" customHeight="1">
      <c r="A284" s="119"/>
      <c r="C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8"/>
      <c r="T284" s="119"/>
      <c r="U284" s="120"/>
      <c r="W284" s="44"/>
    </row>
    <row r="285" spans="1:23" s="116" customFormat="1" ht="12.75" customHeight="1">
      <c r="A285" s="119"/>
      <c r="C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8"/>
      <c r="T285" s="119"/>
      <c r="U285" s="120"/>
      <c r="W285" s="44"/>
    </row>
    <row r="286" spans="1:23" s="116" customFormat="1" ht="12.75" customHeight="1">
      <c r="A286" s="119"/>
      <c r="C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8"/>
      <c r="T286" s="119"/>
      <c r="U286" s="120"/>
      <c r="W286" s="44"/>
    </row>
    <row r="287" spans="1:23" s="116" customFormat="1" ht="12.75" customHeight="1">
      <c r="A287" s="119"/>
      <c r="C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8"/>
      <c r="T287" s="119"/>
      <c r="U287" s="120"/>
      <c r="W287" s="44"/>
    </row>
    <row r="288" spans="1:23" s="116" customFormat="1" ht="12.75" customHeight="1">
      <c r="A288" s="119"/>
      <c r="C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8"/>
      <c r="T288" s="119"/>
      <c r="U288" s="120"/>
      <c r="W288" s="44"/>
    </row>
    <row r="289" spans="1:23" s="116" customFormat="1" ht="12.75" customHeight="1">
      <c r="A289" s="119"/>
      <c r="C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8"/>
      <c r="T289" s="119"/>
      <c r="U289" s="120"/>
      <c r="W289" s="44"/>
    </row>
    <row r="290" spans="1:23" s="116" customFormat="1" ht="12.75" customHeight="1">
      <c r="A290" s="119"/>
      <c r="C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8"/>
      <c r="T290" s="119"/>
      <c r="U290" s="120"/>
      <c r="W290" s="44"/>
    </row>
    <row r="291" spans="1:23" s="116" customFormat="1" ht="12.75" customHeight="1">
      <c r="A291" s="119"/>
      <c r="C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8"/>
      <c r="T291" s="119"/>
      <c r="U291" s="120"/>
      <c r="W291" s="44"/>
    </row>
    <row r="292" spans="1:23" s="116" customFormat="1" ht="12.75" customHeight="1">
      <c r="A292" s="119"/>
      <c r="C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8"/>
      <c r="T292" s="119"/>
      <c r="U292" s="120"/>
      <c r="W292" s="44"/>
    </row>
    <row r="293" spans="1:23" s="116" customFormat="1" ht="12.75" customHeight="1">
      <c r="A293" s="119"/>
      <c r="C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8"/>
      <c r="T293" s="119"/>
      <c r="U293" s="120"/>
      <c r="W293" s="44"/>
    </row>
    <row r="294" spans="1:23" s="116" customFormat="1" ht="12.75" customHeight="1">
      <c r="A294" s="119"/>
      <c r="C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8"/>
      <c r="T294" s="119"/>
      <c r="U294" s="120"/>
      <c r="W294" s="44"/>
    </row>
    <row r="295" spans="1:23" s="116" customFormat="1" ht="12.75" customHeight="1">
      <c r="A295" s="119"/>
      <c r="C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8"/>
      <c r="T295" s="119"/>
      <c r="U295" s="120"/>
      <c r="W295" s="44"/>
    </row>
    <row r="296" spans="1:23" s="116" customFormat="1" ht="12.75" customHeight="1">
      <c r="A296" s="119"/>
      <c r="C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8"/>
      <c r="T296" s="119"/>
      <c r="U296" s="120"/>
      <c r="W296" s="44"/>
    </row>
    <row r="297" spans="1:23" s="116" customFormat="1" ht="12.75" customHeight="1">
      <c r="A297" s="119"/>
      <c r="C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8"/>
      <c r="T297" s="119"/>
      <c r="U297" s="120"/>
      <c r="W297" s="44"/>
    </row>
    <row r="298" spans="1:23" s="116" customFormat="1" ht="12.75" customHeight="1">
      <c r="A298" s="119"/>
      <c r="C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8"/>
      <c r="T298" s="119"/>
      <c r="U298" s="120"/>
      <c r="W298" s="44"/>
    </row>
    <row r="299" spans="1:23" s="116" customFormat="1" ht="12.75" customHeight="1">
      <c r="A299" s="119"/>
      <c r="C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8"/>
      <c r="T299" s="119"/>
      <c r="U299" s="120"/>
      <c r="W299" s="44"/>
    </row>
    <row r="300" spans="1:23" s="116" customFormat="1" ht="12.75" customHeight="1">
      <c r="A300" s="119"/>
      <c r="C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8"/>
      <c r="T300" s="119"/>
      <c r="U300" s="120"/>
      <c r="W300" s="44"/>
    </row>
    <row r="301" spans="1:23" s="116" customFormat="1" ht="12.75" customHeight="1">
      <c r="A301" s="119"/>
      <c r="C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8"/>
      <c r="T301" s="119"/>
      <c r="U301" s="120"/>
      <c r="W301" s="44"/>
    </row>
    <row r="302" spans="1:23" s="116" customFormat="1" ht="12.75" customHeight="1">
      <c r="A302" s="119"/>
      <c r="C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8"/>
      <c r="T302" s="119"/>
      <c r="U302" s="120"/>
      <c r="W302" s="44"/>
    </row>
    <row r="303" spans="1:23" s="116" customFormat="1" ht="12.75" customHeight="1">
      <c r="A303" s="119"/>
      <c r="C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8"/>
      <c r="T303" s="119"/>
      <c r="U303" s="120"/>
      <c r="W303" s="44"/>
    </row>
    <row r="304" spans="1:23" s="116" customFormat="1" ht="12.75" customHeight="1">
      <c r="A304" s="119"/>
      <c r="C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8"/>
      <c r="T304" s="119"/>
      <c r="U304" s="120"/>
      <c r="W304" s="44"/>
    </row>
    <row r="305" spans="1:23" s="116" customFormat="1" ht="12.75" customHeight="1">
      <c r="A305" s="119"/>
      <c r="C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8"/>
      <c r="T305" s="119"/>
      <c r="U305" s="120"/>
      <c r="W305" s="44"/>
    </row>
    <row r="306" spans="1:23" s="116" customFormat="1" ht="12.75" customHeight="1">
      <c r="A306" s="119"/>
      <c r="C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8"/>
      <c r="T306" s="119"/>
      <c r="U306" s="120"/>
      <c r="W306" s="44"/>
    </row>
    <row r="307" spans="1:23" s="116" customFormat="1" ht="12.75" customHeight="1">
      <c r="A307" s="119"/>
      <c r="C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8"/>
      <c r="T307" s="119"/>
      <c r="U307" s="120"/>
      <c r="W307" s="44"/>
    </row>
    <row r="308" spans="1:23" s="116" customFormat="1" ht="12.75" customHeight="1">
      <c r="A308" s="119"/>
      <c r="C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8"/>
      <c r="T308" s="119"/>
      <c r="U308" s="120"/>
      <c r="W308" s="44"/>
    </row>
    <row r="309" spans="1:23" s="116" customFormat="1" ht="12.75" customHeight="1">
      <c r="A309" s="119"/>
      <c r="C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8"/>
      <c r="T309" s="119"/>
      <c r="U309" s="120"/>
      <c r="W309" s="44"/>
    </row>
    <row r="310" spans="1:23" s="116" customFormat="1" ht="12.75" customHeight="1">
      <c r="A310" s="119"/>
      <c r="C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8"/>
      <c r="T310" s="119"/>
      <c r="U310" s="120"/>
      <c r="W310" s="44"/>
    </row>
    <row r="311" spans="1:23" s="116" customFormat="1" ht="12.75" customHeight="1">
      <c r="A311" s="119"/>
      <c r="C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8"/>
      <c r="T311" s="119"/>
      <c r="U311" s="120"/>
      <c r="W311" s="44"/>
    </row>
    <row r="312" spans="1:23" s="116" customFormat="1" ht="12.75" customHeight="1">
      <c r="A312" s="119"/>
      <c r="C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8"/>
      <c r="T312" s="119"/>
      <c r="U312" s="120"/>
      <c r="W312" s="44"/>
    </row>
    <row r="313" spans="1:23" s="116" customFormat="1" ht="12.75" customHeight="1">
      <c r="A313" s="119"/>
      <c r="C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8"/>
      <c r="T313" s="119"/>
      <c r="U313" s="120"/>
      <c r="W313" s="44"/>
    </row>
    <row r="314" spans="1:23" s="116" customFormat="1" ht="12.75" customHeight="1">
      <c r="A314" s="119"/>
      <c r="C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8"/>
      <c r="T314" s="119"/>
      <c r="U314" s="120"/>
      <c r="W314" s="44"/>
    </row>
    <row r="315" spans="1:23" s="116" customFormat="1" ht="12.75" customHeight="1">
      <c r="A315" s="119"/>
      <c r="C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8"/>
      <c r="T315" s="119"/>
      <c r="U315" s="120"/>
      <c r="W315" s="44"/>
    </row>
    <row r="316" spans="1:23" s="116" customFormat="1" ht="12.75" customHeight="1">
      <c r="A316" s="119"/>
      <c r="C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8"/>
      <c r="T316" s="119"/>
      <c r="U316" s="120"/>
      <c r="W316" s="44"/>
    </row>
    <row r="317" spans="1:23" s="116" customFormat="1" ht="12.75" customHeight="1">
      <c r="A317" s="119"/>
      <c r="C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8"/>
      <c r="T317" s="119"/>
      <c r="U317" s="120"/>
      <c r="W317" s="44"/>
    </row>
    <row r="318" spans="1:23" s="116" customFormat="1" ht="12.75" customHeight="1">
      <c r="A318" s="119"/>
      <c r="C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8"/>
      <c r="T318" s="119"/>
      <c r="U318" s="120"/>
      <c r="W318" s="44"/>
    </row>
    <row r="319" spans="1:23" s="116" customFormat="1" ht="12.75" customHeight="1">
      <c r="A319" s="119"/>
      <c r="C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8"/>
      <c r="T319" s="119"/>
      <c r="U319" s="120"/>
      <c r="W319" s="44"/>
    </row>
    <row r="320" spans="1:23" s="116" customFormat="1" ht="12.75" customHeight="1">
      <c r="A320" s="119"/>
      <c r="C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8"/>
      <c r="T320" s="119"/>
      <c r="U320" s="120"/>
      <c r="W320" s="44"/>
    </row>
    <row r="321" spans="1:23" s="116" customFormat="1" ht="12.75" customHeight="1">
      <c r="A321" s="119"/>
      <c r="C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8"/>
      <c r="T321" s="119"/>
      <c r="U321" s="120"/>
      <c r="W321" s="44"/>
    </row>
    <row r="322" spans="1:23" s="116" customFormat="1" ht="12.75" customHeight="1">
      <c r="A322" s="119"/>
      <c r="C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8"/>
      <c r="T322" s="119"/>
      <c r="U322" s="120"/>
      <c r="W322" s="44"/>
    </row>
    <row r="323" spans="1:23" s="116" customFormat="1" ht="12.75" customHeight="1">
      <c r="A323" s="119"/>
      <c r="C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8"/>
      <c r="T323" s="119"/>
      <c r="U323" s="120"/>
      <c r="W323" s="44"/>
    </row>
    <row r="324" spans="1:23" s="116" customFormat="1" ht="12.75" customHeight="1">
      <c r="A324" s="119"/>
      <c r="C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8"/>
      <c r="T324" s="119"/>
      <c r="U324" s="120"/>
      <c r="W324" s="44"/>
    </row>
    <row r="325" spans="1:23" s="116" customFormat="1" ht="12.75" customHeight="1">
      <c r="A325" s="119"/>
      <c r="C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8"/>
      <c r="T325" s="119"/>
      <c r="U325" s="120"/>
      <c r="W325" s="44"/>
    </row>
    <row r="326" spans="1:23" s="116" customFormat="1" ht="12.75" customHeight="1">
      <c r="A326" s="119"/>
      <c r="C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8"/>
      <c r="T326" s="119"/>
      <c r="U326" s="120"/>
      <c r="W326" s="44"/>
    </row>
    <row r="327" spans="1:23" s="116" customFormat="1" ht="12.75" customHeight="1">
      <c r="A327" s="119"/>
      <c r="C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8"/>
      <c r="T327" s="119"/>
      <c r="U327" s="120"/>
      <c r="W327" s="44"/>
    </row>
    <row r="328" spans="1:23" s="116" customFormat="1" ht="12.75" customHeight="1">
      <c r="A328" s="119"/>
      <c r="C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8"/>
      <c r="T328" s="119"/>
      <c r="U328" s="120"/>
      <c r="W328" s="44"/>
    </row>
    <row r="329" spans="1:23" s="116" customFormat="1" ht="12.75" customHeight="1">
      <c r="A329" s="119"/>
      <c r="C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8"/>
      <c r="T329" s="119"/>
      <c r="U329" s="120"/>
      <c r="W329" s="44"/>
    </row>
    <row r="330" spans="1:23" s="116" customFormat="1" ht="12.75" customHeight="1">
      <c r="A330" s="119"/>
      <c r="C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8"/>
      <c r="T330" s="119"/>
      <c r="U330" s="120"/>
      <c r="W330" s="44"/>
    </row>
    <row r="331" spans="1:23" s="116" customFormat="1" ht="12.75" customHeight="1">
      <c r="A331" s="119"/>
      <c r="C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8"/>
      <c r="T331" s="119"/>
      <c r="U331" s="120"/>
      <c r="W331" s="44"/>
    </row>
    <row r="332" spans="1:23" s="116" customFormat="1" ht="12.75" customHeight="1">
      <c r="A332" s="119"/>
      <c r="C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8"/>
      <c r="T332" s="119"/>
      <c r="U332" s="120"/>
      <c r="W332" s="44"/>
    </row>
    <row r="333" spans="1:23" s="116" customFormat="1" ht="12.75" customHeight="1">
      <c r="A333" s="119"/>
      <c r="C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8"/>
      <c r="T333" s="119"/>
      <c r="U333" s="120"/>
      <c r="W333" s="44"/>
    </row>
    <row r="334" spans="1:23" s="116" customFormat="1" ht="12.75" customHeight="1">
      <c r="A334" s="119"/>
      <c r="C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8"/>
      <c r="T334" s="119"/>
      <c r="U334" s="120"/>
      <c r="W334" s="44"/>
    </row>
    <row r="335" spans="1:23" s="116" customFormat="1" ht="12.75" customHeight="1">
      <c r="A335" s="119"/>
      <c r="C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8"/>
      <c r="T335" s="119"/>
      <c r="U335" s="120"/>
      <c r="W335" s="44"/>
    </row>
    <row r="336" spans="1:23" s="116" customFormat="1" ht="12.75" customHeight="1">
      <c r="A336" s="119"/>
      <c r="C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8"/>
      <c r="T336" s="119"/>
      <c r="U336" s="120"/>
      <c r="W336" s="44"/>
    </row>
    <row r="337" spans="1:23" s="116" customFormat="1" ht="12.75" customHeight="1">
      <c r="A337" s="119"/>
      <c r="C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8"/>
      <c r="T337" s="119"/>
      <c r="U337" s="120"/>
      <c r="W337" s="44"/>
    </row>
  </sheetData>
  <phoneticPr fontId="4" type="noConversion"/>
  <printOptions horizontalCentered="1"/>
  <pageMargins left="0.75" right="0.75" top="0.5" bottom="0.5" header="0" footer="0.3"/>
  <pageSetup scale="86" firstPageNumber="68" pageOrder="overThenDown" orientation="portrait" useFirstPageNumber="1" r:id="rId1"/>
  <headerFooter alignWithMargins="0">
    <oddFooter>&amp;C&amp;"Times New Roman,Regular"&amp;11&amp;P</oddFooter>
  </headerFooter>
  <rowBreaks count="4" manualBreakCount="4">
    <brk id="64" max="22" man="1"/>
    <brk id="121" max="22" man="1"/>
    <brk id="177" max="22" man="1"/>
    <brk id="234" max="22" man="1"/>
  </rowBreaks>
  <colBreaks count="1" manualBreakCount="1">
    <brk id="12" min="9" max="256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T304"/>
  <sheetViews>
    <sheetView view="pageBreakPreview" zoomScale="75" zoomScaleNormal="100" zoomScaleSheetLayoutView="75" workbookViewId="0">
      <pane xSplit="3" ySplit="8" topLeftCell="D105" activePane="bottomRight" state="frozen"/>
      <selection pane="topRight" activeCell="D1" sqref="D1"/>
      <selection pane="bottomLeft" activeCell="A9" sqref="A9"/>
      <selection pane="bottomRight" activeCell="A5" sqref="A5"/>
    </sheetView>
  </sheetViews>
  <sheetFormatPr defaultColWidth="0" defaultRowHeight="12.75" customHeight="1"/>
  <cols>
    <col min="1" max="1" width="15.140625" style="17" customWidth="1"/>
    <col min="2" max="2" width="1.7109375" customWidth="1"/>
    <col min="3" max="3" width="11.28515625" style="17" customWidth="1"/>
    <col min="4" max="4" width="1.7109375" style="10" customWidth="1"/>
    <col min="5" max="5" width="10.7109375" style="17" customWidth="1"/>
    <col min="6" max="6" width="1.7109375" style="17" customWidth="1"/>
    <col min="7" max="7" width="11.5703125" style="17" bestFit="1" customWidth="1"/>
    <col min="8" max="8" width="1.7109375" style="17" customWidth="1"/>
    <col min="9" max="9" width="10.7109375" style="17" customWidth="1"/>
    <col min="10" max="10" width="1.7109375" style="17" customWidth="1"/>
    <col min="11" max="11" width="10.7109375" style="17" customWidth="1"/>
    <col min="12" max="12" width="1.7109375" style="17" customWidth="1"/>
    <col min="13" max="13" width="10.7109375" style="17" customWidth="1"/>
    <col min="14" max="14" width="1.7109375" style="17" customWidth="1"/>
    <col min="15" max="15" width="10.7109375" style="17" customWidth="1"/>
    <col min="16" max="16" width="1.7109375" style="17" customWidth="1"/>
    <col min="17" max="17" width="11.5703125" style="17" bestFit="1" customWidth="1"/>
    <col min="18" max="18" width="1.7109375" style="17" customWidth="1"/>
    <col min="19" max="19" width="10.7109375" style="17" customWidth="1"/>
    <col min="20" max="20" width="1.7109375" style="17" customWidth="1"/>
    <col min="21" max="21" width="10.7109375" style="17" customWidth="1"/>
    <col min="22" max="22" width="11.7109375" style="17" hidden="1" customWidth="1"/>
    <col min="23" max="23" width="1.7109375" style="60" hidden="1" customWidth="1"/>
    <col min="24" max="24" width="13.42578125" style="17" hidden="1" customWidth="1"/>
    <col min="25" max="25" width="1.7109375" style="10" hidden="1" customWidth="1"/>
    <col min="26" max="26" width="9.85546875" style="17" hidden="1" customWidth="1"/>
    <col min="27" max="27" width="1.7109375" style="17" customWidth="1"/>
    <col min="28" max="28" width="10.7109375" style="17" customWidth="1"/>
    <col min="29" max="29" width="1.7109375" customWidth="1"/>
    <col min="30" max="30" width="10.7109375" style="17" customWidth="1"/>
    <col min="31" max="31" width="1.7109375" customWidth="1"/>
    <col min="32" max="32" width="11.7109375" customWidth="1"/>
    <col min="33" max="33" width="1.7109375" customWidth="1"/>
    <col min="34" max="34" width="12" style="17" bestFit="1" customWidth="1"/>
    <col min="35" max="35" width="1.7109375" style="17" hidden="1" customWidth="1"/>
    <col min="36" max="36" width="10.7109375" style="17" hidden="1" customWidth="1"/>
    <col min="37" max="37" width="1.7109375" style="17" customWidth="1"/>
    <col min="38" max="38" width="12.7109375" style="17" customWidth="1"/>
    <col min="39" max="39" width="1.7109375" style="17" customWidth="1"/>
    <col min="40" max="40" width="12.7109375" style="17" customWidth="1"/>
    <col min="41" max="41" width="1.7109375" style="17" customWidth="1"/>
    <col min="42" max="42" width="12.7109375" style="17" customWidth="1"/>
    <col min="43" max="43" width="1.7109375" style="17" customWidth="1"/>
    <col min="44" max="44" width="11.7109375" style="17" customWidth="1"/>
    <col min="45" max="45" width="10.7109375" style="17" customWidth="1"/>
    <col min="46" max="46" width="9.140625" customWidth="1"/>
    <col min="47" max="16384" width="0" style="10" hidden="1"/>
  </cols>
  <sheetData>
    <row r="1" spans="1:46" s="9" customFormat="1" ht="12.75" customHeight="1">
      <c r="A1" s="23" t="s">
        <v>389</v>
      </c>
      <c r="C1" s="24"/>
      <c r="D1" s="10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3"/>
      <c r="R1" s="24"/>
      <c r="S1" s="24"/>
      <c r="T1" s="24"/>
      <c r="U1" s="24"/>
      <c r="V1" s="24"/>
      <c r="W1" s="58"/>
      <c r="X1" s="23" t="s">
        <v>389</v>
      </c>
      <c r="AA1" s="24"/>
      <c r="AB1" s="24"/>
      <c r="AD1" s="23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</row>
    <row r="2" spans="1:46" s="9" customFormat="1" ht="12.75" customHeight="1">
      <c r="A2" s="23" t="s">
        <v>501</v>
      </c>
      <c r="C2" s="24"/>
      <c r="D2" s="10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3"/>
      <c r="R2" s="24"/>
      <c r="S2" s="24"/>
      <c r="T2" s="24"/>
      <c r="U2" s="24"/>
      <c r="V2" s="24"/>
      <c r="W2" s="58"/>
      <c r="X2" s="23" t="s">
        <v>316</v>
      </c>
      <c r="AA2" s="24"/>
      <c r="AB2" s="24"/>
      <c r="AD2" s="23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</row>
    <row r="3" spans="1:46" ht="12.75" customHeight="1">
      <c r="A3" s="24" t="s">
        <v>289</v>
      </c>
      <c r="C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24"/>
      <c r="R3" s="11"/>
      <c r="S3" s="11"/>
      <c r="T3" s="11"/>
      <c r="U3" s="11"/>
      <c r="V3" s="11"/>
      <c r="W3" s="59"/>
      <c r="X3" s="24" t="s">
        <v>289</v>
      </c>
      <c r="AA3" s="11"/>
      <c r="AB3" s="11"/>
      <c r="AD3" s="24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</row>
    <row r="4" spans="1:46" ht="12.75" customHeight="1">
      <c r="A4" s="24" t="s">
        <v>484</v>
      </c>
      <c r="C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24"/>
      <c r="R4" s="11"/>
      <c r="S4" s="11"/>
      <c r="T4" s="11"/>
      <c r="U4" s="11"/>
      <c r="V4" s="11"/>
      <c r="W4" s="59"/>
      <c r="X4" s="24"/>
      <c r="AA4" s="11"/>
      <c r="AB4" s="11"/>
      <c r="AD4" s="24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</row>
    <row r="5" spans="1:46" s="47" customFormat="1" ht="12.75" customHeight="1">
      <c r="A5" s="49"/>
      <c r="B5" s="51"/>
      <c r="C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Z5" s="49"/>
      <c r="AA5" s="49"/>
      <c r="AB5" s="49"/>
      <c r="AC5" s="51"/>
      <c r="AD5" s="49"/>
      <c r="AE5" s="51"/>
      <c r="AF5" s="51"/>
      <c r="AG5" s="51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51"/>
    </row>
    <row r="6" spans="1:46" s="97" customFormat="1" ht="12.75" customHeight="1">
      <c r="A6" s="26"/>
      <c r="C6" s="26"/>
      <c r="E6" s="26"/>
      <c r="F6" s="26"/>
      <c r="G6" s="26" t="s">
        <v>396</v>
      </c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Z6" s="26"/>
      <c r="AA6" s="26"/>
      <c r="AB6" s="26"/>
      <c r="AD6" s="26"/>
      <c r="AL6" s="26"/>
      <c r="AM6" s="26"/>
      <c r="AN6" s="26" t="s">
        <v>325</v>
      </c>
      <c r="AO6" s="26"/>
      <c r="AP6" s="97" t="s">
        <v>456</v>
      </c>
      <c r="AQ6" s="26"/>
      <c r="AR6" s="26"/>
    </row>
    <row r="7" spans="1:46" s="97" customFormat="1" ht="12.75" customHeight="1">
      <c r="A7" s="26"/>
      <c r="C7" s="26"/>
      <c r="D7" s="26"/>
      <c r="E7" s="26" t="s">
        <v>296</v>
      </c>
      <c r="F7" s="26"/>
      <c r="G7" s="98" t="s">
        <v>422</v>
      </c>
      <c r="H7" s="26"/>
      <c r="I7" s="26" t="s">
        <v>333</v>
      </c>
      <c r="J7" s="26"/>
      <c r="K7" s="26"/>
      <c r="L7" s="26"/>
      <c r="M7" s="26"/>
      <c r="N7" s="26"/>
      <c r="O7" s="26" t="s">
        <v>306</v>
      </c>
      <c r="P7" s="26"/>
      <c r="Q7" s="26" t="s">
        <v>334</v>
      </c>
      <c r="R7" s="26"/>
      <c r="S7" s="26" t="s">
        <v>4</v>
      </c>
      <c r="T7" s="26"/>
      <c r="U7" s="26" t="s">
        <v>327</v>
      </c>
      <c r="V7" s="26"/>
      <c r="W7" s="26"/>
      <c r="X7" s="26"/>
      <c r="Z7" s="26"/>
      <c r="AA7" s="26"/>
      <c r="AB7" s="26"/>
      <c r="AD7" s="26" t="s">
        <v>344</v>
      </c>
      <c r="AF7" s="97" t="s">
        <v>294</v>
      </c>
      <c r="AH7" s="26" t="s">
        <v>6</v>
      </c>
      <c r="AI7" s="26"/>
      <c r="AJ7" s="26" t="s">
        <v>447</v>
      </c>
      <c r="AK7" s="26"/>
      <c r="AL7" s="26" t="s">
        <v>432</v>
      </c>
      <c r="AM7" s="26"/>
      <c r="AN7" s="26" t="s">
        <v>452</v>
      </c>
      <c r="AO7" s="26"/>
      <c r="AP7" s="26" t="s">
        <v>457</v>
      </c>
      <c r="AQ7" s="26"/>
      <c r="AR7" s="26" t="s">
        <v>428</v>
      </c>
      <c r="AS7" s="26"/>
    </row>
    <row r="8" spans="1:46" s="97" customFormat="1" ht="12.75" customHeight="1">
      <c r="A8" s="99" t="s">
        <v>8</v>
      </c>
      <c r="C8" s="99" t="s">
        <v>9</v>
      </c>
      <c r="D8" s="26"/>
      <c r="E8" s="100" t="s">
        <v>314</v>
      </c>
      <c r="F8" s="26"/>
      <c r="G8" s="100" t="s">
        <v>293</v>
      </c>
      <c r="H8" s="26"/>
      <c r="I8" s="100" t="s">
        <v>335</v>
      </c>
      <c r="J8" s="26"/>
      <c r="K8" s="100" t="s">
        <v>309</v>
      </c>
      <c r="L8" s="26"/>
      <c r="M8" s="100" t="s">
        <v>312</v>
      </c>
      <c r="N8" s="26"/>
      <c r="O8" s="100" t="s">
        <v>336</v>
      </c>
      <c r="P8" s="26"/>
      <c r="Q8" s="100" t="s">
        <v>337</v>
      </c>
      <c r="R8" s="26"/>
      <c r="S8" s="100" t="s">
        <v>338</v>
      </c>
      <c r="T8" s="26"/>
      <c r="U8" s="100" t="s">
        <v>331</v>
      </c>
      <c r="V8" s="26"/>
      <c r="W8" s="26"/>
      <c r="X8" s="99" t="s">
        <v>8</v>
      </c>
      <c r="Z8" s="99" t="s">
        <v>9</v>
      </c>
      <c r="AA8" s="26"/>
      <c r="AB8" s="100" t="s">
        <v>339</v>
      </c>
      <c r="AD8" s="100" t="s">
        <v>340</v>
      </c>
      <c r="AF8" s="16" t="s">
        <v>337</v>
      </c>
      <c r="AH8" s="16" t="s">
        <v>337</v>
      </c>
      <c r="AI8" s="18"/>
      <c r="AJ8" s="16" t="s">
        <v>443</v>
      </c>
      <c r="AK8" s="18"/>
      <c r="AL8" s="99" t="s">
        <v>433</v>
      </c>
      <c r="AM8" s="26"/>
      <c r="AN8" s="99" t="s">
        <v>453</v>
      </c>
      <c r="AO8" s="26"/>
      <c r="AP8" s="99" t="s">
        <v>458</v>
      </c>
      <c r="AQ8" s="26"/>
      <c r="AR8" s="101" t="s">
        <v>429</v>
      </c>
      <c r="AS8" s="18"/>
    </row>
    <row r="9" spans="1:46" s="97" customFormat="1" ht="12.75" customHeight="1">
      <c r="A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Z9" s="26"/>
      <c r="AA9" s="26"/>
      <c r="AB9" s="26"/>
      <c r="AD9" s="26"/>
      <c r="AH9" s="18"/>
      <c r="AI9" s="18"/>
      <c r="AJ9" s="18"/>
      <c r="AK9" s="18"/>
      <c r="AL9" s="8"/>
      <c r="AM9" s="8"/>
      <c r="AN9" s="8"/>
      <c r="AO9" s="8"/>
      <c r="AP9" s="8"/>
      <c r="AQ9" s="8"/>
      <c r="AR9" s="8"/>
      <c r="AS9" s="18"/>
    </row>
    <row r="10" spans="1:46" s="46" customFormat="1" ht="12.75" customHeight="1">
      <c r="A10" s="64" t="s">
        <v>12</v>
      </c>
      <c r="C10" s="64" t="s">
        <v>13</v>
      </c>
      <c r="E10" s="68">
        <v>40365547</v>
      </c>
      <c r="F10" s="68"/>
      <c r="G10" s="68">
        <v>110995872</v>
      </c>
      <c r="H10" s="68"/>
      <c r="I10" s="68">
        <v>70119083</v>
      </c>
      <c r="J10" s="68"/>
      <c r="K10" s="68">
        <v>16670607</v>
      </c>
      <c r="L10" s="68"/>
      <c r="M10" s="68">
        <v>103175779</v>
      </c>
      <c r="N10" s="68"/>
      <c r="O10" s="68">
        <v>6281860</v>
      </c>
      <c r="P10" s="68"/>
      <c r="Q10" s="68">
        <v>0</v>
      </c>
      <c r="R10" s="68"/>
      <c r="S10" s="68">
        <v>192751</v>
      </c>
      <c r="T10" s="68"/>
      <c r="U10" s="68">
        <v>0</v>
      </c>
      <c r="V10" s="68"/>
      <c r="W10" s="68"/>
      <c r="X10" s="64"/>
      <c r="Z10" s="64"/>
      <c r="AA10" s="64"/>
      <c r="AB10" s="68">
        <v>32699777</v>
      </c>
      <c r="AC10" s="66"/>
      <c r="AD10" s="68">
        <f>25125146+306768</f>
        <v>25431914</v>
      </c>
      <c r="AE10" s="66"/>
      <c r="AF10" s="46">
        <v>0</v>
      </c>
      <c r="AG10" s="66"/>
      <c r="AH10" s="68">
        <f t="shared" ref="AH10:AH23" si="0">SUM(E10:AF10)</f>
        <v>405933190</v>
      </c>
      <c r="AI10" s="68"/>
      <c r="AJ10" s="68">
        <v>0</v>
      </c>
      <c r="AK10" s="68"/>
      <c r="AL10" s="94">
        <v>32758360</v>
      </c>
      <c r="AM10" s="45"/>
      <c r="AN10" s="45">
        <v>160986623</v>
      </c>
      <c r="AO10" s="45"/>
      <c r="AP10" s="45">
        <v>0</v>
      </c>
      <c r="AQ10" s="45"/>
      <c r="AR10" s="45">
        <f>+'GVFund Rev'!U10+'GVFund Rev'!W10-'GVFund Exp'!AH10-'GVFund Exp'!AL10+AJ10+AN10+AP10-'GV Fund BS'!S10</f>
        <v>0</v>
      </c>
      <c r="AS10" s="68"/>
    </row>
    <row r="11" spans="1:46" s="44" customFormat="1" ht="12.75" customHeight="1">
      <c r="A11" s="35" t="s">
        <v>14</v>
      </c>
      <c r="C11" s="35" t="s">
        <v>15</v>
      </c>
      <c r="E11" s="45">
        <v>2389066</v>
      </c>
      <c r="F11" s="48"/>
      <c r="G11" s="45">
        <v>7821330</v>
      </c>
      <c r="H11" s="48"/>
      <c r="I11" s="45">
        <v>1167061</v>
      </c>
      <c r="J11" s="48"/>
      <c r="K11" s="45">
        <v>911403</v>
      </c>
      <c r="L11" s="48"/>
      <c r="M11" s="45">
        <v>963850</v>
      </c>
      <c r="N11" s="48"/>
      <c r="O11" s="45">
        <v>687874</v>
      </c>
      <c r="P11" s="48"/>
      <c r="Q11" s="45">
        <v>53228</v>
      </c>
      <c r="R11" s="48"/>
      <c r="S11" s="45">
        <v>2194333</v>
      </c>
      <c r="T11" s="48"/>
      <c r="U11" s="45">
        <v>0</v>
      </c>
      <c r="V11" s="48"/>
      <c r="W11" s="48"/>
      <c r="X11" s="35"/>
      <c r="Z11" s="35"/>
      <c r="AA11" s="35"/>
      <c r="AB11" s="45">
        <v>403036</v>
      </c>
      <c r="AC11" s="65"/>
      <c r="AD11" s="45">
        <v>108690</v>
      </c>
      <c r="AE11" s="65"/>
      <c r="AF11" s="45">
        <v>0</v>
      </c>
      <c r="AG11" s="65"/>
      <c r="AH11" s="48">
        <f t="shared" si="0"/>
        <v>16699871</v>
      </c>
      <c r="AI11" s="48"/>
      <c r="AJ11" s="48">
        <v>0</v>
      </c>
      <c r="AK11" s="48"/>
      <c r="AL11" s="45">
        <v>1030531</v>
      </c>
      <c r="AM11" s="45"/>
      <c r="AN11" s="45">
        <v>10708159</v>
      </c>
      <c r="AO11" s="45"/>
      <c r="AP11" s="45">
        <v>0</v>
      </c>
      <c r="AQ11" s="45"/>
      <c r="AR11" s="45">
        <f>+'GVFund Rev'!U11+'GVFund Rev'!W11-'GVFund Exp'!AH11-'GVFund Exp'!AL11+AJ11+AN11+AP11-'GV Fund BS'!S11</f>
        <v>0</v>
      </c>
      <c r="AS11" s="48"/>
      <c r="AT11" s="65"/>
    </row>
    <row r="12" spans="1:46" s="44" customFormat="1" ht="12.75" customHeight="1">
      <c r="A12" s="35" t="s">
        <v>16</v>
      </c>
      <c r="C12" s="35" t="s">
        <v>17</v>
      </c>
      <c r="E12" s="45">
        <v>888393</v>
      </c>
      <c r="F12" s="48"/>
      <c r="G12" s="45">
        <v>3320246</v>
      </c>
      <c r="H12" s="48"/>
      <c r="I12" s="45">
        <v>141987</v>
      </c>
      <c r="J12" s="48"/>
      <c r="K12" s="45">
        <v>183327</v>
      </c>
      <c r="L12" s="48"/>
      <c r="M12" s="45">
        <v>951551</v>
      </c>
      <c r="N12" s="48"/>
      <c r="O12" s="45">
        <v>183402</v>
      </c>
      <c r="P12" s="48"/>
      <c r="Q12" s="45">
        <v>0</v>
      </c>
      <c r="R12" s="48"/>
      <c r="S12" s="45">
        <v>2270411</v>
      </c>
      <c r="T12" s="48"/>
      <c r="U12" s="45">
        <v>0</v>
      </c>
      <c r="V12" s="48"/>
      <c r="W12" s="48"/>
      <c r="X12" s="35"/>
      <c r="Z12" s="35"/>
      <c r="AA12" s="35"/>
      <c r="AB12" s="45">
        <v>293739</v>
      </c>
      <c r="AC12" s="65"/>
      <c r="AD12" s="45">
        <v>125687</v>
      </c>
      <c r="AE12" s="65"/>
      <c r="AF12" s="45">
        <v>0</v>
      </c>
      <c r="AG12" s="65"/>
      <c r="AH12" s="48">
        <f t="shared" si="0"/>
        <v>8358743</v>
      </c>
      <c r="AI12" s="48"/>
      <c r="AJ12" s="48">
        <v>0</v>
      </c>
      <c r="AK12" s="48"/>
      <c r="AL12" s="45">
        <v>376113</v>
      </c>
      <c r="AM12" s="45"/>
      <c r="AN12" s="45">
        <v>10728870</v>
      </c>
      <c r="AO12" s="45"/>
      <c r="AP12" s="45">
        <v>0</v>
      </c>
      <c r="AQ12" s="45"/>
      <c r="AR12" s="45">
        <f>+'GVFund Rev'!U12+'GVFund Rev'!W12-'GVFund Exp'!AH12-'GVFund Exp'!AL12+AJ12+AN12+AP12-'GV Fund BS'!S12</f>
        <v>0</v>
      </c>
      <c r="AS12" s="48"/>
    </row>
    <row r="13" spans="1:46" s="44" customFormat="1" ht="12.75" customHeight="1">
      <c r="A13" s="35" t="s">
        <v>18</v>
      </c>
      <c r="C13" s="35" t="s">
        <v>18</v>
      </c>
      <c r="E13" s="45">
        <v>5044994</v>
      </c>
      <c r="F13" s="48"/>
      <c r="G13" s="45">
        <v>7026459</v>
      </c>
      <c r="H13" s="48"/>
      <c r="I13" s="45">
        <v>364060</v>
      </c>
      <c r="J13" s="48"/>
      <c r="K13" s="45">
        <v>307075</v>
      </c>
      <c r="L13" s="48"/>
      <c r="M13" s="45">
        <v>1480092</v>
      </c>
      <c r="N13" s="48"/>
      <c r="O13" s="45">
        <v>1058094</v>
      </c>
      <c r="P13" s="48"/>
      <c r="Q13" s="45">
        <v>0</v>
      </c>
      <c r="R13" s="48"/>
      <c r="S13" s="45">
        <v>1065698</v>
      </c>
      <c r="T13" s="48"/>
      <c r="U13" s="45">
        <v>0</v>
      </c>
      <c r="V13" s="48"/>
      <c r="W13" s="48"/>
      <c r="X13" s="35"/>
      <c r="Z13" s="35"/>
      <c r="AA13" s="35"/>
      <c r="AB13" s="45">
        <v>414560</v>
      </c>
      <c r="AC13" s="65"/>
      <c r="AD13" s="45">
        <f>213663+33243</f>
        <v>246906</v>
      </c>
      <c r="AE13" s="65"/>
      <c r="AF13" s="45">
        <v>0</v>
      </c>
      <c r="AG13" s="65"/>
      <c r="AH13" s="48">
        <f t="shared" si="0"/>
        <v>17007938</v>
      </c>
      <c r="AI13" s="48"/>
      <c r="AJ13" s="48">
        <v>0</v>
      </c>
      <c r="AK13" s="48"/>
      <c r="AL13" s="45">
        <v>793149</v>
      </c>
      <c r="AM13" s="45"/>
      <c r="AN13" s="45">
        <v>5502850</v>
      </c>
      <c r="AO13" s="45"/>
      <c r="AP13" s="45">
        <v>0</v>
      </c>
      <c r="AQ13" s="45"/>
      <c r="AR13" s="45">
        <f>+'GVFund Rev'!U13+'GVFund Rev'!W13-'GVFund Exp'!AH13-'GVFund Exp'!AL13+AJ13+AN13+AP13-'GV Fund BS'!S13</f>
        <v>0</v>
      </c>
      <c r="AS13" s="48"/>
    </row>
    <row r="14" spans="1:46" s="44" customFormat="1" ht="12.75" customHeight="1">
      <c r="A14" s="35" t="s">
        <v>19</v>
      </c>
      <c r="C14" s="35" t="s">
        <v>19</v>
      </c>
      <c r="E14" s="45">
        <f>2610914+1021185</f>
        <v>3632099</v>
      </c>
      <c r="F14" s="48"/>
      <c r="G14" s="45">
        <f>3338973+2626619</f>
        <v>5965592</v>
      </c>
      <c r="H14" s="48"/>
      <c r="I14" s="45">
        <v>556125</v>
      </c>
      <c r="J14" s="48"/>
      <c r="K14" s="45">
        <v>347872</v>
      </c>
      <c r="L14" s="48"/>
      <c r="M14" s="45">
        <v>1172826</v>
      </c>
      <c r="N14" s="48"/>
      <c r="O14" s="45">
        <v>38838</v>
      </c>
      <c r="P14" s="48"/>
      <c r="Q14" s="45">
        <v>1690724</v>
      </c>
      <c r="R14" s="48"/>
      <c r="S14" s="45">
        <v>1953177</v>
      </c>
      <c r="T14" s="48"/>
      <c r="U14" s="45">
        <v>0</v>
      </c>
      <c r="V14" s="48"/>
      <c r="W14" s="48"/>
      <c r="X14" s="35"/>
      <c r="Z14" s="35"/>
      <c r="AA14" s="35"/>
      <c r="AB14" s="45">
        <v>234736</v>
      </c>
      <c r="AC14" s="65"/>
      <c r="AD14" s="45">
        <v>27440</v>
      </c>
      <c r="AE14" s="65"/>
      <c r="AF14" s="45">
        <v>0</v>
      </c>
      <c r="AG14" s="65"/>
      <c r="AH14" s="48">
        <f t="shared" si="0"/>
        <v>15619429</v>
      </c>
      <c r="AI14" s="48"/>
      <c r="AJ14" s="48">
        <v>0</v>
      </c>
      <c r="AK14" s="48"/>
      <c r="AL14" s="45">
        <v>647700</v>
      </c>
      <c r="AM14" s="45"/>
      <c r="AN14" s="45">
        <v>2362919</v>
      </c>
      <c r="AO14" s="45"/>
      <c r="AP14" s="45">
        <v>13651</v>
      </c>
      <c r="AQ14" s="45"/>
      <c r="AR14" s="45">
        <f>+'GVFund Rev'!U14+'GVFund Rev'!W14-'GVFund Exp'!AH14-'GVFund Exp'!AL14+AJ14+AN14+AP14-'GV Fund BS'!S14</f>
        <v>0</v>
      </c>
      <c r="AS14" s="48"/>
    </row>
    <row r="15" spans="1:46" s="44" customFormat="1" ht="12.75" customHeight="1">
      <c r="A15" s="35" t="s">
        <v>20</v>
      </c>
      <c r="C15" s="35" t="s">
        <v>20</v>
      </c>
      <c r="E15" s="45">
        <v>5424686</v>
      </c>
      <c r="F15" s="48"/>
      <c r="G15" s="45">
        <f>3401047+2334819</f>
        <v>5735866</v>
      </c>
      <c r="H15" s="48"/>
      <c r="I15" s="45">
        <v>726738</v>
      </c>
      <c r="J15" s="48"/>
      <c r="K15" s="45">
        <v>0</v>
      </c>
      <c r="L15" s="48"/>
      <c r="M15" s="45">
        <v>3375586</v>
      </c>
      <c r="N15" s="48"/>
      <c r="O15" s="45">
        <v>1380279</v>
      </c>
      <c r="P15" s="48"/>
      <c r="Q15" s="45">
        <v>0</v>
      </c>
      <c r="R15" s="48"/>
      <c r="S15" s="45">
        <v>1703230</v>
      </c>
      <c r="T15" s="48"/>
      <c r="U15" s="45">
        <v>0</v>
      </c>
      <c r="V15" s="48"/>
      <c r="W15" s="48"/>
      <c r="X15" s="35"/>
      <c r="Z15" s="35"/>
      <c r="AA15" s="35"/>
      <c r="AB15" s="45">
        <v>375000</v>
      </c>
      <c r="AC15" s="65"/>
      <c r="AD15" s="45">
        <v>236522</v>
      </c>
      <c r="AE15" s="65"/>
      <c r="AF15" s="45">
        <v>0</v>
      </c>
      <c r="AG15" s="65"/>
      <c r="AH15" s="48">
        <f t="shared" si="0"/>
        <v>18957907</v>
      </c>
      <c r="AI15" s="48"/>
      <c r="AJ15" s="48">
        <v>0</v>
      </c>
      <c r="AK15" s="48"/>
      <c r="AL15" s="45">
        <f>1344159+306078</f>
        <v>1650237</v>
      </c>
      <c r="AM15" s="45"/>
      <c r="AN15" s="45">
        <v>6613950</v>
      </c>
      <c r="AO15" s="45"/>
      <c r="AP15" s="45">
        <v>0</v>
      </c>
      <c r="AQ15" s="45"/>
      <c r="AR15" s="45">
        <f>+'GVFund Rev'!U15+'GVFund Rev'!W15-'GVFund Exp'!AH15-'GVFund Exp'!AL15+AJ15+AN15+AP15-'GV Fund BS'!S15</f>
        <v>0</v>
      </c>
      <c r="AS15" s="48"/>
    </row>
    <row r="16" spans="1:46" s="44" customFormat="1" ht="12.75" customHeight="1">
      <c r="A16" s="64" t="s">
        <v>21</v>
      </c>
      <c r="B16" s="46"/>
      <c r="C16" s="64" t="s">
        <v>22</v>
      </c>
      <c r="D16" s="46"/>
      <c r="E16" s="45">
        <v>2352247</v>
      </c>
      <c r="F16" s="48"/>
      <c r="G16" s="45">
        <v>6826900</v>
      </c>
      <c r="H16" s="48"/>
      <c r="I16" s="45">
        <v>1206923</v>
      </c>
      <c r="J16" s="48"/>
      <c r="K16" s="45">
        <v>0</v>
      </c>
      <c r="L16" s="48"/>
      <c r="M16" s="45">
        <v>2629250</v>
      </c>
      <c r="N16" s="48"/>
      <c r="O16" s="45">
        <v>1428356</v>
      </c>
      <c r="P16" s="48"/>
      <c r="Q16" s="45">
        <v>18336</v>
      </c>
      <c r="R16" s="48"/>
      <c r="S16" s="45">
        <v>4785164</v>
      </c>
      <c r="T16" s="48"/>
      <c r="U16" s="45">
        <v>0</v>
      </c>
      <c r="V16" s="48"/>
      <c r="W16" s="48"/>
      <c r="X16" s="35"/>
      <c r="Z16" s="35"/>
      <c r="AA16" s="35"/>
      <c r="AB16" s="45">
        <v>1345021</v>
      </c>
      <c r="AC16" s="65"/>
      <c r="AD16" s="45">
        <v>513219</v>
      </c>
      <c r="AE16" s="65"/>
      <c r="AF16" s="45">
        <v>0</v>
      </c>
      <c r="AG16" s="65"/>
      <c r="AH16" s="48">
        <f t="shared" si="0"/>
        <v>21105416</v>
      </c>
      <c r="AI16" s="48"/>
      <c r="AJ16" s="48">
        <v>0</v>
      </c>
      <c r="AK16" s="48"/>
      <c r="AL16" s="45">
        <v>2173530</v>
      </c>
      <c r="AM16" s="45"/>
      <c r="AN16" s="45">
        <v>16262053</v>
      </c>
      <c r="AO16" s="45"/>
      <c r="AP16" s="45">
        <v>0</v>
      </c>
      <c r="AQ16" s="45"/>
      <c r="AR16" s="45">
        <f>+'GVFund Rev'!U16+'GVFund Rev'!W16-'GVFund Exp'!AH16-'GVFund Exp'!AL16+AJ16+AN16+AP16-'GV Fund BS'!S16</f>
        <v>0</v>
      </c>
      <c r="AS16" s="48"/>
    </row>
    <row r="17" spans="1:45" s="44" customFormat="1" ht="12.75" customHeight="1">
      <c r="A17" s="35" t="s">
        <v>23</v>
      </c>
      <c r="C17" s="35" t="s">
        <v>17</v>
      </c>
      <c r="E17" s="45">
        <v>2824337</v>
      </c>
      <c r="F17" s="48"/>
      <c r="G17" s="45">
        <v>7526545</v>
      </c>
      <c r="H17" s="48"/>
      <c r="I17" s="45">
        <v>1386408</v>
      </c>
      <c r="J17" s="48"/>
      <c r="K17" s="45">
        <v>0</v>
      </c>
      <c r="L17" s="48"/>
      <c r="M17" s="45">
        <v>1982203</v>
      </c>
      <c r="N17" s="48"/>
      <c r="O17" s="45">
        <v>986909</v>
      </c>
      <c r="P17" s="48"/>
      <c r="Q17" s="45">
        <v>14838</v>
      </c>
      <c r="R17" s="48"/>
      <c r="S17" s="45">
        <v>23767231</v>
      </c>
      <c r="T17" s="48"/>
      <c r="U17" s="45">
        <v>0</v>
      </c>
      <c r="V17" s="48"/>
      <c r="W17" s="48"/>
      <c r="X17" s="35"/>
      <c r="Z17" s="35"/>
      <c r="AA17" s="35"/>
      <c r="AB17" s="45">
        <v>40432357</v>
      </c>
      <c r="AC17" s="65"/>
      <c r="AD17" s="45">
        <v>2009751</v>
      </c>
      <c r="AE17" s="65"/>
      <c r="AF17" s="45">
        <v>0</v>
      </c>
      <c r="AG17" s="65"/>
      <c r="AH17" s="48">
        <f t="shared" si="0"/>
        <v>80930579</v>
      </c>
      <c r="AI17" s="48"/>
      <c r="AJ17" s="48">
        <v>0</v>
      </c>
      <c r="AK17" s="48"/>
      <c r="AL17" s="45">
        <v>8970731</v>
      </c>
      <c r="AM17" s="45"/>
      <c r="AN17" s="45">
        <v>37254458</v>
      </c>
      <c r="AO17" s="45"/>
      <c r="AP17" s="45">
        <v>0</v>
      </c>
      <c r="AQ17" s="45"/>
      <c r="AR17" s="45">
        <f>+'GVFund Rev'!U17+'GVFund Rev'!W17-'GVFund Exp'!AH17-'GVFund Exp'!AL17+AJ17+AN17+AP17-'GV Fund BS'!S17</f>
        <v>0</v>
      </c>
      <c r="AS17" s="48"/>
    </row>
    <row r="18" spans="1:45" s="44" customFormat="1" ht="12.75" customHeight="1">
      <c r="A18" s="35" t="s">
        <v>24</v>
      </c>
      <c r="C18" s="35" t="s">
        <v>17</v>
      </c>
      <c r="E18" s="45">
        <v>2831674</v>
      </c>
      <c r="F18" s="48"/>
      <c r="G18" s="45">
        <v>7826875</v>
      </c>
      <c r="H18" s="48"/>
      <c r="I18" s="45">
        <v>300413</v>
      </c>
      <c r="J18" s="48"/>
      <c r="K18" s="45">
        <v>111728</v>
      </c>
      <c r="L18" s="48"/>
      <c r="M18" s="45">
        <v>5318815</v>
      </c>
      <c r="N18" s="48"/>
      <c r="O18" s="45">
        <v>1545296</v>
      </c>
      <c r="P18" s="48"/>
      <c r="Q18" s="45">
        <v>25164</v>
      </c>
      <c r="R18" s="48"/>
      <c r="S18" s="45">
        <v>3723312</v>
      </c>
      <c r="T18" s="48"/>
      <c r="U18" s="45">
        <v>0</v>
      </c>
      <c r="V18" s="48"/>
      <c r="W18" s="48"/>
      <c r="X18" s="35"/>
      <c r="Z18" s="35"/>
      <c r="AA18" s="35"/>
      <c r="AB18" s="45">
        <f>755004+56680+28031</f>
        <v>839715</v>
      </c>
      <c r="AC18" s="65"/>
      <c r="AD18" s="45">
        <v>505510</v>
      </c>
      <c r="AE18" s="65"/>
      <c r="AF18" s="45">
        <v>0</v>
      </c>
      <c r="AG18" s="65"/>
      <c r="AH18" s="48">
        <f t="shared" si="0"/>
        <v>23028502</v>
      </c>
      <c r="AI18" s="48"/>
      <c r="AJ18" s="48">
        <v>0</v>
      </c>
      <c r="AK18" s="48"/>
      <c r="AL18" s="45">
        <v>10273929</v>
      </c>
      <c r="AM18" s="45"/>
      <c r="AN18" s="45">
        <v>12761446</v>
      </c>
      <c r="AO18" s="45"/>
      <c r="AP18" s="45">
        <v>0</v>
      </c>
      <c r="AQ18" s="45"/>
      <c r="AR18" s="45">
        <f>+'GVFund Rev'!U18+'GVFund Rev'!W18-'GVFund Exp'!AH18-'GVFund Exp'!AL18+AJ18+AN18+AP18-'GV Fund BS'!S18</f>
        <v>0</v>
      </c>
      <c r="AS18" s="48"/>
    </row>
    <row r="19" spans="1:45" s="44" customFormat="1" ht="12.75" customHeight="1">
      <c r="A19" s="35" t="s">
        <v>25</v>
      </c>
      <c r="C19" s="35" t="s">
        <v>13</v>
      </c>
      <c r="E19" s="45">
        <v>4396948</v>
      </c>
      <c r="F19" s="48"/>
      <c r="G19" s="45">
        <v>10653804</v>
      </c>
      <c r="H19" s="48"/>
      <c r="I19" s="45">
        <v>2260442</v>
      </c>
      <c r="J19" s="48"/>
      <c r="K19" s="45">
        <v>1472491</v>
      </c>
      <c r="L19" s="48"/>
      <c r="M19" s="45">
        <v>1471332</v>
      </c>
      <c r="N19" s="48"/>
      <c r="O19" s="45">
        <v>1217596</v>
      </c>
      <c r="P19" s="48"/>
      <c r="Q19" s="45">
        <v>0</v>
      </c>
      <c r="R19" s="48"/>
      <c r="S19" s="45">
        <v>2122784</v>
      </c>
      <c r="T19" s="48"/>
      <c r="U19" s="45">
        <v>0</v>
      </c>
      <c r="V19" s="48"/>
      <c r="W19" s="48"/>
      <c r="X19" s="35"/>
      <c r="Z19" s="35"/>
      <c r="AA19" s="35"/>
      <c r="AB19" s="45">
        <v>1045558</v>
      </c>
      <c r="AC19" s="65"/>
      <c r="AD19" s="45">
        <v>278130</v>
      </c>
      <c r="AE19" s="65"/>
      <c r="AF19" s="45">
        <v>83445</v>
      </c>
      <c r="AG19" s="65"/>
      <c r="AH19" s="48">
        <f t="shared" si="0"/>
        <v>25002530</v>
      </c>
      <c r="AI19" s="48"/>
      <c r="AJ19" s="48">
        <v>0</v>
      </c>
      <c r="AK19" s="48"/>
      <c r="AL19" s="45">
        <f>16555+1836090</f>
        <v>1852645</v>
      </c>
      <c r="AM19" s="45"/>
      <c r="AN19" s="45">
        <v>5377674</v>
      </c>
      <c r="AO19" s="45"/>
      <c r="AP19" s="45">
        <v>0</v>
      </c>
      <c r="AQ19" s="45"/>
      <c r="AR19" s="45">
        <f>+'GVFund Rev'!U19+'GVFund Rev'!W19-'GVFund Exp'!AH19-'GVFund Exp'!AL19+AJ19+AN19+AP19-'GV Fund BS'!S19</f>
        <v>0</v>
      </c>
      <c r="AS19" s="48"/>
    </row>
    <row r="20" spans="1:45" s="44" customFormat="1" ht="12.75" customHeight="1">
      <c r="A20" s="35" t="s">
        <v>26</v>
      </c>
      <c r="C20" s="35" t="s">
        <v>27</v>
      </c>
      <c r="E20" s="45">
        <v>3107886</v>
      </c>
      <c r="F20" s="48"/>
      <c r="G20" s="45">
        <v>6522850</v>
      </c>
      <c r="H20" s="48"/>
      <c r="I20" s="45">
        <v>767605</v>
      </c>
      <c r="J20" s="48"/>
      <c r="K20" s="45">
        <v>286669</v>
      </c>
      <c r="L20" s="48"/>
      <c r="M20" s="45">
        <v>1357641</v>
      </c>
      <c r="N20" s="48"/>
      <c r="O20" s="45">
        <v>954196</v>
      </c>
      <c r="P20" s="48"/>
      <c r="Q20" s="45">
        <v>1816963</v>
      </c>
      <c r="R20" s="48"/>
      <c r="S20" s="45">
        <v>863334</v>
      </c>
      <c r="T20" s="48"/>
      <c r="U20" s="45">
        <v>0</v>
      </c>
      <c r="V20" s="48"/>
      <c r="W20" s="48"/>
      <c r="X20" s="35"/>
      <c r="Z20" s="35"/>
      <c r="AA20" s="35"/>
      <c r="AB20" s="45">
        <v>1435000</v>
      </c>
      <c r="AC20" s="65"/>
      <c r="AD20" s="45">
        <v>523478</v>
      </c>
      <c r="AE20" s="65"/>
      <c r="AF20" s="45">
        <v>0</v>
      </c>
      <c r="AG20" s="65"/>
      <c r="AH20" s="48">
        <f t="shared" si="0"/>
        <v>17635622</v>
      </c>
      <c r="AI20" s="48"/>
      <c r="AJ20" s="48">
        <v>0</v>
      </c>
      <c r="AK20" s="48"/>
      <c r="AL20" s="45">
        <v>1137257</v>
      </c>
      <c r="AM20" s="45"/>
      <c r="AN20" s="45">
        <v>15174953</v>
      </c>
      <c r="AO20" s="45"/>
      <c r="AP20" s="45">
        <v>0</v>
      </c>
      <c r="AQ20" s="45"/>
      <c r="AR20" s="45">
        <f>+'GVFund Rev'!U20+'GVFund Rev'!W20-'GVFund Exp'!AH20-'GVFund Exp'!AL20+AJ20+AN20+AP20-'GV Fund BS'!S20</f>
        <v>0</v>
      </c>
      <c r="AS20" s="48"/>
    </row>
    <row r="21" spans="1:45" s="44" customFormat="1" ht="12.75" customHeight="1">
      <c r="A21" s="35" t="s">
        <v>28</v>
      </c>
      <c r="C21" s="35" t="s">
        <v>27</v>
      </c>
      <c r="E21" s="45">
        <v>4257790</v>
      </c>
      <c r="F21" s="48"/>
      <c r="G21" s="45">
        <f>7820112+5879094</f>
        <v>13699206</v>
      </c>
      <c r="H21" s="48"/>
      <c r="I21" s="45">
        <v>964252</v>
      </c>
      <c r="J21" s="48"/>
      <c r="K21" s="45">
        <v>535376</v>
      </c>
      <c r="L21" s="48"/>
      <c r="M21" s="45">
        <v>7776652</v>
      </c>
      <c r="N21" s="48"/>
      <c r="O21" s="45">
        <v>2401030</v>
      </c>
      <c r="P21" s="48"/>
      <c r="Q21" s="45">
        <v>0</v>
      </c>
      <c r="R21" s="48"/>
      <c r="S21" s="45">
        <v>1261144</v>
      </c>
      <c r="T21" s="48"/>
      <c r="U21" s="45">
        <v>0</v>
      </c>
      <c r="V21" s="48"/>
      <c r="W21" s="48"/>
      <c r="X21" s="35"/>
      <c r="Z21" s="35"/>
      <c r="AA21" s="35"/>
      <c r="AB21" s="45">
        <v>1255000</v>
      </c>
      <c r="AC21" s="65"/>
      <c r="AD21" s="45">
        <v>799683</v>
      </c>
      <c r="AE21" s="65"/>
      <c r="AF21" s="45">
        <v>0</v>
      </c>
      <c r="AG21" s="65"/>
      <c r="AH21" s="48">
        <f t="shared" si="0"/>
        <v>32950133</v>
      </c>
      <c r="AI21" s="48"/>
      <c r="AJ21" s="48">
        <v>0</v>
      </c>
      <c r="AK21" s="48"/>
      <c r="AL21" s="45">
        <v>5107562</v>
      </c>
      <c r="AM21" s="45"/>
      <c r="AN21" s="45">
        <v>34142355</v>
      </c>
      <c r="AO21" s="45"/>
      <c r="AP21" s="45">
        <v>0</v>
      </c>
      <c r="AQ21" s="45"/>
      <c r="AR21" s="45">
        <f>+'GVFund Rev'!U21+'GVFund Rev'!W21-'GVFund Exp'!AH21-'GVFund Exp'!AL21+AJ21+AN21+AP21-'GV Fund BS'!S21</f>
        <v>0</v>
      </c>
      <c r="AS21" s="48"/>
    </row>
    <row r="22" spans="1:45" s="44" customFormat="1" ht="12.75" customHeight="1">
      <c r="A22" s="35" t="s">
        <v>29</v>
      </c>
      <c r="C22" s="35" t="s">
        <v>30</v>
      </c>
      <c r="E22" s="45">
        <v>2085792</v>
      </c>
      <c r="F22" s="48"/>
      <c r="G22" s="45">
        <v>7246595</v>
      </c>
      <c r="H22" s="48"/>
      <c r="I22" s="45">
        <v>597963</v>
      </c>
      <c r="J22" s="48"/>
      <c r="K22" s="45">
        <v>110501</v>
      </c>
      <c r="L22" s="48"/>
      <c r="M22" s="45">
        <v>4809926</v>
      </c>
      <c r="N22" s="48"/>
      <c r="O22" s="45">
        <v>1357817</v>
      </c>
      <c r="P22" s="48"/>
      <c r="Q22" s="45">
        <v>74326</v>
      </c>
      <c r="R22" s="48"/>
      <c r="S22" s="45">
        <v>2123399</v>
      </c>
      <c r="T22" s="48"/>
      <c r="U22" s="45">
        <v>0</v>
      </c>
      <c r="V22" s="48"/>
      <c r="W22" s="48"/>
      <c r="X22" s="35"/>
      <c r="Z22" s="35"/>
      <c r="AA22" s="35"/>
      <c r="AB22" s="45">
        <v>636074</v>
      </c>
      <c r="AC22" s="65"/>
      <c r="AD22" s="45">
        <v>440365</v>
      </c>
      <c r="AE22" s="65"/>
      <c r="AF22" s="45">
        <v>0</v>
      </c>
      <c r="AG22" s="65"/>
      <c r="AH22" s="48">
        <f t="shared" si="0"/>
        <v>19482758</v>
      </c>
      <c r="AI22" s="48"/>
      <c r="AJ22" s="48">
        <v>0</v>
      </c>
      <c r="AK22" s="48"/>
      <c r="AL22" s="45">
        <v>2043342</v>
      </c>
      <c r="AM22" s="45"/>
      <c r="AN22" s="45">
        <v>7772108</v>
      </c>
      <c r="AO22" s="45"/>
      <c r="AP22" s="45">
        <v>175819</v>
      </c>
      <c r="AQ22" s="45"/>
      <c r="AR22" s="45">
        <f>+'GVFund Rev'!U22+'GVFund Rev'!W22-'GVFund Exp'!AH22-'GVFund Exp'!AL22+AJ22+AN22+AP22-'GV Fund BS'!S22</f>
        <v>0</v>
      </c>
      <c r="AS22" s="48"/>
    </row>
    <row r="23" spans="1:45" s="44" customFormat="1" ht="12.75" customHeight="1">
      <c r="A23" s="35" t="s">
        <v>31</v>
      </c>
      <c r="C23" s="35" t="s">
        <v>27</v>
      </c>
      <c r="E23" s="45">
        <v>4652214</v>
      </c>
      <c r="F23" s="48"/>
      <c r="G23" s="45">
        <f>5265227+3421428</f>
        <v>8686655</v>
      </c>
      <c r="H23" s="48"/>
      <c r="I23" s="45">
        <v>911782</v>
      </c>
      <c r="J23" s="48"/>
      <c r="K23" s="45">
        <v>161799</v>
      </c>
      <c r="L23" s="48"/>
      <c r="M23" s="45">
        <v>2362348</v>
      </c>
      <c r="N23" s="48"/>
      <c r="O23" s="45">
        <v>1313051</v>
      </c>
      <c r="P23" s="48"/>
      <c r="Q23" s="45">
        <v>1046474</v>
      </c>
      <c r="R23" s="48"/>
      <c r="S23" s="45">
        <v>534808</v>
      </c>
      <c r="T23" s="48"/>
      <c r="U23" s="45">
        <v>0</v>
      </c>
      <c r="V23" s="48"/>
      <c r="W23" s="48"/>
      <c r="X23" s="35"/>
      <c r="Z23" s="35"/>
      <c r="AA23" s="35"/>
      <c r="AB23" s="45">
        <v>665084</v>
      </c>
      <c r="AC23" s="65"/>
      <c r="AD23" s="45">
        <v>493363</v>
      </c>
      <c r="AE23" s="65"/>
      <c r="AF23" s="45">
        <v>0</v>
      </c>
      <c r="AG23" s="65"/>
      <c r="AH23" s="48">
        <f t="shared" si="0"/>
        <v>20827578</v>
      </c>
      <c r="AI23" s="48"/>
      <c r="AJ23" s="48">
        <v>0</v>
      </c>
      <c r="AK23" s="48"/>
      <c r="AL23" s="45">
        <v>3554148</v>
      </c>
      <c r="AM23" s="45"/>
      <c r="AN23" s="45">
        <v>14369852</v>
      </c>
      <c r="AO23" s="45"/>
      <c r="AP23" s="45">
        <v>0</v>
      </c>
      <c r="AQ23" s="45"/>
      <c r="AR23" s="45">
        <f>+'GVFund Rev'!U23+'GVFund Rev'!W23-'GVFund Exp'!AH23-'GVFund Exp'!AL23+AJ23+AN23+AP23-'GV Fund BS'!S23</f>
        <v>0</v>
      </c>
      <c r="AS23" s="48"/>
    </row>
    <row r="24" spans="1:45" s="44" customFormat="1" ht="12.75" customHeight="1">
      <c r="A24" s="35" t="s">
        <v>32</v>
      </c>
      <c r="C24" s="35" t="s">
        <v>27</v>
      </c>
      <c r="E24" s="45">
        <v>3962819</v>
      </c>
      <c r="F24" s="48"/>
      <c r="G24" s="45">
        <v>10759692</v>
      </c>
      <c r="H24" s="48"/>
      <c r="I24" s="45">
        <v>366986</v>
      </c>
      <c r="J24" s="48"/>
      <c r="K24" s="45">
        <v>383888</v>
      </c>
      <c r="L24" s="48"/>
      <c r="M24" s="45">
        <v>1548638</v>
      </c>
      <c r="N24" s="48"/>
      <c r="O24" s="45">
        <v>1357156</v>
      </c>
      <c r="P24" s="48"/>
      <c r="Q24" s="45">
        <v>780339</v>
      </c>
      <c r="R24" s="48"/>
      <c r="S24" s="45">
        <v>660732</v>
      </c>
      <c r="T24" s="48"/>
      <c r="U24" s="45">
        <v>0</v>
      </c>
      <c r="V24" s="48"/>
      <c r="W24" s="48"/>
      <c r="X24" s="35"/>
      <c r="Z24" s="35"/>
      <c r="AA24" s="35"/>
      <c r="AB24" s="45">
        <v>753632</v>
      </c>
      <c r="AC24" s="65"/>
      <c r="AD24" s="45">
        <v>217758</v>
      </c>
      <c r="AE24" s="65"/>
      <c r="AF24" s="45">
        <v>0</v>
      </c>
      <c r="AG24" s="65"/>
      <c r="AH24" s="48">
        <f t="shared" ref="AH24:AH42" si="1">SUM(E24:AF24)</f>
        <v>20791640</v>
      </c>
      <c r="AI24" s="48"/>
      <c r="AJ24" s="48">
        <v>0</v>
      </c>
      <c r="AK24" s="48"/>
      <c r="AL24" s="45">
        <v>3230270</v>
      </c>
      <c r="AM24" s="45"/>
      <c r="AN24" s="45">
        <v>7415402</v>
      </c>
      <c r="AO24" s="45"/>
      <c r="AP24" s="45">
        <v>0</v>
      </c>
      <c r="AQ24" s="45"/>
      <c r="AR24" s="45">
        <f>+'GVFund Rev'!U24+'GVFund Rev'!W24-'GVFund Exp'!AH24-'GVFund Exp'!AL24+AJ24+AN24+AP24-'GV Fund BS'!S24</f>
        <v>0</v>
      </c>
      <c r="AS24" s="48"/>
    </row>
    <row r="25" spans="1:45" s="44" customFormat="1" ht="12.75" customHeight="1">
      <c r="A25" s="35" t="s">
        <v>34</v>
      </c>
      <c r="C25" s="35" t="s">
        <v>30</v>
      </c>
      <c r="E25" s="45">
        <v>427518</v>
      </c>
      <c r="F25" s="48"/>
      <c r="G25" s="45">
        <v>2346175</v>
      </c>
      <c r="H25" s="48"/>
      <c r="I25" s="45">
        <v>46215</v>
      </c>
      <c r="J25" s="48"/>
      <c r="K25" s="45">
        <v>0</v>
      </c>
      <c r="L25" s="48"/>
      <c r="M25" s="45">
        <v>302828</v>
      </c>
      <c r="N25" s="48"/>
      <c r="O25" s="45">
        <v>11369</v>
      </c>
      <c r="P25" s="48"/>
      <c r="Q25" s="45">
        <v>0</v>
      </c>
      <c r="R25" s="48"/>
      <c r="S25" s="45">
        <v>761034</v>
      </c>
      <c r="T25" s="48"/>
      <c r="U25" s="45">
        <v>0</v>
      </c>
      <c r="V25" s="48"/>
      <c r="W25" s="48"/>
      <c r="X25" s="35"/>
      <c r="Z25" s="35"/>
      <c r="AA25" s="35"/>
      <c r="AB25" s="45">
        <v>0</v>
      </c>
      <c r="AC25" s="65"/>
      <c r="AD25" s="45">
        <v>0</v>
      </c>
      <c r="AE25" s="65"/>
      <c r="AF25" s="45">
        <v>0</v>
      </c>
      <c r="AG25" s="65"/>
      <c r="AH25" s="48">
        <f>SUM(E25:AF25)</f>
        <v>3895139</v>
      </c>
      <c r="AI25" s="48"/>
      <c r="AJ25" s="48">
        <v>0</v>
      </c>
      <c r="AK25" s="48"/>
      <c r="AL25" s="45">
        <v>625000</v>
      </c>
      <c r="AM25" s="45"/>
      <c r="AN25" s="45">
        <v>2881658</v>
      </c>
      <c r="AO25" s="45"/>
      <c r="AP25" s="45">
        <v>0</v>
      </c>
      <c r="AQ25" s="45"/>
      <c r="AR25" s="45">
        <f>+'GVFund Rev'!U25+'GVFund Rev'!W25-'GVFund Exp'!AH25-'GVFund Exp'!AL25+AJ25+AN25+AP25-'GV Fund BS'!S25</f>
        <v>0</v>
      </c>
      <c r="AS25" s="48"/>
    </row>
    <row r="26" spans="1:45" s="44" customFormat="1" ht="12.75" customHeight="1">
      <c r="A26" s="35" t="s">
        <v>35</v>
      </c>
      <c r="C26" s="35" t="s">
        <v>36</v>
      </c>
      <c r="E26" s="45">
        <f>1702034+658998</f>
        <v>2361032</v>
      </c>
      <c r="F26" s="48"/>
      <c r="G26" s="45">
        <v>3926629</v>
      </c>
      <c r="H26" s="48"/>
      <c r="I26" s="45">
        <v>807164</v>
      </c>
      <c r="J26" s="48"/>
      <c r="K26" s="45">
        <v>248287</v>
      </c>
      <c r="L26" s="48"/>
      <c r="M26" s="45">
        <v>1009394</v>
      </c>
      <c r="N26" s="48"/>
      <c r="O26" s="45">
        <v>561091</v>
      </c>
      <c r="P26" s="48"/>
      <c r="Q26" s="45">
        <v>255586</v>
      </c>
      <c r="R26" s="48"/>
      <c r="S26" s="45">
        <v>2989862</v>
      </c>
      <c r="T26" s="48"/>
      <c r="U26" s="45">
        <v>0</v>
      </c>
      <c r="V26" s="48"/>
      <c r="W26" s="48"/>
      <c r="X26" s="35"/>
      <c r="Z26" s="35"/>
      <c r="AA26" s="35"/>
      <c r="AB26" s="45">
        <v>100000</v>
      </c>
      <c r="AC26" s="65"/>
      <c r="AD26" s="45">
        <v>29563</v>
      </c>
      <c r="AE26" s="65"/>
      <c r="AF26" s="45">
        <v>0</v>
      </c>
      <c r="AG26" s="65"/>
      <c r="AH26" s="48">
        <f t="shared" si="1"/>
        <v>12288608</v>
      </c>
      <c r="AI26" s="48"/>
      <c r="AJ26" s="48">
        <v>0</v>
      </c>
      <c r="AK26" s="48"/>
      <c r="AL26" s="45">
        <v>1144009</v>
      </c>
      <c r="AM26" s="45"/>
      <c r="AN26" s="45">
        <v>8841492</v>
      </c>
      <c r="AO26" s="45"/>
      <c r="AP26" s="45">
        <v>0</v>
      </c>
      <c r="AQ26" s="45"/>
      <c r="AR26" s="45">
        <f>+'GVFund Rev'!U26+'GVFund Rev'!W26-'GVFund Exp'!AH26-'GVFund Exp'!AL26+AJ26+AN26+AP26-'GV Fund BS'!S26</f>
        <v>0</v>
      </c>
      <c r="AS26" s="48"/>
    </row>
    <row r="27" spans="1:45" s="44" customFormat="1" ht="12.75" customHeight="1">
      <c r="A27" s="35" t="s">
        <v>37</v>
      </c>
      <c r="C27" s="35" t="s">
        <v>38</v>
      </c>
      <c r="E27" s="45">
        <f>1598148+216943</f>
        <v>1815091</v>
      </c>
      <c r="F27" s="48"/>
      <c r="G27" s="45">
        <v>2478180</v>
      </c>
      <c r="H27" s="48"/>
      <c r="I27" s="45">
        <v>282886</v>
      </c>
      <c r="J27" s="48"/>
      <c r="K27" s="45">
        <v>106809</v>
      </c>
      <c r="L27" s="48"/>
      <c r="M27" s="45">
        <v>851119</v>
      </c>
      <c r="N27" s="48"/>
      <c r="O27" s="45">
        <v>443213</v>
      </c>
      <c r="P27" s="48"/>
      <c r="Q27" s="45">
        <v>0</v>
      </c>
      <c r="R27" s="48"/>
      <c r="S27" s="45">
        <v>0</v>
      </c>
      <c r="T27" s="48"/>
      <c r="U27" s="45">
        <v>0</v>
      </c>
      <c r="V27" s="48"/>
      <c r="W27" s="48"/>
      <c r="X27" s="35"/>
      <c r="Z27" s="35"/>
      <c r="AA27" s="35"/>
      <c r="AB27" s="45">
        <v>90000</v>
      </c>
      <c r="AC27" s="65"/>
      <c r="AD27" s="45">
        <v>76320</v>
      </c>
      <c r="AE27" s="65"/>
      <c r="AF27" s="45">
        <v>0</v>
      </c>
      <c r="AG27" s="65"/>
      <c r="AH27" s="48">
        <f>SUM(E27:AF27)</f>
        <v>6143618</v>
      </c>
      <c r="AI27" s="48"/>
      <c r="AJ27" s="48">
        <v>0</v>
      </c>
      <c r="AK27" s="48"/>
      <c r="AL27" s="45">
        <v>527319</v>
      </c>
      <c r="AM27" s="45"/>
      <c r="AN27" s="45">
        <v>4636647</v>
      </c>
      <c r="AO27" s="45"/>
      <c r="AP27" s="45">
        <v>10332</v>
      </c>
      <c r="AQ27" s="45"/>
      <c r="AR27" s="45">
        <f>+'GVFund Rev'!U27+'GVFund Rev'!W27-'GVFund Exp'!AH27-'GVFund Exp'!AL27+AJ27+AN27+AP27-'GV Fund BS'!S27</f>
        <v>0</v>
      </c>
      <c r="AS27" s="48"/>
    </row>
    <row r="28" spans="1:45" s="44" customFormat="1" ht="12.75" customHeight="1">
      <c r="A28" s="35" t="s">
        <v>39</v>
      </c>
      <c r="C28" s="35" t="s">
        <v>40</v>
      </c>
      <c r="E28" s="45">
        <v>638120</v>
      </c>
      <c r="F28" s="48"/>
      <c r="G28" s="45">
        <f>947012+151900</f>
        <v>1098912</v>
      </c>
      <c r="H28" s="48"/>
      <c r="I28" s="45">
        <v>145466</v>
      </c>
      <c r="J28" s="48"/>
      <c r="K28" s="45">
        <v>40640</v>
      </c>
      <c r="L28" s="48"/>
      <c r="M28" s="45">
        <v>520104</v>
      </c>
      <c r="N28" s="48"/>
      <c r="O28" s="45">
        <f>52166+88953+78072</f>
        <v>219191</v>
      </c>
      <c r="P28" s="48"/>
      <c r="Q28" s="45">
        <v>0</v>
      </c>
      <c r="R28" s="48"/>
      <c r="S28" s="45">
        <v>422454</v>
      </c>
      <c r="T28" s="48"/>
      <c r="U28" s="45">
        <v>0</v>
      </c>
      <c r="V28" s="48"/>
      <c r="W28" s="48"/>
      <c r="X28" s="35"/>
      <c r="Z28" s="35"/>
      <c r="AA28" s="35"/>
      <c r="AB28" s="45">
        <v>112574</v>
      </c>
      <c r="AC28" s="65"/>
      <c r="AD28" s="45">
        <v>46491</v>
      </c>
      <c r="AE28" s="65"/>
      <c r="AF28" s="45">
        <v>0</v>
      </c>
      <c r="AG28" s="65"/>
      <c r="AH28" s="48">
        <f t="shared" si="1"/>
        <v>3243952</v>
      </c>
      <c r="AI28" s="48"/>
      <c r="AJ28" s="48">
        <v>0</v>
      </c>
      <c r="AK28" s="48"/>
      <c r="AL28" s="45">
        <v>270000</v>
      </c>
      <c r="AM28" s="45"/>
      <c r="AN28" s="45">
        <v>2035578</v>
      </c>
      <c r="AO28" s="45"/>
      <c r="AP28" s="45">
        <v>0</v>
      </c>
      <c r="AQ28" s="45"/>
      <c r="AR28" s="45">
        <f>+'GVFund Rev'!U28+'GVFund Rev'!W28-'GVFund Exp'!AH28-'GVFund Exp'!AL28+AJ28+AN28+AP28-'GV Fund BS'!S28</f>
        <v>0</v>
      </c>
      <c r="AS28" s="48"/>
    </row>
    <row r="29" spans="1:45" s="44" customFormat="1" ht="12.75" customHeight="1">
      <c r="A29" s="35" t="s">
        <v>41</v>
      </c>
      <c r="C29" s="35" t="s">
        <v>27</v>
      </c>
      <c r="E29" s="45">
        <v>6329229</v>
      </c>
      <c r="F29" s="48"/>
      <c r="G29" s="45">
        <v>6474662</v>
      </c>
      <c r="H29" s="48"/>
      <c r="I29" s="45">
        <v>505093</v>
      </c>
      <c r="J29" s="48"/>
      <c r="K29" s="45">
        <v>119132</v>
      </c>
      <c r="L29" s="48"/>
      <c r="M29" s="45">
        <v>884337</v>
      </c>
      <c r="N29" s="48"/>
      <c r="O29" s="45">
        <v>1610617</v>
      </c>
      <c r="P29" s="48"/>
      <c r="Q29" s="45">
        <v>1089789</v>
      </c>
      <c r="R29" s="48"/>
      <c r="S29" s="45">
        <v>3430872</v>
      </c>
      <c r="T29" s="48"/>
      <c r="U29" s="45">
        <v>0</v>
      </c>
      <c r="V29" s="48"/>
      <c r="W29" s="48"/>
      <c r="X29" s="35"/>
      <c r="Z29" s="35"/>
      <c r="AA29" s="35"/>
      <c r="AB29" s="45">
        <v>2275311</v>
      </c>
      <c r="AC29" s="65"/>
      <c r="AD29" s="45">
        <v>545979</v>
      </c>
      <c r="AE29" s="65"/>
      <c r="AF29" s="45">
        <v>0</v>
      </c>
      <c r="AG29" s="65"/>
      <c r="AH29" s="48">
        <f t="shared" si="1"/>
        <v>23265021</v>
      </c>
      <c r="AI29" s="48"/>
      <c r="AJ29" s="48">
        <v>0</v>
      </c>
      <c r="AK29" s="48"/>
      <c r="AL29" s="45">
        <v>8499295</v>
      </c>
      <c r="AM29" s="45"/>
      <c r="AN29" s="45">
        <v>2672853</v>
      </c>
      <c r="AO29" s="45"/>
      <c r="AP29" s="45">
        <v>0</v>
      </c>
      <c r="AQ29" s="45"/>
      <c r="AR29" s="45">
        <f>+'GVFund Rev'!U29+'GVFund Rev'!W29-'GVFund Exp'!AH29-'GVFund Exp'!AL29+AJ29+AN29+AP29-'GV Fund BS'!S29</f>
        <v>0</v>
      </c>
      <c r="AS29" s="48"/>
    </row>
    <row r="30" spans="1:45" s="44" customFormat="1" ht="12.75" customHeight="1">
      <c r="A30" s="35" t="s">
        <v>42</v>
      </c>
      <c r="C30" s="35" t="s">
        <v>43</v>
      </c>
      <c r="E30" s="45">
        <v>3211582</v>
      </c>
      <c r="F30" s="48"/>
      <c r="G30" s="45">
        <v>5118152</v>
      </c>
      <c r="H30" s="48"/>
      <c r="I30" s="45">
        <v>597820</v>
      </c>
      <c r="J30" s="48"/>
      <c r="K30" s="45">
        <v>81713</v>
      </c>
      <c r="L30" s="48"/>
      <c r="M30" s="45">
        <v>791407</v>
      </c>
      <c r="N30" s="48"/>
      <c r="O30" s="45">
        <v>1165341</v>
      </c>
      <c r="P30" s="48"/>
      <c r="Q30" s="45">
        <v>0</v>
      </c>
      <c r="R30" s="48"/>
      <c r="S30" s="45">
        <v>11611173</v>
      </c>
      <c r="T30" s="48"/>
      <c r="U30" s="45">
        <v>0</v>
      </c>
      <c r="V30" s="48"/>
      <c r="W30" s="48"/>
      <c r="X30" s="35"/>
      <c r="Z30" s="35"/>
      <c r="AA30" s="35"/>
      <c r="AB30" s="45">
        <v>930189</v>
      </c>
      <c r="AC30" s="65"/>
      <c r="AD30" s="45">
        <v>482368</v>
      </c>
      <c r="AE30" s="65"/>
      <c r="AF30" s="45">
        <v>161835</v>
      </c>
      <c r="AG30" s="65"/>
      <c r="AH30" s="48">
        <f t="shared" si="1"/>
        <v>24151580</v>
      </c>
      <c r="AI30" s="48"/>
      <c r="AJ30" s="48">
        <v>0</v>
      </c>
      <c r="AK30" s="48"/>
      <c r="AL30" s="45">
        <v>1853072</v>
      </c>
      <c r="AM30" s="45"/>
      <c r="AN30" s="45">
        <v>5458706</v>
      </c>
      <c r="AO30" s="45"/>
      <c r="AP30" s="45">
        <v>0</v>
      </c>
      <c r="AQ30" s="45"/>
      <c r="AR30" s="45">
        <f>+'GVFund Rev'!U30+'GVFund Rev'!W30-'GVFund Exp'!AH30-'GVFund Exp'!AL30+AJ30+AN30+AP30-'GV Fund BS'!S30</f>
        <v>0</v>
      </c>
      <c r="AS30" s="48"/>
    </row>
    <row r="31" spans="1:45" s="44" customFormat="1" ht="12.75" customHeight="1">
      <c r="A31" s="35" t="s">
        <v>44</v>
      </c>
      <c r="C31" s="35" t="s">
        <v>45</v>
      </c>
      <c r="E31" s="45">
        <v>6566020</v>
      </c>
      <c r="F31" s="48"/>
      <c r="G31" s="45">
        <v>10873558</v>
      </c>
      <c r="H31" s="48"/>
      <c r="I31" s="45">
        <v>782176</v>
      </c>
      <c r="J31" s="48"/>
      <c r="K31" s="45">
        <v>0</v>
      </c>
      <c r="L31" s="48"/>
      <c r="M31" s="45">
        <v>2073586</v>
      </c>
      <c r="N31" s="48"/>
      <c r="O31" s="45">
        <v>4248364</v>
      </c>
      <c r="P31" s="48"/>
      <c r="Q31" s="45">
        <v>2406148</v>
      </c>
      <c r="R31" s="48"/>
      <c r="S31" s="45">
        <v>7325932</v>
      </c>
      <c r="T31" s="48"/>
      <c r="U31" s="45">
        <v>0</v>
      </c>
      <c r="V31" s="48"/>
      <c r="W31" s="48"/>
      <c r="X31" s="35"/>
      <c r="Z31" s="35"/>
      <c r="AA31" s="35"/>
      <c r="AB31" s="45">
        <v>3826800</v>
      </c>
      <c r="AC31" s="65"/>
      <c r="AD31" s="45">
        <v>2108322</v>
      </c>
      <c r="AE31" s="65"/>
      <c r="AF31" s="45">
        <v>0</v>
      </c>
      <c r="AG31" s="65"/>
      <c r="AH31" s="48">
        <f>SUM(E31:AF31)</f>
        <v>40210906</v>
      </c>
      <c r="AI31" s="48"/>
      <c r="AJ31" s="48">
        <v>0</v>
      </c>
      <c r="AK31" s="48"/>
      <c r="AL31" s="45">
        <v>11909230</v>
      </c>
      <c r="AM31" s="45"/>
      <c r="AN31" s="45">
        <v>23046598</v>
      </c>
      <c r="AO31" s="45"/>
      <c r="AP31" s="45">
        <v>84907</v>
      </c>
      <c r="AQ31" s="45"/>
      <c r="AR31" s="45">
        <f>+'GVFund Rev'!U31+'GVFund Rev'!W31-'GVFund Exp'!AH31-'GVFund Exp'!AL31+AJ31+AN31+AP31-'GV Fund BS'!S31</f>
        <v>0</v>
      </c>
      <c r="AS31" s="48"/>
    </row>
    <row r="32" spans="1:45" s="44" customFormat="1" ht="12.75" customHeight="1">
      <c r="A32" s="35" t="s">
        <v>46</v>
      </c>
      <c r="C32" s="35" t="s">
        <v>47</v>
      </c>
      <c r="E32" s="45">
        <f>1585136+3273823</f>
        <v>4858959</v>
      </c>
      <c r="F32" s="48"/>
      <c r="G32" s="45">
        <f>5505823+5291145+92834</f>
        <v>10889802</v>
      </c>
      <c r="H32" s="48"/>
      <c r="I32" s="45">
        <v>1082508</v>
      </c>
      <c r="J32" s="48"/>
      <c r="K32" s="45">
        <v>83486</v>
      </c>
      <c r="L32" s="48"/>
      <c r="M32" s="45">
        <v>3827901</v>
      </c>
      <c r="N32" s="48"/>
      <c r="O32" s="45">
        <v>1760415</v>
      </c>
      <c r="P32" s="48"/>
      <c r="Q32" s="45">
        <v>628939</v>
      </c>
      <c r="R32" s="48"/>
      <c r="S32" s="45">
        <v>13284444</v>
      </c>
      <c r="T32" s="48"/>
      <c r="U32" s="45">
        <v>0</v>
      </c>
      <c r="V32" s="48"/>
      <c r="W32" s="48"/>
      <c r="X32" s="35"/>
      <c r="Z32" s="35"/>
      <c r="AA32" s="35"/>
      <c r="AB32" s="45">
        <v>1818597</v>
      </c>
      <c r="AC32" s="65"/>
      <c r="AD32" s="45">
        <v>874551</v>
      </c>
      <c r="AE32" s="65"/>
      <c r="AF32" s="45">
        <v>0</v>
      </c>
      <c r="AG32" s="65"/>
      <c r="AH32" s="48">
        <f t="shared" si="1"/>
        <v>39109602</v>
      </c>
      <c r="AI32" s="48"/>
      <c r="AJ32" s="48">
        <v>0</v>
      </c>
      <c r="AK32" s="48"/>
      <c r="AL32" s="45">
        <v>2147015</v>
      </c>
      <c r="AM32" s="45"/>
      <c r="AN32" s="45">
        <v>17439638</v>
      </c>
      <c r="AO32" s="45"/>
      <c r="AP32" s="45">
        <v>0</v>
      </c>
      <c r="AQ32" s="45"/>
      <c r="AR32" s="45">
        <f>+'GVFund Rev'!U32+'GVFund Rev'!W32-'GVFund Exp'!AH32-'GVFund Exp'!AL32+AJ32+AN32+AP32-'GV Fund BS'!S32</f>
        <v>0</v>
      </c>
      <c r="AS32" s="48"/>
    </row>
    <row r="33" spans="1:45" s="44" customFormat="1" ht="12.75" customHeight="1">
      <c r="A33" s="35" t="s">
        <v>48</v>
      </c>
      <c r="C33" s="35" t="s">
        <v>27</v>
      </c>
      <c r="E33" s="45">
        <f>5819602+165677</f>
        <v>5985279</v>
      </c>
      <c r="F33" s="48"/>
      <c r="G33" s="45">
        <f>4467546+2107045</f>
        <v>6574591</v>
      </c>
      <c r="H33" s="48"/>
      <c r="I33" s="45">
        <v>900852</v>
      </c>
      <c r="J33" s="48"/>
      <c r="K33" s="45">
        <v>910160</v>
      </c>
      <c r="L33" s="48"/>
      <c r="M33" s="45">
        <v>2966943</v>
      </c>
      <c r="N33" s="48"/>
      <c r="O33" s="45">
        <v>1862876</v>
      </c>
      <c r="P33" s="48"/>
      <c r="Q33" s="45">
        <v>2256844</v>
      </c>
      <c r="R33" s="48"/>
      <c r="S33" s="45">
        <v>2535718</v>
      </c>
      <c r="T33" s="48"/>
      <c r="U33" s="45">
        <v>0</v>
      </c>
      <c r="V33" s="48"/>
      <c r="W33" s="48"/>
      <c r="X33" s="35"/>
      <c r="Z33" s="35"/>
      <c r="AA33" s="35"/>
      <c r="AB33" s="45">
        <v>1270884</v>
      </c>
      <c r="AC33" s="65"/>
      <c r="AD33" s="45">
        <v>694576</v>
      </c>
      <c r="AE33" s="65"/>
      <c r="AF33" s="45">
        <v>0</v>
      </c>
      <c r="AG33" s="65"/>
      <c r="AH33" s="48">
        <f t="shared" si="1"/>
        <v>25958723</v>
      </c>
      <c r="AI33" s="48"/>
      <c r="AJ33" s="48">
        <v>0</v>
      </c>
      <c r="AK33" s="48"/>
      <c r="AL33" s="45">
        <v>2231175</v>
      </c>
      <c r="AM33" s="45"/>
      <c r="AN33" s="45">
        <v>13575026</v>
      </c>
      <c r="AO33" s="45"/>
      <c r="AP33" s="45">
        <v>0</v>
      </c>
      <c r="AQ33" s="45"/>
      <c r="AR33" s="45">
        <f>+'GVFund Rev'!U33+'GVFund Rev'!W33-'GVFund Exp'!AH33-'GVFund Exp'!AL33+AJ33+AN33+AP33-'GV Fund BS'!S33</f>
        <v>0</v>
      </c>
      <c r="AS33" s="48"/>
    </row>
    <row r="34" spans="1:45" s="44" customFormat="1" ht="12.75" customHeight="1">
      <c r="A34" s="35" t="s">
        <v>49</v>
      </c>
      <c r="C34" s="35" t="s">
        <v>27</v>
      </c>
      <c r="E34" s="45">
        <v>4205414</v>
      </c>
      <c r="F34" s="48"/>
      <c r="G34" s="45">
        <v>6928664</v>
      </c>
      <c r="H34" s="48"/>
      <c r="I34" s="45">
        <v>336282</v>
      </c>
      <c r="J34" s="48"/>
      <c r="K34" s="45">
        <v>306623</v>
      </c>
      <c r="L34" s="48"/>
      <c r="M34" s="45">
        <v>1388347</v>
      </c>
      <c r="N34" s="48"/>
      <c r="O34" s="45">
        <v>974648</v>
      </c>
      <c r="P34" s="48"/>
      <c r="Q34" s="45">
        <v>904650</v>
      </c>
      <c r="R34" s="48"/>
      <c r="S34" s="45">
        <v>2376273</v>
      </c>
      <c r="T34" s="48"/>
      <c r="U34" s="45">
        <v>0</v>
      </c>
      <c r="V34" s="48"/>
      <c r="W34" s="48"/>
      <c r="X34" s="35"/>
      <c r="Z34" s="35"/>
      <c r="AA34" s="35"/>
      <c r="AB34" s="45">
        <v>1229692</v>
      </c>
      <c r="AC34" s="65"/>
      <c r="AD34" s="45">
        <v>545035</v>
      </c>
      <c r="AE34" s="65"/>
      <c r="AF34" s="45">
        <v>0</v>
      </c>
      <c r="AG34" s="65"/>
      <c r="AH34" s="48">
        <f t="shared" si="1"/>
        <v>19195628</v>
      </c>
      <c r="AI34" s="48"/>
      <c r="AJ34" s="48">
        <v>0</v>
      </c>
      <c r="AK34" s="48"/>
      <c r="AL34" s="45">
        <v>426156</v>
      </c>
      <c r="AM34" s="45"/>
      <c r="AN34" s="45">
        <v>5936282</v>
      </c>
      <c r="AO34" s="45"/>
      <c r="AP34" s="45">
        <v>0</v>
      </c>
      <c r="AQ34" s="45"/>
      <c r="AR34" s="45">
        <f>+'GVFund Rev'!U34+'GVFund Rev'!W34-'GVFund Exp'!AH34-'GVFund Exp'!AL34+AJ34+AN34+AP34-'GV Fund BS'!S34</f>
        <v>0</v>
      </c>
      <c r="AS34" s="48"/>
    </row>
    <row r="35" spans="1:45" s="44" customFormat="1" ht="12.75" customHeight="1">
      <c r="A35" s="35" t="s">
        <v>50</v>
      </c>
      <c r="C35" s="35" t="s">
        <v>27</v>
      </c>
      <c r="E35" s="45">
        <v>5100208</v>
      </c>
      <c r="F35" s="48"/>
      <c r="G35" s="45">
        <f>6939896+5041178</f>
        <v>11981074</v>
      </c>
      <c r="H35" s="48"/>
      <c r="I35" s="45">
        <v>1758463</v>
      </c>
      <c r="J35" s="48"/>
      <c r="K35" s="45">
        <v>404083</v>
      </c>
      <c r="L35" s="48"/>
      <c r="M35" s="45">
        <v>1593031</v>
      </c>
      <c r="N35" s="48"/>
      <c r="O35" s="45">
        <v>2418962</v>
      </c>
      <c r="P35" s="48"/>
      <c r="Q35" s="45">
        <v>3600960</v>
      </c>
      <c r="R35" s="48"/>
      <c r="S35" s="45">
        <v>5437258</v>
      </c>
      <c r="T35" s="48"/>
      <c r="U35" s="45">
        <v>0</v>
      </c>
      <c r="V35" s="48"/>
      <c r="W35" s="48"/>
      <c r="X35" s="35"/>
      <c r="Z35" s="35"/>
      <c r="AA35" s="35"/>
      <c r="AB35" s="45">
        <v>175000</v>
      </c>
      <c r="AC35" s="65"/>
      <c r="AD35" s="45">
        <v>58375</v>
      </c>
      <c r="AE35" s="65"/>
      <c r="AF35" s="45">
        <v>0</v>
      </c>
      <c r="AG35" s="65"/>
      <c r="AH35" s="48">
        <f t="shared" si="1"/>
        <v>32527414</v>
      </c>
      <c r="AI35" s="48"/>
      <c r="AJ35" s="48">
        <v>0</v>
      </c>
      <c r="AK35" s="48"/>
      <c r="AL35" s="45">
        <v>2313639</v>
      </c>
      <c r="AM35" s="45"/>
      <c r="AN35" s="45">
        <v>20674012</v>
      </c>
      <c r="AO35" s="45"/>
      <c r="AP35" s="45">
        <v>0</v>
      </c>
      <c r="AQ35" s="45"/>
      <c r="AR35" s="45">
        <f>+'GVFund Rev'!U35+'GVFund Rev'!W35-'GVFund Exp'!AH35-'GVFund Exp'!AL35+AJ35+AN35+AP35-'GV Fund BS'!S35</f>
        <v>0</v>
      </c>
      <c r="AS35" s="48"/>
    </row>
    <row r="36" spans="1:45" s="44" customFormat="1" ht="12.75" customHeight="1">
      <c r="A36" s="35" t="s">
        <v>51</v>
      </c>
      <c r="C36" s="35" t="s">
        <v>27</v>
      </c>
      <c r="E36" s="45">
        <v>2246485</v>
      </c>
      <c r="F36" s="48"/>
      <c r="G36" s="45">
        <v>7892278</v>
      </c>
      <c r="H36" s="48"/>
      <c r="I36" s="45">
        <v>2233166</v>
      </c>
      <c r="J36" s="48"/>
      <c r="K36" s="45">
        <v>0</v>
      </c>
      <c r="L36" s="48"/>
      <c r="M36" s="45">
        <v>598620</v>
      </c>
      <c r="N36" s="48"/>
      <c r="O36" s="45">
        <v>1827384</v>
      </c>
      <c r="P36" s="48"/>
      <c r="Q36" s="45">
        <v>2212848</v>
      </c>
      <c r="R36" s="48"/>
      <c r="S36" s="45">
        <v>1271760</v>
      </c>
      <c r="T36" s="48"/>
      <c r="U36" s="45">
        <v>0</v>
      </c>
      <c r="V36" s="48"/>
      <c r="W36" s="48"/>
      <c r="X36" s="35"/>
      <c r="Z36" s="35"/>
      <c r="AA36" s="35"/>
      <c r="AB36" s="45">
        <v>798932</v>
      </c>
      <c r="AC36" s="65"/>
      <c r="AD36" s="45">
        <v>428645</v>
      </c>
      <c r="AE36" s="65"/>
      <c r="AF36" s="45">
        <v>0</v>
      </c>
      <c r="AG36" s="65"/>
      <c r="AH36" s="48">
        <f t="shared" si="1"/>
        <v>19510118</v>
      </c>
      <c r="AI36" s="48"/>
      <c r="AJ36" s="48">
        <v>0</v>
      </c>
      <c r="AK36" s="48"/>
      <c r="AL36" s="45">
        <f>575000+1327192</f>
        <v>1902192</v>
      </c>
      <c r="AM36" s="45"/>
      <c r="AN36" s="45">
        <v>7944125</v>
      </c>
      <c r="AO36" s="45"/>
      <c r="AP36" s="45">
        <v>0</v>
      </c>
      <c r="AQ36" s="45"/>
      <c r="AR36" s="45">
        <f>+'GVFund Rev'!U36+'GVFund Rev'!W36-'GVFund Exp'!AH36-'GVFund Exp'!AL36+AJ36+AN36+AP36-'GV Fund BS'!S36</f>
        <v>0</v>
      </c>
      <c r="AS36" s="48"/>
    </row>
    <row r="37" spans="1:45" s="44" customFormat="1" ht="12.75" customHeight="1">
      <c r="A37" s="35" t="s">
        <v>462</v>
      </c>
      <c r="C37" s="35" t="s">
        <v>66</v>
      </c>
      <c r="E37" s="45">
        <v>831073</v>
      </c>
      <c r="F37" s="48"/>
      <c r="G37" s="45">
        <v>1801544</v>
      </c>
      <c r="H37" s="48"/>
      <c r="I37" s="45">
        <v>100000</v>
      </c>
      <c r="J37" s="48"/>
      <c r="K37" s="45">
        <v>29552</v>
      </c>
      <c r="L37" s="48"/>
      <c r="M37" s="45">
        <v>700138</v>
      </c>
      <c r="N37" s="48"/>
      <c r="O37" s="45">
        <v>124043</v>
      </c>
      <c r="P37" s="48"/>
      <c r="Q37" s="45">
        <v>0</v>
      </c>
      <c r="R37" s="48"/>
      <c r="S37" s="45">
        <v>884762</v>
      </c>
      <c r="T37" s="48"/>
      <c r="U37" s="45">
        <v>0</v>
      </c>
      <c r="V37" s="48"/>
      <c r="W37" s="48"/>
      <c r="X37" s="35"/>
      <c r="Z37" s="35"/>
      <c r="AA37" s="35"/>
      <c r="AB37" s="45">
        <v>1462579</v>
      </c>
      <c r="AC37" s="65"/>
      <c r="AD37" s="45">
        <v>80474</v>
      </c>
      <c r="AE37" s="65"/>
      <c r="AF37" s="45">
        <v>8203</v>
      </c>
      <c r="AG37" s="65"/>
      <c r="AH37" s="48">
        <f t="shared" si="1"/>
        <v>6022368</v>
      </c>
      <c r="AI37" s="48"/>
      <c r="AJ37" s="48">
        <v>0</v>
      </c>
      <c r="AK37" s="48"/>
      <c r="AL37" s="45">
        <v>789101</v>
      </c>
      <c r="AM37" s="45"/>
      <c r="AN37" s="45">
        <v>2383960</v>
      </c>
      <c r="AO37" s="45"/>
      <c r="AP37" s="45">
        <v>0</v>
      </c>
      <c r="AQ37" s="45"/>
      <c r="AR37" s="45">
        <f>+'GVFund Rev'!U37+'GVFund Rev'!W37-'GVFund Exp'!AH37-'GVFund Exp'!AL37+AJ37+AN37+AP37-'GV Fund BS'!S37</f>
        <v>0</v>
      </c>
      <c r="AS37" s="48"/>
    </row>
    <row r="38" spans="1:45" s="44" customFormat="1" ht="12.75" customHeight="1">
      <c r="A38" s="35" t="s">
        <v>52</v>
      </c>
      <c r="C38" s="35" t="s">
        <v>53</v>
      </c>
      <c r="E38" s="45">
        <v>2830670</v>
      </c>
      <c r="F38" s="48"/>
      <c r="G38" s="45">
        <v>9295076</v>
      </c>
      <c r="H38" s="48"/>
      <c r="I38" s="45">
        <v>1838864</v>
      </c>
      <c r="J38" s="48"/>
      <c r="K38" s="45">
        <v>8331</v>
      </c>
      <c r="L38" s="48"/>
      <c r="M38" s="45">
        <v>2680699</v>
      </c>
      <c r="N38" s="48"/>
      <c r="O38" s="45">
        <v>1653064</v>
      </c>
      <c r="P38" s="48"/>
      <c r="Q38" s="45">
        <v>0</v>
      </c>
      <c r="R38" s="48"/>
      <c r="S38" s="45">
        <v>1980850</v>
      </c>
      <c r="T38" s="48"/>
      <c r="U38" s="45">
        <v>0</v>
      </c>
      <c r="V38" s="48"/>
      <c r="W38" s="48"/>
      <c r="X38" s="35"/>
      <c r="Z38" s="35"/>
      <c r="AA38" s="35"/>
      <c r="AB38" s="45">
        <v>688029</v>
      </c>
      <c r="AC38" s="65"/>
      <c r="AD38" s="45">
        <v>385260</v>
      </c>
      <c r="AE38" s="65"/>
      <c r="AF38" s="45">
        <v>140348</v>
      </c>
      <c r="AG38" s="65"/>
      <c r="AH38" s="48">
        <f t="shared" si="1"/>
        <v>21501191</v>
      </c>
      <c r="AI38" s="48"/>
      <c r="AJ38" s="48">
        <v>0</v>
      </c>
      <c r="AK38" s="48"/>
      <c r="AL38" s="45">
        <v>83888</v>
      </c>
      <c r="AM38" s="45"/>
      <c r="AN38" s="45">
        <v>4644984</v>
      </c>
      <c r="AO38" s="45"/>
      <c r="AP38" s="45">
        <v>0</v>
      </c>
      <c r="AQ38" s="45"/>
      <c r="AR38" s="45">
        <f>+'GVFund Rev'!U38+'GVFund Rev'!W38-'GVFund Exp'!AH38-'GVFund Exp'!AL38+AJ38+AN38+AP38-'GV Fund BS'!S38</f>
        <v>0</v>
      </c>
      <c r="AS38" s="48"/>
    </row>
    <row r="39" spans="1:45" s="44" customFormat="1" ht="12.75" customHeight="1">
      <c r="A39" s="35" t="s">
        <v>54</v>
      </c>
      <c r="C39" s="35" t="s">
        <v>55</v>
      </c>
      <c r="E39" s="45">
        <v>2997939</v>
      </c>
      <c r="F39" s="48"/>
      <c r="G39" s="45">
        <v>2806135</v>
      </c>
      <c r="H39" s="48"/>
      <c r="I39" s="45">
        <v>775065</v>
      </c>
      <c r="J39" s="48"/>
      <c r="K39" s="45">
        <v>95144</v>
      </c>
      <c r="L39" s="48"/>
      <c r="M39" s="45">
        <v>842503</v>
      </c>
      <c r="N39" s="48"/>
      <c r="O39" s="45">
        <v>866830</v>
      </c>
      <c r="P39" s="48"/>
      <c r="Q39" s="45">
        <v>0</v>
      </c>
      <c r="R39" s="48"/>
      <c r="S39" s="45">
        <v>2090396</v>
      </c>
      <c r="T39" s="48"/>
      <c r="U39" s="45">
        <v>0</v>
      </c>
      <c r="V39" s="48"/>
      <c r="W39" s="48"/>
      <c r="X39" s="35"/>
      <c r="Z39" s="35"/>
      <c r="AA39" s="35"/>
      <c r="AB39" s="45">
        <v>2411000</v>
      </c>
      <c r="AC39" s="65"/>
      <c r="AD39" s="45">
        <v>72913</v>
      </c>
      <c r="AE39" s="65"/>
      <c r="AF39" s="45">
        <v>0</v>
      </c>
      <c r="AG39" s="65"/>
      <c r="AH39" s="48">
        <f t="shared" si="1"/>
        <v>12957925</v>
      </c>
      <c r="AI39" s="48"/>
      <c r="AJ39" s="48">
        <v>0</v>
      </c>
      <c r="AK39" s="48"/>
      <c r="AL39" s="45">
        <v>5950117</v>
      </c>
      <c r="AM39" s="45"/>
      <c r="AN39" s="45">
        <v>16078731</v>
      </c>
      <c r="AO39" s="45"/>
      <c r="AP39" s="45">
        <v>-19090</v>
      </c>
      <c r="AQ39" s="45"/>
      <c r="AR39" s="45">
        <f>+'GVFund Rev'!U39+'GVFund Rev'!W39-'GVFund Exp'!AH39-'GVFund Exp'!AL39+AJ39+AN39+AP39-'GV Fund BS'!S39</f>
        <v>0</v>
      </c>
      <c r="AS39" s="48"/>
    </row>
    <row r="40" spans="1:45" s="44" customFormat="1" ht="12.75" customHeight="1">
      <c r="A40" s="35" t="s">
        <v>56</v>
      </c>
      <c r="C40" s="35" t="s">
        <v>57</v>
      </c>
      <c r="E40" s="45">
        <v>1925397</v>
      </c>
      <c r="F40" s="48"/>
      <c r="G40" s="45">
        <f>2010653+1332614+411491</f>
        <v>3754758</v>
      </c>
      <c r="H40" s="48"/>
      <c r="I40" s="45">
        <v>99501</v>
      </c>
      <c r="J40" s="48"/>
      <c r="K40" s="45">
        <v>281248</v>
      </c>
      <c r="L40" s="48"/>
      <c r="M40" s="45">
        <v>2772229</v>
      </c>
      <c r="N40" s="48"/>
      <c r="O40" s="45">
        <v>139826</v>
      </c>
      <c r="P40" s="48"/>
      <c r="Q40" s="45">
        <v>744104</v>
      </c>
      <c r="R40" s="48"/>
      <c r="S40" s="45">
        <v>0</v>
      </c>
      <c r="T40" s="48"/>
      <c r="U40" s="45">
        <v>0</v>
      </c>
      <c r="V40" s="48"/>
      <c r="W40" s="48"/>
      <c r="X40" s="35"/>
      <c r="Z40" s="35"/>
      <c r="AA40" s="35"/>
      <c r="AB40" s="45">
        <v>42914</v>
      </c>
      <c r="AC40" s="65"/>
      <c r="AD40" s="45">
        <v>25944</v>
      </c>
      <c r="AE40" s="65"/>
      <c r="AF40" s="45">
        <v>0</v>
      </c>
      <c r="AG40" s="65"/>
      <c r="AH40" s="48">
        <f t="shared" si="1"/>
        <v>9785921</v>
      </c>
      <c r="AI40" s="48"/>
      <c r="AJ40" s="48">
        <v>0</v>
      </c>
      <c r="AK40" s="48"/>
      <c r="AL40" s="45">
        <v>268897</v>
      </c>
      <c r="AM40" s="45"/>
      <c r="AN40" s="45">
        <v>5169998</v>
      </c>
      <c r="AO40" s="45"/>
      <c r="AP40" s="45">
        <v>0</v>
      </c>
      <c r="AQ40" s="45"/>
      <c r="AR40" s="45">
        <f>+'GVFund Rev'!U40+'GVFund Rev'!W40-'GVFund Exp'!AH40-'GVFund Exp'!AL40+AJ40+AN40+AP40-'GV Fund BS'!S40</f>
        <v>0</v>
      </c>
      <c r="AS40" s="48"/>
    </row>
    <row r="41" spans="1:45" s="44" customFormat="1" ht="12.75" customHeight="1">
      <c r="A41" s="35" t="s">
        <v>58</v>
      </c>
      <c r="C41" s="35" t="s">
        <v>59</v>
      </c>
      <c r="E41" s="45">
        <v>2694997</v>
      </c>
      <c r="F41" s="48"/>
      <c r="G41" s="45">
        <v>4202615</v>
      </c>
      <c r="H41" s="48"/>
      <c r="I41" s="45">
        <v>812819</v>
      </c>
      <c r="J41" s="48"/>
      <c r="K41" s="45">
        <v>252226</v>
      </c>
      <c r="L41" s="48"/>
      <c r="M41" s="45">
        <v>1580101</v>
      </c>
      <c r="N41" s="48"/>
      <c r="O41" s="45">
        <v>714936</v>
      </c>
      <c r="P41" s="48"/>
      <c r="Q41" s="45">
        <v>0</v>
      </c>
      <c r="R41" s="48"/>
      <c r="S41" s="45">
        <v>2034948</v>
      </c>
      <c r="T41" s="48"/>
      <c r="U41" s="45">
        <v>0</v>
      </c>
      <c r="V41" s="48"/>
      <c r="W41" s="48"/>
      <c r="X41" s="35"/>
      <c r="Z41" s="35"/>
      <c r="AA41" s="35"/>
      <c r="AB41" s="45">
        <v>228778</v>
      </c>
      <c r="AC41" s="65"/>
      <c r="AD41" s="45">
        <v>48629</v>
      </c>
      <c r="AE41" s="65"/>
      <c r="AF41" s="45">
        <v>169030</v>
      </c>
      <c r="AG41" s="65"/>
      <c r="AH41" s="48">
        <f t="shared" si="1"/>
        <v>12739079</v>
      </c>
      <c r="AI41" s="48"/>
      <c r="AJ41" s="48">
        <v>0</v>
      </c>
      <c r="AK41" s="48"/>
      <c r="AL41" s="45">
        <v>666717</v>
      </c>
      <c r="AM41" s="45"/>
      <c r="AN41" s="45">
        <v>5311095</v>
      </c>
      <c r="AO41" s="45"/>
      <c r="AP41" s="45">
        <v>0</v>
      </c>
      <c r="AQ41" s="45"/>
      <c r="AR41" s="45">
        <f>+'GVFund Rev'!U41+'GVFund Rev'!W41-'GVFund Exp'!AH41-'GVFund Exp'!AL41+AJ41+AN41+AP41-'GV Fund BS'!S41</f>
        <v>0</v>
      </c>
      <c r="AS41" s="48"/>
    </row>
    <row r="42" spans="1:45" s="44" customFormat="1" ht="12.75" customHeight="1">
      <c r="A42" s="44" t="s">
        <v>476</v>
      </c>
      <c r="C42" s="35" t="s">
        <v>15</v>
      </c>
      <c r="E42" s="45">
        <v>628755</v>
      </c>
      <c r="F42" s="48"/>
      <c r="G42" s="45">
        <v>1262835</v>
      </c>
      <c r="H42" s="48"/>
      <c r="I42" s="45">
        <v>0</v>
      </c>
      <c r="J42" s="48"/>
      <c r="K42" s="45">
        <v>0</v>
      </c>
      <c r="L42" s="48"/>
      <c r="M42" s="45">
        <v>350123</v>
      </c>
      <c r="N42" s="48"/>
      <c r="O42" s="45">
        <v>77588</v>
      </c>
      <c r="P42" s="48"/>
      <c r="Q42" s="45">
        <v>0</v>
      </c>
      <c r="R42" s="48"/>
      <c r="S42" s="45">
        <v>377826</v>
      </c>
      <c r="T42" s="48"/>
      <c r="U42" s="45">
        <v>0</v>
      </c>
      <c r="V42" s="48"/>
      <c r="W42" s="48"/>
      <c r="X42" s="35"/>
      <c r="Z42" s="35"/>
      <c r="AA42" s="35"/>
      <c r="AB42" s="45">
        <v>113787</v>
      </c>
      <c r="AC42" s="65"/>
      <c r="AD42" s="45">
        <v>66478</v>
      </c>
      <c r="AE42" s="65"/>
      <c r="AF42" s="45">
        <v>0</v>
      </c>
      <c r="AG42" s="65"/>
      <c r="AH42" s="48">
        <f t="shared" si="1"/>
        <v>2877392</v>
      </c>
      <c r="AI42" s="48"/>
      <c r="AJ42" s="48">
        <v>0</v>
      </c>
      <c r="AK42" s="48"/>
      <c r="AL42" s="45">
        <v>1489207</v>
      </c>
      <c r="AM42" s="45"/>
      <c r="AN42" s="45">
        <v>742189</v>
      </c>
      <c r="AO42" s="45"/>
      <c r="AP42" s="45">
        <v>0</v>
      </c>
      <c r="AQ42" s="45"/>
      <c r="AR42" s="45">
        <f>+'GVFund Rev'!U42+'GVFund Rev'!W42-'GVFund Exp'!AH42-'GVFund Exp'!AL42+AJ42+AN42+AP42-'GV Fund BS'!S42</f>
        <v>0</v>
      </c>
      <c r="AS42" s="48"/>
    </row>
    <row r="43" spans="1:45" s="44" customFormat="1" ht="12.75" customHeight="1">
      <c r="A43" s="35" t="s">
        <v>60</v>
      </c>
      <c r="C43" s="35" t="s">
        <v>61</v>
      </c>
      <c r="E43" s="45">
        <v>834784</v>
      </c>
      <c r="F43" s="48"/>
      <c r="G43" s="45">
        <v>2129227</v>
      </c>
      <c r="H43" s="48"/>
      <c r="I43" s="45">
        <v>86958</v>
      </c>
      <c r="J43" s="48"/>
      <c r="K43" s="45">
        <v>55600</v>
      </c>
      <c r="L43" s="48"/>
      <c r="M43" s="45">
        <v>555235</v>
      </c>
      <c r="N43" s="48"/>
      <c r="O43" s="45">
        <v>79035</v>
      </c>
      <c r="P43" s="48"/>
      <c r="Q43" s="45">
        <v>8285</v>
      </c>
      <c r="R43" s="48"/>
      <c r="S43" s="45">
        <v>156188</v>
      </c>
      <c r="T43" s="48"/>
      <c r="U43" s="45">
        <v>0</v>
      </c>
      <c r="V43" s="48"/>
      <c r="W43" s="48"/>
      <c r="X43" s="35"/>
      <c r="Z43" s="35"/>
      <c r="AA43" s="35"/>
      <c r="AB43" s="45">
        <v>499919</v>
      </c>
      <c r="AC43" s="65"/>
      <c r="AD43" s="45">
        <v>82568</v>
      </c>
      <c r="AE43" s="65"/>
      <c r="AF43" s="45">
        <v>0</v>
      </c>
      <c r="AG43" s="65"/>
      <c r="AH43" s="48">
        <f t="shared" ref="AH43:AH53" si="2">SUM(E43:AF43)</f>
        <v>4487799</v>
      </c>
      <c r="AI43" s="48"/>
      <c r="AJ43" s="48">
        <v>0</v>
      </c>
      <c r="AK43" s="48"/>
      <c r="AL43" s="45">
        <v>296991</v>
      </c>
      <c r="AM43" s="45"/>
      <c r="AN43" s="45">
        <v>3838181</v>
      </c>
      <c r="AO43" s="45"/>
      <c r="AP43" s="45">
        <v>0</v>
      </c>
      <c r="AQ43" s="45"/>
      <c r="AR43" s="45">
        <f>+'GVFund Rev'!U43+'GVFund Rev'!W43-'GVFund Exp'!AH43-'GVFund Exp'!AL43+AJ43+AN43+AP43-'GV Fund BS'!S43</f>
        <v>0</v>
      </c>
      <c r="AS43" s="48"/>
    </row>
    <row r="44" spans="1:45" s="44" customFormat="1" ht="12.75" customHeight="1">
      <c r="A44" s="44" t="s">
        <v>62</v>
      </c>
      <c r="C44" s="35" t="s">
        <v>15</v>
      </c>
      <c r="E44" s="45">
        <v>18597391</v>
      </c>
      <c r="F44" s="48"/>
      <c r="G44" s="45">
        <v>35973764</v>
      </c>
      <c r="H44" s="48"/>
      <c r="I44" s="45">
        <v>5289321</v>
      </c>
      <c r="J44" s="48"/>
      <c r="K44" s="45">
        <v>6136493</v>
      </c>
      <c r="L44" s="48"/>
      <c r="M44" s="45">
        <v>3826361</v>
      </c>
      <c r="N44" s="48"/>
      <c r="O44" s="45">
        <v>2204394</v>
      </c>
      <c r="P44" s="48"/>
      <c r="Q44" s="45">
        <v>0</v>
      </c>
      <c r="R44" s="48"/>
      <c r="S44" s="45">
        <v>13859942</v>
      </c>
      <c r="T44" s="48"/>
      <c r="U44" s="45">
        <v>0</v>
      </c>
      <c r="V44" s="48"/>
      <c r="W44" s="48"/>
      <c r="X44" s="35"/>
      <c r="Z44" s="35"/>
      <c r="AA44" s="35"/>
      <c r="AB44" s="45">
        <v>11599749</v>
      </c>
      <c r="AC44" s="65"/>
      <c r="AD44" s="45">
        <v>925828</v>
      </c>
      <c r="AE44" s="65"/>
      <c r="AF44" s="45">
        <v>0</v>
      </c>
      <c r="AG44" s="65"/>
      <c r="AH44" s="48">
        <f t="shared" si="2"/>
        <v>98413243</v>
      </c>
      <c r="AI44" s="48"/>
      <c r="AJ44" s="48">
        <v>0</v>
      </c>
      <c r="AK44" s="48"/>
      <c r="AL44" s="45">
        <f>433203+40000</f>
        <v>473203</v>
      </c>
      <c r="AM44" s="45"/>
      <c r="AN44" s="45">
        <v>32748410</v>
      </c>
      <c r="AO44" s="45"/>
      <c r="AP44" s="45">
        <v>-21843</v>
      </c>
      <c r="AQ44" s="45"/>
      <c r="AR44" s="45">
        <f>+'GVFund Rev'!U44+'GVFund Rev'!W44-'GVFund Exp'!AH44-'GVFund Exp'!AL44+AJ44+AN44+AP44-'GV Fund BS'!S44</f>
        <v>0</v>
      </c>
      <c r="AS44" s="48"/>
    </row>
    <row r="45" spans="1:45" s="44" customFormat="1" ht="12.75" customHeight="1">
      <c r="A45" s="35" t="s">
        <v>485</v>
      </c>
      <c r="C45" s="35" t="s">
        <v>111</v>
      </c>
      <c r="E45" s="45">
        <v>752188</v>
      </c>
      <c r="F45" s="48"/>
      <c r="G45" s="45">
        <v>714499</v>
      </c>
      <c r="H45" s="48"/>
      <c r="I45" s="45">
        <v>138390</v>
      </c>
      <c r="J45" s="48"/>
      <c r="K45" s="45">
        <v>0</v>
      </c>
      <c r="L45" s="48"/>
      <c r="M45" s="45">
        <v>220449</v>
      </c>
      <c r="N45" s="48"/>
      <c r="O45" s="45">
        <v>16203</v>
      </c>
      <c r="P45" s="48"/>
      <c r="Q45" s="45">
        <v>0</v>
      </c>
      <c r="R45" s="48"/>
      <c r="S45" s="45">
        <v>95855</v>
      </c>
      <c r="T45" s="48"/>
      <c r="U45" s="45">
        <v>0</v>
      </c>
      <c r="V45" s="48"/>
      <c r="W45" s="48"/>
      <c r="X45" s="35"/>
      <c r="Z45" s="35"/>
      <c r="AA45" s="35"/>
      <c r="AB45" s="45">
        <v>1748292</v>
      </c>
      <c r="AC45" s="65"/>
      <c r="AD45" s="45">
        <v>108977</v>
      </c>
      <c r="AE45" s="65"/>
      <c r="AF45" s="45">
        <v>0</v>
      </c>
      <c r="AG45" s="65"/>
      <c r="AH45" s="48">
        <f>SUM(E45:AF45)</f>
        <v>3794853</v>
      </c>
      <c r="AI45" s="48"/>
      <c r="AJ45" s="48">
        <v>0</v>
      </c>
      <c r="AK45" s="48"/>
      <c r="AL45" s="45">
        <v>377182</v>
      </c>
      <c r="AM45" s="45"/>
      <c r="AN45" s="45">
        <v>1125645</v>
      </c>
      <c r="AO45" s="45"/>
      <c r="AP45" s="45">
        <v>0</v>
      </c>
      <c r="AQ45" s="45"/>
      <c r="AR45" s="45">
        <f>+'GVFund Rev'!U45+'GVFund Rev'!W45-'GVFund Exp'!AH45-'GVFund Exp'!AL45+AJ45+AN45+AP45-'GV Fund BS'!S45</f>
        <v>0</v>
      </c>
      <c r="AS45" s="48"/>
    </row>
    <row r="46" spans="1:45" s="44" customFormat="1" ht="12.75" customHeight="1">
      <c r="A46" s="35" t="s">
        <v>63</v>
      </c>
      <c r="C46" s="35" t="s">
        <v>64</v>
      </c>
      <c r="E46" s="45">
        <v>1401257</v>
      </c>
      <c r="F46" s="48"/>
      <c r="G46" s="45">
        <v>3226740</v>
      </c>
      <c r="H46" s="48"/>
      <c r="I46" s="45">
        <v>148043</v>
      </c>
      <c r="J46" s="48"/>
      <c r="K46" s="45">
        <v>79768</v>
      </c>
      <c r="L46" s="48"/>
      <c r="M46" s="45">
        <v>3011129</v>
      </c>
      <c r="N46" s="48"/>
      <c r="O46" s="45">
        <v>793290</v>
      </c>
      <c r="P46" s="48"/>
      <c r="Q46" s="45">
        <f>727989+134597</f>
        <v>862586</v>
      </c>
      <c r="R46" s="48"/>
      <c r="S46" s="45">
        <v>0</v>
      </c>
      <c r="T46" s="48"/>
      <c r="U46" s="45">
        <v>0</v>
      </c>
      <c r="V46" s="48"/>
      <c r="W46" s="48"/>
      <c r="X46" s="35"/>
      <c r="Z46" s="35"/>
      <c r="AA46" s="35"/>
      <c r="AB46" s="45">
        <f>30018+524508</f>
        <v>554526</v>
      </c>
      <c r="AC46" s="65"/>
      <c r="AD46" s="45">
        <v>174010</v>
      </c>
      <c r="AE46" s="65"/>
      <c r="AF46" s="45">
        <v>0</v>
      </c>
      <c r="AG46" s="65"/>
      <c r="AH46" s="48">
        <f t="shared" si="2"/>
        <v>10251349</v>
      </c>
      <c r="AI46" s="48"/>
      <c r="AJ46" s="48">
        <v>0</v>
      </c>
      <c r="AK46" s="48"/>
      <c r="AL46" s="45">
        <f>1150000+1130053</f>
        <v>2280053</v>
      </c>
      <c r="AM46" s="45"/>
      <c r="AN46" s="45">
        <v>2221100</v>
      </c>
      <c r="AO46" s="45"/>
      <c r="AP46" s="45">
        <v>0</v>
      </c>
      <c r="AQ46" s="45"/>
      <c r="AR46" s="45">
        <f>+'GVFund Rev'!U46+'GVFund Rev'!W46-'GVFund Exp'!AH46-'GVFund Exp'!AL46+AJ46+AN46+AP46-'GV Fund BS'!S46</f>
        <v>0</v>
      </c>
      <c r="AS46" s="48"/>
    </row>
    <row r="47" spans="1:45" s="44" customFormat="1" ht="12.75" customHeight="1">
      <c r="A47" s="35" t="s">
        <v>65</v>
      </c>
      <c r="C47" s="35" t="s">
        <v>66</v>
      </c>
      <c r="E47" s="45">
        <v>4994283</v>
      </c>
      <c r="F47" s="48"/>
      <c r="G47" s="45">
        <v>5983254</v>
      </c>
      <c r="H47" s="48"/>
      <c r="I47" s="45">
        <v>311352</v>
      </c>
      <c r="J47" s="48"/>
      <c r="K47" s="45">
        <v>0</v>
      </c>
      <c r="L47" s="48"/>
      <c r="M47" s="45">
        <v>2167538</v>
      </c>
      <c r="N47" s="48"/>
      <c r="O47" s="45">
        <v>398661</v>
      </c>
      <c r="P47" s="48"/>
      <c r="Q47" s="45">
        <v>0</v>
      </c>
      <c r="R47" s="48"/>
      <c r="S47" s="45">
        <v>5980652</v>
      </c>
      <c r="T47" s="48"/>
      <c r="U47" s="45">
        <v>0</v>
      </c>
      <c r="V47" s="48"/>
      <c r="W47" s="48"/>
      <c r="X47" s="35"/>
      <c r="Z47" s="35"/>
      <c r="AA47" s="35"/>
      <c r="AB47" s="45">
        <v>1057956</v>
      </c>
      <c r="AC47" s="65"/>
      <c r="AD47" s="45">
        <v>1068124</v>
      </c>
      <c r="AE47" s="65"/>
      <c r="AF47" s="45">
        <v>0</v>
      </c>
      <c r="AG47" s="65"/>
      <c r="AH47" s="48">
        <f t="shared" si="2"/>
        <v>21961820</v>
      </c>
      <c r="AI47" s="48"/>
      <c r="AJ47" s="48">
        <v>0</v>
      </c>
      <c r="AK47" s="48"/>
      <c r="AL47" s="45">
        <v>3069501</v>
      </c>
      <c r="AM47" s="45"/>
      <c r="AN47" s="45">
        <v>21919068</v>
      </c>
      <c r="AO47" s="45"/>
      <c r="AP47" s="45">
        <v>9320</v>
      </c>
      <c r="AQ47" s="45"/>
      <c r="AR47" s="45">
        <f>+'GVFund Rev'!U47+'GVFund Rev'!W47-'GVFund Exp'!AH47-'GVFund Exp'!AL47+AJ47+AN47+AP47-'GV Fund BS'!S47</f>
        <v>0</v>
      </c>
      <c r="AS47" s="48"/>
    </row>
    <row r="48" spans="1:45" s="44" customFormat="1" ht="12.75" customHeight="1">
      <c r="A48" s="35" t="s">
        <v>67</v>
      </c>
      <c r="C48" s="35" t="s">
        <v>375</v>
      </c>
      <c r="E48" s="45">
        <v>3184129</v>
      </c>
      <c r="F48" s="48"/>
      <c r="G48" s="45">
        <v>2672187</v>
      </c>
      <c r="H48" s="48"/>
      <c r="I48" s="45">
        <v>305576</v>
      </c>
      <c r="J48" s="48"/>
      <c r="K48" s="45">
        <v>73839</v>
      </c>
      <c r="L48" s="48"/>
      <c r="M48" s="45">
        <v>1309349</v>
      </c>
      <c r="N48" s="48"/>
      <c r="O48" s="45">
        <v>246177</v>
      </c>
      <c r="P48" s="48"/>
      <c r="Q48" s="45">
        <v>1433</v>
      </c>
      <c r="R48" s="48"/>
      <c r="S48" s="45">
        <v>1271034</v>
      </c>
      <c r="T48" s="48"/>
      <c r="U48" s="45">
        <v>0</v>
      </c>
      <c r="V48" s="48"/>
      <c r="W48" s="48"/>
      <c r="X48" s="35"/>
      <c r="Z48" s="35"/>
      <c r="AA48" s="35"/>
      <c r="AB48" s="45">
        <v>308234</v>
      </c>
      <c r="AC48" s="65"/>
      <c r="AD48" s="45">
        <v>47338</v>
      </c>
      <c r="AE48" s="65"/>
      <c r="AF48" s="45">
        <v>0</v>
      </c>
      <c r="AG48" s="65"/>
      <c r="AH48" s="48">
        <f t="shared" si="2"/>
        <v>9419296</v>
      </c>
      <c r="AI48" s="48"/>
      <c r="AJ48" s="48">
        <v>0</v>
      </c>
      <c r="AK48" s="48"/>
      <c r="AL48" s="45">
        <v>2079800</v>
      </c>
      <c r="AM48" s="45"/>
      <c r="AN48" s="45">
        <v>5762467</v>
      </c>
      <c r="AO48" s="45"/>
      <c r="AP48" s="45">
        <v>0</v>
      </c>
      <c r="AQ48" s="45"/>
      <c r="AR48" s="45">
        <f>+'GVFund Rev'!U48+'GVFund Rev'!W48-'GVFund Exp'!AH48-'GVFund Exp'!AL48+AJ48+AN48+AP48-'GV Fund BS'!S48</f>
        <v>0</v>
      </c>
      <c r="AS48" s="48"/>
    </row>
    <row r="49" spans="1:45" s="44" customFormat="1" ht="12.75" customHeight="1">
      <c r="A49" s="35" t="s">
        <v>68</v>
      </c>
      <c r="C49" s="35" t="s">
        <v>45</v>
      </c>
      <c r="E49" s="45">
        <v>1368993</v>
      </c>
      <c r="F49" s="48"/>
      <c r="G49" s="45">
        <v>2058661</v>
      </c>
      <c r="H49" s="48"/>
      <c r="I49" s="45">
        <v>75848</v>
      </c>
      <c r="J49" s="48"/>
      <c r="K49" s="45">
        <v>22271</v>
      </c>
      <c r="L49" s="48"/>
      <c r="M49" s="45">
        <v>809672</v>
      </c>
      <c r="N49" s="48"/>
      <c r="O49" s="45">
        <v>108165</v>
      </c>
      <c r="P49" s="48"/>
      <c r="Q49" s="45">
        <v>367300</v>
      </c>
      <c r="R49" s="48"/>
      <c r="S49" s="45">
        <v>1147693</v>
      </c>
      <c r="T49" s="48"/>
      <c r="U49" s="45">
        <v>0</v>
      </c>
      <c r="V49" s="48"/>
      <c r="W49" s="48"/>
      <c r="X49" s="35"/>
      <c r="Z49" s="35"/>
      <c r="AA49" s="35"/>
      <c r="AB49" s="45">
        <v>40880</v>
      </c>
      <c r="AC49" s="65"/>
      <c r="AD49" s="45">
        <v>4813</v>
      </c>
      <c r="AE49" s="65"/>
      <c r="AF49" s="45">
        <v>0</v>
      </c>
      <c r="AG49" s="65"/>
      <c r="AH49" s="48">
        <f t="shared" si="2"/>
        <v>6004296</v>
      </c>
      <c r="AI49" s="48"/>
      <c r="AJ49" s="48">
        <v>0</v>
      </c>
      <c r="AK49" s="48"/>
      <c r="AL49" s="45">
        <v>97773</v>
      </c>
      <c r="AM49" s="45"/>
      <c r="AN49" s="45">
        <v>1063812</v>
      </c>
      <c r="AO49" s="45"/>
      <c r="AP49" s="45">
        <v>3972</v>
      </c>
      <c r="AQ49" s="45"/>
      <c r="AR49" s="45">
        <f>+'GVFund Rev'!U49+'GVFund Rev'!W49-'GVFund Exp'!AH49-'GVFund Exp'!AL49+AJ49+AN49+AP49-'GV Fund BS'!S49</f>
        <v>0</v>
      </c>
      <c r="AS49" s="48"/>
    </row>
    <row r="50" spans="1:45" s="44" customFormat="1" ht="12.75" customHeight="1">
      <c r="A50" s="35" t="s">
        <v>69</v>
      </c>
      <c r="C50" s="35" t="s">
        <v>70</v>
      </c>
      <c r="E50" s="45">
        <v>6715055</v>
      </c>
      <c r="F50" s="48"/>
      <c r="G50" s="45">
        <f>5724315+4880108</f>
        <v>10604423</v>
      </c>
      <c r="H50" s="48"/>
      <c r="I50" s="45">
        <v>1370904</v>
      </c>
      <c r="J50" s="48"/>
      <c r="K50" s="45">
        <v>0</v>
      </c>
      <c r="L50" s="48"/>
      <c r="M50" s="45">
        <v>8567602</v>
      </c>
      <c r="N50" s="48"/>
      <c r="O50" s="45">
        <v>936905</v>
      </c>
      <c r="P50" s="48"/>
      <c r="Q50" s="45">
        <v>880792</v>
      </c>
      <c r="R50" s="48"/>
      <c r="S50" s="45">
        <v>1715632</v>
      </c>
      <c r="T50" s="48"/>
      <c r="U50" s="45">
        <v>0</v>
      </c>
      <c r="V50" s="48"/>
      <c r="W50" s="48"/>
      <c r="X50" s="35"/>
      <c r="Z50" s="35"/>
      <c r="AA50" s="35"/>
      <c r="AB50" s="45">
        <v>327983</v>
      </c>
      <c r="AC50" s="65"/>
      <c r="AD50" s="45">
        <v>139122</v>
      </c>
      <c r="AE50" s="65"/>
      <c r="AF50" s="45">
        <v>0</v>
      </c>
      <c r="AG50" s="65"/>
      <c r="AH50" s="48">
        <f t="shared" si="2"/>
        <v>31258418</v>
      </c>
      <c r="AI50" s="48"/>
      <c r="AJ50" s="48">
        <v>0</v>
      </c>
      <c r="AK50" s="48"/>
      <c r="AL50" s="45">
        <f>200000+3460487</f>
        <v>3660487</v>
      </c>
      <c r="AM50" s="45"/>
      <c r="AN50" s="45">
        <v>7343739</v>
      </c>
      <c r="AO50" s="45"/>
      <c r="AP50" s="45">
        <v>0</v>
      </c>
      <c r="AQ50" s="45"/>
      <c r="AR50" s="45">
        <f>+'GVFund Rev'!U50+'GVFund Rev'!W50-'GVFund Exp'!AH50-'GVFund Exp'!AL50+AJ50+AN50+AP50-'GV Fund BS'!S50</f>
        <v>0</v>
      </c>
      <c r="AS50" s="48"/>
    </row>
    <row r="51" spans="1:45" s="44" customFormat="1" ht="12.75" customHeight="1">
      <c r="A51" s="35" t="s">
        <v>71</v>
      </c>
      <c r="C51" s="35" t="s">
        <v>45</v>
      </c>
      <c r="E51" s="45">
        <v>65392000</v>
      </c>
      <c r="F51" s="48"/>
      <c r="G51" s="45">
        <v>180917000</v>
      </c>
      <c r="H51" s="48"/>
      <c r="I51" s="45">
        <v>11615000</v>
      </c>
      <c r="J51" s="48"/>
      <c r="K51" s="45">
        <v>34275000</v>
      </c>
      <c r="L51" s="48"/>
      <c r="M51" s="45">
        <f>8257000+46537000</f>
        <v>54794000</v>
      </c>
      <c r="N51" s="48"/>
      <c r="O51" s="45">
        <v>28885000</v>
      </c>
      <c r="P51" s="48"/>
      <c r="Q51" s="45">
        <f>33549000+84487000</f>
        <v>118036000</v>
      </c>
      <c r="R51" s="48"/>
      <c r="S51" s="45">
        <v>141993000</v>
      </c>
      <c r="T51" s="48"/>
      <c r="U51" s="45">
        <v>0</v>
      </c>
      <c r="V51" s="48"/>
      <c r="W51" s="48"/>
      <c r="X51" s="35"/>
      <c r="Z51" s="35"/>
      <c r="AA51" s="35"/>
      <c r="AB51" s="45">
        <v>41852000</v>
      </c>
      <c r="AC51" s="65"/>
      <c r="AD51" s="45">
        <v>21878000</v>
      </c>
      <c r="AE51" s="65"/>
      <c r="AF51" s="45">
        <v>1070000</v>
      </c>
      <c r="AG51" s="65"/>
      <c r="AH51" s="48">
        <f t="shared" si="2"/>
        <v>700707000</v>
      </c>
      <c r="AI51" s="48"/>
      <c r="AJ51" s="48">
        <v>0</v>
      </c>
      <c r="AK51" s="48"/>
      <c r="AL51" s="45">
        <f>4800000+31000+80561000</f>
        <v>85392000</v>
      </c>
      <c r="AM51" s="45"/>
      <c r="AN51" s="45">
        <v>425131000</v>
      </c>
      <c r="AO51" s="45"/>
      <c r="AP51" s="45">
        <v>0</v>
      </c>
      <c r="AQ51" s="45"/>
      <c r="AR51" s="45">
        <f>+'GVFund Rev'!U51+'GVFund Rev'!W51-'GVFund Exp'!AH51-'GVFund Exp'!AL51+AJ51+AN51+AP51-'GV Fund BS'!S51</f>
        <v>0</v>
      </c>
      <c r="AS51" s="48"/>
    </row>
    <row r="52" spans="1:45" s="44" customFormat="1" ht="12.75" customHeight="1">
      <c r="A52" s="44" t="s">
        <v>463</v>
      </c>
      <c r="C52" s="44" t="s">
        <v>464</v>
      </c>
      <c r="E52" s="45">
        <v>2779090</v>
      </c>
      <c r="F52" s="48"/>
      <c r="G52" s="45">
        <f>2832249+1600072+204450</f>
        <v>4636771</v>
      </c>
      <c r="H52" s="48"/>
      <c r="I52" s="45">
        <f>8986+553431</f>
        <v>562417</v>
      </c>
      <c r="J52" s="48"/>
      <c r="K52" s="45">
        <v>177630</v>
      </c>
      <c r="L52" s="48"/>
      <c r="M52" s="45">
        <v>1037090</v>
      </c>
      <c r="N52" s="48"/>
      <c r="O52" s="45">
        <f>109445+30024+26657</f>
        <v>166126</v>
      </c>
      <c r="P52" s="48"/>
      <c r="Q52" s="45">
        <v>2700</v>
      </c>
      <c r="R52" s="48"/>
      <c r="S52" s="45">
        <v>1485565</v>
      </c>
      <c r="T52" s="48"/>
      <c r="U52" s="45">
        <v>0</v>
      </c>
      <c r="V52" s="48"/>
      <c r="W52" s="48"/>
      <c r="X52" s="35"/>
      <c r="Z52" s="35"/>
      <c r="AA52" s="35"/>
      <c r="AB52" s="45">
        <v>345677</v>
      </c>
      <c r="AC52" s="65"/>
      <c r="AD52" s="45">
        <v>240053</v>
      </c>
      <c r="AE52" s="65"/>
      <c r="AF52" s="45">
        <v>0</v>
      </c>
      <c r="AG52" s="65"/>
      <c r="AH52" s="48">
        <f t="shared" si="2"/>
        <v>11433119</v>
      </c>
      <c r="AI52" s="48"/>
      <c r="AJ52" s="48">
        <v>0</v>
      </c>
      <c r="AK52" s="48"/>
      <c r="AL52" s="45">
        <v>49394</v>
      </c>
      <c r="AM52" s="45"/>
      <c r="AN52" s="45">
        <v>5218068</v>
      </c>
      <c r="AO52" s="45"/>
      <c r="AP52" s="45">
        <v>0</v>
      </c>
      <c r="AQ52" s="45"/>
      <c r="AR52" s="45">
        <f>+'GVFund Rev'!U52+'GVFund Rev'!W52-'GVFund Exp'!AH52-'GVFund Exp'!AL52+AJ52+AN52+AP52-'GV Fund BS'!S52</f>
        <v>0</v>
      </c>
      <c r="AS52" s="48"/>
    </row>
    <row r="53" spans="1:45" s="44" customFormat="1" ht="12.75" customHeight="1">
      <c r="A53" s="35" t="s">
        <v>72</v>
      </c>
      <c r="C53" s="35" t="s">
        <v>66</v>
      </c>
      <c r="E53" s="45">
        <v>2594614</v>
      </c>
      <c r="F53" s="48"/>
      <c r="G53" s="45">
        <v>3025428</v>
      </c>
      <c r="H53" s="48"/>
      <c r="I53" s="45">
        <v>16883</v>
      </c>
      <c r="J53" s="48"/>
      <c r="K53" s="45">
        <v>3557</v>
      </c>
      <c r="L53" s="48"/>
      <c r="M53" s="45">
        <v>925970</v>
      </c>
      <c r="N53" s="48"/>
      <c r="O53" s="45">
        <v>0</v>
      </c>
      <c r="P53" s="48"/>
      <c r="Q53" s="45">
        <v>0</v>
      </c>
      <c r="R53" s="48"/>
      <c r="S53" s="45">
        <v>0</v>
      </c>
      <c r="T53" s="48"/>
      <c r="U53" s="45">
        <v>0</v>
      </c>
      <c r="V53" s="48"/>
      <c r="W53" s="48"/>
      <c r="X53" s="35"/>
      <c r="Z53" s="35"/>
      <c r="AA53" s="35"/>
      <c r="AB53" s="45">
        <v>317089</v>
      </c>
      <c r="AC53" s="65"/>
      <c r="AD53" s="45">
        <v>213900</v>
      </c>
      <c r="AE53" s="65"/>
      <c r="AF53" s="45">
        <v>0</v>
      </c>
      <c r="AG53" s="65"/>
      <c r="AH53" s="48">
        <f t="shared" si="2"/>
        <v>7097441</v>
      </c>
      <c r="AI53" s="48"/>
      <c r="AJ53" s="48">
        <v>0</v>
      </c>
      <c r="AK53" s="48"/>
      <c r="AL53" s="45">
        <v>971205</v>
      </c>
      <c r="AM53" s="45"/>
      <c r="AN53" s="45">
        <v>2662697</v>
      </c>
      <c r="AO53" s="45"/>
      <c r="AP53" s="45">
        <v>0</v>
      </c>
      <c r="AQ53" s="45"/>
      <c r="AR53" s="45">
        <f>+'GVFund Rev'!U53+'GVFund Rev'!W53-'GVFund Exp'!AH53-'GVFund Exp'!AL53+AJ53+AN53+AP53-'GV Fund BS'!S53</f>
        <v>0</v>
      </c>
      <c r="AS53" s="48"/>
    </row>
    <row r="54" spans="1:45" s="44" customFormat="1" ht="12.75" customHeight="1">
      <c r="A54" s="35" t="s">
        <v>342</v>
      </c>
      <c r="C54" s="35" t="s">
        <v>27</v>
      </c>
      <c r="E54" s="45">
        <v>90074000</v>
      </c>
      <c r="F54" s="48"/>
      <c r="G54" s="45">
        <v>319334000</v>
      </c>
      <c r="H54" s="48"/>
      <c r="I54" s="45">
        <f>58101000+36849000</f>
        <v>94950000</v>
      </c>
      <c r="J54" s="48"/>
      <c r="K54" s="45">
        <v>22460000</v>
      </c>
      <c r="L54" s="48"/>
      <c r="M54" s="45">
        <v>58229000</v>
      </c>
      <c r="N54" s="48"/>
      <c r="O54" s="45">
        <v>39598000</v>
      </c>
      <c r="P54" s="48"/>
      <c r="Q54" s="45">
        <f>20841000+10446000</f>
        <v>31287000</v>
      </c>
      <c r="R54" s="48"/>
      <c r="S54" s="45">
        <v>66720000</v>
      </c>
      <c r="T54" s="48"/>
      <c r="U54" s="45">
        <v>0</v>
      </c>
      <c r="V54" s="48"/>
      <c r="W54" s="48"/>
      <c r="X54" s="35"/>
      <c r="Z54" s="35"/>
      <c r="AA54" s="35"/>
      <c r="AB54" s="45">
        <v>53048000</v>
      </c>
      <c r="AC54" s="65"/>
      <c r="AD54" s="45">
        <v>32942000</v>
      </c>
      <c r="AE54" s="65"/>
      <c r="AF54" s="45">
        <f>477000+475000</f>
        <v>952000</v>
      </c>
      <c r="AG54" s="65"/>
      <c r="AH54" s="48">
        <f t="shared" ref="AH54:AH71" si="3">SUM(E54:AF54)</f>
        <v>809594000</v>
      </c>
      <c r="AI54" s="48"/>
      <c r="AJ54" s="48">
        <v>0</v>
      </c>
      <c r="AK54" s="48"/>
      <c r="AL54" s="45">
        <f>54525000+13767000</f>
        <v>68292000</v>
      </c>
      <c r="AM54" s="45"/>
      <c r="AN54" s="45">
        <v>419443000</v>
      </c>
      <c r="AO54" s="45"/>
      <c r="AP54" s="45">
        <v>0</v>
      </c>
      <c r="AQ54" s="45"/>
      <c r="AR54" s="45">
        <f>+'GVFund Rev'!U54+'GVFund Rev'!W54-'GVFund Exp'!AH54-'GVFund Exp'!AL54+AJ54+AN54+AP54-'GV Fund BS'!S54</f>
        <v>0</v>
      </c>
      <c r="AS54" s="48"/>
    </row>
    <row r="55" spans="1:45" s="44" customFormat="1" ht="12.75" customHeight="1">
      <c r="A55" s="35" t="s">
        <v>74</v>
      </c>
      <c r="C55" s="35" t="s">
        <v>27</v>
      </c>
      <c r="E55" s="45">
        <v>14392714</v>
      </c>
      <c r="F55" s="48"/>
      <c r="G55" s="45">
        <v>17168999</v>
      </c>
      <c r="H55" s="48"/>
      <c r="I55" s="45">
        <v>5207271</v>
      </c>
      <c r="J55" s="48"/>
      <c r="K55" s="45">
        <v>386646</v>
      </c>
      <c r="L55" s="48"/>
      <c r="M55" s="45">
        <v>2969125</v>
      </c>
      <c r="N55" s="48"/>
      <c r="O55" s="45">
        <v>3000584</v>
      </c>
      <c r="P55" s="48"/>
      <c r="Q55" s="45">
        <v>2119740</v>
      </c>
      <c r="R55" s="48"/>
      <c r="S55" s="45">
        <v>3595556</v>
      </c>
      <c r="T55" s="48"/>
      <c r="U55" s="45">
        <v>0</v>
      </c>
      <c r="V55" s="48"/>
      <c r="W55" s="48"/>
      <c r="X55" s="35"/>
      <c r="Z55" s="35"/>
      <c r="AA55" s="35"/>
      <c r="AB55" s="45">
        <v>1973953</v>
      </c>
      <c r="AC55" s="65"/>
      <c r="AD55" s="45">
        <v>251841</v>
      </c>
      <c r="AE55" s="65"/>
      <c r="AF55" s="45">
        <v>0</v>
      </c>
      <c r="AG55" s="65"/>
      <c r="AH55" s="48">
        <f t="shared" si="3"/>
        <v>51066429</v>
      </c>
      <c r="AI55" s="48"/>
      <c r="AJ55" s="48">
        <v>0</v>
      </c>
      <c r="AK55" s="48"/>
      <c r="AL55" s="45">
        <v>4576318</v>
      </c>
      <c r="AM55" s="45"/>
      <c r="AN55" s="45">
        <v>13121681</v>
      </c>
      <c r="AO55" s="45"/>
      <c r="AP55" s="45">
        <v>0</v>
      </c>
      <c r="AQ55" s="45"/>
      <c r="AR55" s="45">
        <f>+'GVFund Rev'!U55+'GVFund Rev'!W55-'GVFund Exp'!AH55-'GVFund Exp'!AL55+AJ55+AN55+AP55-'GV Fund BS'!S55</f>
        <v>0</v>
      </c>
      <c r="AS55" s="48"/>
    </row>
    <row r="56" spans="1:45" s="46" customFormat="1" ht="12.75" customHeight="1">
      <c r="A56" s="35" t="s">
        <v>75</v>
      </c>
      <c r="B56" s="44"/>
      <c r="C56" s="35" t="s">
        <v>76</v>
      </c>
      <c r="D56" s="44"/>
      <c r="E56" s="45">
        <v>1041221</v>
      </c>
      <c r="F56" s="48"/>
      <c r="G56" s="45">
        <v>1987530</v>
      </c>
      <c r="H56" s="48"/>
      <c r="I56" s="45">
        <v>366475</v>
      </c>
      <c r="J56" s="48"/>
      <c r="K56" s="45">
        <v>478148</v>
      </c>
      <c r="L56" s="48"/>
      <c r="M56" s="45">
        <v>309430</v>
      </c>
      <c r="N56" s="48"/>
      <c r="O56" s="45">
        <v>238562</v>
      </c>
      <c r="P56" s="48"/>
      <c r="Q56" s="45">
        <v>0</v>
      </c>
      <c r="R56" s="48"/>
      <c r="S56" s="45">
        <v>249152</v>
      </c>
      <c r="T56" s="48"/>
      <c r="U56" s="45">
        <v>0</v>
      </c>
      <c r="V56" s="48"/>
      <c r="W56" s="48"/>
      <c r="X56" s="35"/>
      <c r="Y56" s="44"/>
      <c r="Z56" s="35"/>
      <c r="AA56" s="35"/>
      <c r="AB56" s="45">
        <v>2068204</v>
      </c>
      <c r="AC56" s="65"/>
      <c r="AD56" s="45">
        <v>190142</v>
      </c>
      <c r="AE56" s="65"/>
      <c r="AF56" s="45">
        <v>0</v>
      </c>
      <c r="AG56" s="65"/>
      <c r="AH56" s="48">
        <f t="shared" si="3"/>
        <v>6928864</v>
      </c>
      <c r="AI56" s="48"/>
      <c r="AJ56" s="48">
        <v>0</v>
      </c>
      <c r="AK56" s="48"/>
      <c r="AL56" s="45">
        <v>884857</v>
      </c>
      <c r="AM56" s="45"/>
      <c r="AN56" s="45">
        <v>1580406</v>
      </c>
      <c r="AO56" s="45"/>
      <c r="AP56" s="45">
        <v>0</v>
      </c>
      <c r="AQ56" s="45"/>
      <c r="AR56" s="45">
        <f>+'GVFund Rev'!U56+'GVFund Rev'!W56-'GVFund Exp'!AH56-'GVFund Exp'!AL56+AJ56+AN56+AP56-'GV Fund BS'!S56</f>
        <v>0</v>
      </c>
      <c r="AS56" s="48"/>
    </row>
    <row r="57" spans="1:45" s="44" customFormat="1" ht="12.75" customHeight="1">
      <c r="A57" s="35" t="s">
        <v>77</v>
      </c>
      <c r="C57" s="35" t="s">
        <v>43</v>
      </c>
      <c r="E57" s="45">
        <v>106909000</v>
      </c>
      <c r="F57" s="48"/>
      <c r="G57" s="45">
        <v>449520000</v>
      </c>
      <c r="H57" s="48"/>
      <c r="I57" s="45">
        <v>66773000</v>
      </c>
      <c r="J57" s="48"/>
      <c r="K57" s="45">
        <v>39621000</v>
      </c>
      <c r="L57" s="48"/>
      <c r="M57" s="45">
        <v>87939000</v>
      </c>
      <c r="N57" s="48"/>
      <c r="O57" s="45">
        <v>102671000</v>
      </c>
      <c r="P57" s="48"/>
      <c r="Q57" s="45">
        <v>0</v>
      </c>
      <c r="R57" s="48"/>
      <c r="S57" s="45">
        <v>119862000</v>
      </c>
      <c r="T57" s="48"/>
      <c r="U57" s="45">
        <v>0</v>
      </c>
      <c r="V57" s="48"/>
      <c r="W57" s="48"/>
      <c r="X57" s="35"/>
      <c r="Z57" s="35"/>
      <c r="AA57" s="35"/>
      <c r="AB57" s="45">
        <v>90149000</v>
      </c>
      <c r="AC57" s="65"/>
      <c r="AD57" s="45">
        <v>41640000</v>
      </c>
      <c r="AE57" s="65"/>
      <c r="AF57" s="45">
        <v>0</v>
      </c>
      <c r="AG57" s="65"/>
      <c r="AH57" s="48">
        <f t="shared" si="3"/>
        <v>1105084000</v>
      </c>
      <c r="AI57" s="48"/>
      <c r="AJ57" s="48">
        <v>0</v>
      </c>
      <c r="AK57" s="48"/>
      <c r="AL57" s="45">
        <f>106828000+11750000</f>
        <v>118578000</v>
      </c>
      <c r="AM57" s="45"/>
      <c r="AN57" s="45">
        <v>390528000</v>
      </c>
      <c r="AO57" s="45"/>
      <c r="AP57" s="45">
        <v>0</v>
      </c>
      <c r="AQ57" s="45"/>
      <c r="AR57" s="45">
        <f>+'GVFund Rev'!U57+'GVFund Rev'!W57-'GVFund Exp'!AH57-'GVFund Exp'!AL57+AJ57+AN57+AP57-'GV Fund BS'!S57</f>
        <v>0</v>
      </c>
      <c r="AS57" s="48"/>
    </row>
    <row r="58" spans="1:45" s="44" customFormat="1" ht="12.75" customHeight="1">
      <c r="A58" s="35" t="s">
        <v>94</v>
      </c>
      <c r="C58" s="35" t="s">
        <v>94</v>
      </c>
      <c r="E58" s="45">
        <v>617822</v>
      </c>
      <c r="F58" s="48"/>
      <c r="G58" s="45">
        <v>1613865</v>
      </c>
      <c r="H58" s="48"/>
      <c r="I58" s="45">
        <v>0</v>
      </c>
      <c r="J58" s="48"/>
      <c r="K58" s="45">
        <v>170348</v>
      </c>
      <c r="L58" s="48"/>
      <c r="M58" s="45">
        <v>353476</v>
      </c>
      <c r="N58" s="48"/>
      <c r="O58" s="45">
        <v>342263</v>
      </c>
      <c r="P58" s="48"/>
      <c r="Q58" s="45">
        <v>0</v>
      </c>
      <c r="R58" s="48"/>
      <c r="S58" s="45">
        <v>847723</v>
      </c>
      <c r="T58" s="48"/>
      <c r="U58" s="45">
        <v>0</v>
      </c>
      <c r="V58" s="48"/>
      <c r="W58" s="48"/>
      <c r="X58" s="35"/>
      <c r="Z58" s="35"/>
      <c r="AA58" s="35"/>
      <c r="AB58" s="45">
        <v>0</v>
      </c>
      <c r="AC58" s="65"/>
      <c r="AD58" s="45">
        <v>5447</v>
      </c>
      <c r="AE58" s="65"/>
      <c r="AF58" s="45">
        <v>0</v>
      </c>
      <c r="AG58" s="65"/>
      <c r="AH58" s="48">
        <f>SUM(E58:AF58)</f>
        <v>3950944</v>
      </c>
      <c r="AI58" s="48"/>
      <c r="AJ58" s="48">
        <v>0</v>
      </c>
      <c r="AK58" s="48"/>
      <c r="AL58" s="45">
        <v>1966115</v>
      </c>
      <c r="AM58" s="45"/>
      <c r="AN58" s="45">
        <v>1941949</v>
      </c>
      <c r="AO58" s="45"/>
      <c r="AP58" s="45">
        <v>4301</v>
      </c>
      <c r="AQ58" s="45"/>
      <c r="AR58" s="45">
        <f>+'GVFund Rev'!U58+'GVFund Rev'!W58-'GVFund Exp'!AH58-'GVFund Exp'!AL58+AJ58+AN58+AP58-'GV Fund BS'!S59</f>
        <v>0</v>
      </c>
      <c r="AS58" s="48"/>
    </row>
    <row r="59" spans="1:45" s="44" customFormat="1" ht="12.75" customHeight="1">
      <c r="A59" s="35" t="s">
        <v>78</v>
      </c>
      <c r="C59" s="35" t="s">
        <v>19</v>
      </c>
      <c r="E59" s="45">
        <v>1103255</v>
      </c>
      <c r="F59" s="48"/>
      <c r="G59" s="45">
        <v>3589404</v>
      </c>
      <c r="H59" s="48"/>
      <c r="I59" s="45">
        <v>161431</v>
      </c>
      <c r="J59" s="48"/>
      <c r="K59" s="45">
        <v>192405</v>
      </c>
      <c r="L59" s="48"/>
      <c r="M59" s="45">
        <v>1174475</v>
      </c>
      <c r="N59" s="48"/>
      <c r="O59" s="45">
        <v>107704</v>
      </c>
      <c r="P59" s="48"/>
      <c r="Q59" s="45">
        <v>149308</v>
      </c>
      <c r="R59" s="48"/>
      <c r="S59" s="45">
        <v>952076</v>
      </c>
      <c r="T59" s="48"/>
      <c r="U59" s="45">
        <v>0</v>
      </c>
      <c r="V59" s="48"/>
      <c r="W59" s="48"/>
      <c r="X59" s="35"/>
      <c r="Z59" s="35"/>
      <c r="AA59" s="35"/>
      <c r="AB59" s="45">
        <v>477512</v>
      </c>
      <c r="AC59" s="65"/>
      <c r="AD59" s="45">
        <v>140956</v>
      </c>
      <c r="AE59" s="65"/>
      <c r="AF59" s="45">
        <v>24000</v>
      </c>
      <c r="AG59" s="65"/>
      <c r="AH59" s="48">
        <f t="shared" si="3"/>
        <v>8072526</v>
      </c>
      <c r="AI59" s="48"/>
      <c r="AJ59" s="48">
        <v>0</v>
      </c>
      <c r="AK59" s="48"/>
      <c r="AL59" s="45">
        <f>161000+77265</f>
        <v>238265</v>
      </c>
      <c r="AM59" s="45"/>
      <c r="AN59" s="45">
        <v>2762829</v>
      </c>
      <c r="AO59" s="45"/>
      <c r="AP59" s="45">
        <v>0</v>
      </c>
      <c r="AQ59" s="45"/>
      <c r="AR59" s="45">
        <f>+'GVFund Rev'!U59+'GVFund Rev'!W59-'GVFund Exp'!AH59-'GVFund Exp'!AL59+AJ59+AN59+AP59-'GV Fund BS'!S60</f>
        <v>0</v>
      </c>
      <c r="AS59" s="48"/>
    </row>
    <row r="60" spans="1:45" s="44" customFormat="1" ht="12.75" customHeight="1">
      <c r="A60" s="35" t="s">
        <v>79</v>
      </c>
      <c r="C60" s="35" t="s">
        <v>80</v>
      </c>
      <c r="E60" s="45">
        <v>1267082</v>
      </c>
      <c r="F60" s="48"/>
      <c r="G60" s="45">
        <v>2137879</v>
      </c>
      <c r="H60" s="48"/>
      <c r="I60" s="45">
        <v>40966</v>
      </c>
      <c r="J60" s="48"/>
      <c r="K60" s="45">
        <v>11667</v>
      </c>
      <c r="L60" s="48"/>
      <c r="M60" s="45">
        <v>314502</v>
      </c>
      <c r="N60" s="48"/>
      <c r="O60" s="45">
        <v>28667</v>
      </c>
      <c r="P60" s="48"/>
      <c r="Q60" s="45">
        <v>25724</v>
      </c>
      <c r="R60" s="48"/>
      <c r="S60" s="45">
        <v>85269</v>
      </c>
      <c r="T60" s="48"/>
      <c r="U60" s="45">
        <v>0</v>
      </c>
      <c r="V60" s="48"/>
      <c r="W60" s="48"/>
      <c r="X60" s="35"/>
      <c r="Z60" s="35"/>
      <c r="AA60" s="35"/>
      <c r="AB60" s="45">
        <v>0</v>
      </c>
      <c r="AC60" s="65"/>
      <c r="AD60" s="45">
        <v>0</v>
      </c>
      <c r="AE60" s="65"/>
      <c r="AF60" s="45">
        <v>0</v>
      </c>
      <c r="AG60" s="65"/>
      <c r="AH60" s="48">
        <f t="shared" si="3"/>
        <v>3911756</v>
      </c>
      <c r="AI60" s="48"/>
      <c r="AJ60" s="48">
        <v>0</v>
      </c>
      <c r="AK60" s="48"/>
      <c r="AL60" s="45">
        <v>108091</v>
      </c>
      <c r="AM60" s="45"/>
      <c r="AN60" s="45">
        <v>1520540</v>
      </c>
      <c r="AO60" s="45"/>
      <c r="AP60" s="45">
        <v>0</v>
      </c>
      <c r="AQ60" s="45"/>
      <c r="AR60" s="45">
        <f>+'GVFund Rev'!U60+'GVFund Rev'!W60-'GVFund Exp'!AH60-'GVFund Exp'!AL60+AJ60+AN60+AP60-'GV Fund BS'!S61</f>
        <v>0</v>
      </c>
      <c r="AS60" s="48"/>
    </row>
    <row r="61" spans="1:45" s="44" customFormat="1" ht="12.75" customHeight="1">
      <c r="A61" s="35" t="s">
        <v>81</v>
      </c>
      <c r="C61" s="35" t="s">
        <v>81</v>
      </c>
      <c r="E61" s="45">
        <v>2328840</v>
      </c>
      <c r="F61" s="48"/>
      <c r="G61" s="45">
        <v>3150472</v>
      </c>
      <c r="H61" s="48"/>
      <c r="I61" s="45">
        <v>16428</v>
      </c>
      <c r="J61" s="48"/>
      <c r="K61" s="45">
        <v>1098569</v>
      </c>
      <c r="L61" s="48"/>
      <c r="M61" s="45">
        <v>856153</v>
      </c>
      <c r="N61" s="48"/>
      <c r="O61" s="45">
        <v>186460</v>
      </c>
      <c r="P61" s="48"/>
      <c r="Q61" s="45">
        <v>584409</v>
      </c>
      <c r="R61" s="48"/>
      <c r="S61" s="45">
        <v>461706</v>
      </c>
      <c r="T61" s="48"/>
      <c r="U61" s="45">
        <v>0</v>
      </c>
      <c r="V61" s="48"/>
      <c r="W61" s="48"/>
      <c r="X61" s="35"/>
      <c r="Z61" s="35"/>
      <c r="AA61" s="35"/>
      <c r="AB61" s="45">
        <v>225279</v>
      </c>
      <c r="AC61" s="65"/>
      <c r="AD61" s="45">
        <v>30380</v>
      </c>
      <c r="AE61" s="65"/>
      <c r="AF61" s="45">
        <v>0</v>
      </c>
      <c r="AG61" s="65"/>
      <c r="AH61" s="48">
        <f t="shared" si="3"/>
        <v>8938696</v>
      </c>
      <c r="AI61" s="48"/>
      <c r="AJ61" s="48">
        <v>0</v>
      </c>
      <c r="AK61" s="48"/>
      <c r="AL61" s="45">
        <v>0</v>
      </c>
      <c r="AM61" s="45"/>
      <c r="AN61" s="45">
        <v>1310863</v>
      </c>
      <c r="AO61" s="45"/>
      <c r="AP61" s="45">
        <v>0</v>
      </c>
      <c r="AQ61" s="45"/>
      <c r="AR61" s="45">
        <f>+'GVFund Rev'!U61+'GVFund Rev'!W61-'GVFund Exp'!AH61-'GVFund Exp'!AL61+AJ61+AN61+AP61-'GV Fund BS'!S62</f>
        <v>0</v>
      </c>
      <c r="AS61" s="48"/>
    </row>
    <row r="62" spans="1:45" s="44" customFormat="1" ht="12.75" customHeight="1">
      <c r="A62" s="47" t="s">
        <v>465</v>
      </c>
      <c r="B62" s="47"/>
      <c r="C62" s="47" t="s">
        <v>57</v>
      </c>
      <c r="E62" s="45">
        <v>350016</v>
      </c>
      <c r="F62" s="48"/>
      <c r="G62" s="45">
        <v>1289793</v>
      </c>
      <c r="H62" s="48"/>
      <c r="I62" s="45">
        <v>30993</v>
      </c>
      <c r="J62" s="48"/>
      <c r="K62" s="45">
        <v>0</v>
      </c>
      <c r="L62" s="48"/>
      <c r="M62" s="45">
        <v>482198</v>
      </c>
      <c r="N62" s="48"/>
      <c r="O62" s="45">
        <v>497315</v>
      </c>
      <c r="P62" s="48"/>
      <c r="Q62" s="45">
        <v>0</v>
      </c>
      <c r="R62" s="48"/>
      <c r="S62" s="45">
        <v>622607</v>
      </c>
      <c r="T62" s="48"/>
      <c r="U62" s="45">
        <v>0</v>
      </c>
      <c r="V62" s="48"/>
      <c r="W62" s="48"/>
      <c r="X62" s="35"/>
      <c r="Z62" s="35"/>
      <c r="AA62" s="35"/>
      <c r="AB62" s="45">
        <v>80795</v>
      </c>
      <c r="AC62" s="65"/>
      <c r="AD62" s="45">
        <v>14041</v>
      </c>
      <c r="AE62" s="65"/>
      <c r="AF62" s="45">
        <v>0</v>
      </c>
      <c r="AG62" s="65"/>
      <c r="AH62" s="48">
        <f t="shared" si="3"/>
        <v>3367758</v>
      </c>
      <c r="AI62" s="48"/>
      <c r="AJ62" s="48">
        <v>0</v>
      </c>
      <c r="AK62" s="48"/>
      <c r="AL62" s="45">
        <v>0</v>
      </c>
      <c r="AM62" s="45"/>
      <c r="AN62" s="45">
        <v>1406489</v>
      </c>
      <c r="AO62" s="45"/>
      <c r="AP62" s="45">
        <v>0</v>
      </c>
      <c r="AQ62" s="45"/>
      <c r="AR62" s="45">
        <f>+'GVFund Rev'!U62+'GVFund Rev'!W62-'GVFund Exp'!AH62-'GVFund Exp'!AL62+AJ62+AN62+AP62-'GV Fund BS'!S63</f>
        <v>0</v>
      </c>
      <c r="AS62" s="48"/>
    </row>
    <row r="63" spans="1:45" s="46" customFormat="1" ht="12.75" customHeight="1">
      <c r="A63" s="35" t="s">
        <v>82</v>
      </c>
      <c r="B63" s="44"/>
      <c r="C63" s="35" t="s">
        <v>13</v>
      </c>
      <c r="D63" s="44"/>
      <c r="E63" s="45">
        <v>8069113</v>
      </c>
      <c r="F63" s="48"/>
      <c r="G63" s="45">
        <v>22414019</v>
      </c>
      <c r="H63" s="48"/>
      <c r="I63" s="45">
        <v>2646784</v>
      </c>
      <c r="J63" s="48"/>
      <c r="K63" s="45">
        <v>0</v>
      </c>
      <c r="L63" s="48"/>
      <c r="M63" s="45">
        <v>4007068</v>
      </c>
      <c r="N63" s="48"/>
      <c r="O63" s="45">
        <v>2324009</v>
      </c>
      <c r="P63" s="48"/>
      <c r="Q63" s="45">
        <v>0</v>
      </c>
      <c r="R63" s="48"/>
      <c r="S63" s="45">
        <v>8036498</v>
      </c>
      <c r="T63" s="48"/>
      <c r="U63" s="45">
        <v>0</v>
      </c>
      <c r="V63" s="48"/>
      <c r="W63" s="48"/>
      <c r="X63" s="35"/>
      <c r="Y63" s="44"/>
      <c r="Z63" s="35"/>
      <c r="AA63" s="35"/>
      <c r="AB63" s="45">
        <v>1482877</v>
      </c>
      <c r="AC63" s="65"/>
      <c r="AD63" s="45">
        <v>723034</v>
      </c>
      <c r="AE63" s="65"/>
      <c r="AF63" s="45">
        <v>0</v>
      </c>
      <c r="AG63" s="65"/>
      <c r="AH63" s="48">
        <f t="shared" si="3"/>
        <v>49703402</v>
      </c>
      <c r="AI63" s="48"/>
      <c r="AJ63" s="48">
        <v>0</v>
      </c>
      <c r="AK63" s="48"/>
      <c r="AL63" s="45">
        <v>22656112</v>
      </c>
      <c r="AM63" s="45"/>
      <c r="AN63" s="45">
        <v>18513503</v>
      </c>
      <c r="AO63" s="45"/>
      <c r="AP63" s="45">
        <f>46483+6646</f>
        <v>53129</v>
      </c>
      <c r="AQ63" s="45"/>
      <c r="AR63" s="45">
        <f>+'GVFund Rev'!U63+'GVFund Rev'!W63-'GVFund Exp'!AH63-'GVFund Exp'!AL63+AJ63+AN63+AP63-'GV Fund BS'!S64</f>
        <v>0</v>
      </c>
      <c r="AS63" s="48"/>
    </row>
    <row r="64" spans="1:45" s="46" customFormat="1" ht="12.75" customHeight="1">
      <c r="A64" s="35" t="s">
        <v>83</v>
      </c>
      <c r="B64" s="44"/>
      <c r="C64" s="35" t="s">
        <v>66</v>
      </c>
      <c r="D64" s="44"/>
      <c r="E64" s="45">
        <v>17125159</v>
      </c>
      <c r="F64" s="48"/>
      <c r="G64" s="45">
        <v>95240850</v>
      </c>
      <c r="H64" s="48"/>
      <c r="I64" s="45">
        <f>22259601+15047900</f>
        <v>37307501</v>
      </c>
      <c r="J64" s="48"/>
      <c r="K64" s="45">
        <v>2280237</v>
      </c>
      <c r="L64" s="48"/>
      <c r="M64" s="45">
        <v>0</v>
      </c>
      <c r="N64" s="48"/>
      <c r="O64" s="45">
        <v>40991411</v>
      </c>
      <c r="P64" s="48"/>
      <c r="Q64" s="45">
        <v>4143788</v>
      </c>
      <c r="R64" s="48"/>
      <c r="S64" s="45">
        <v>34908638</v>
      </c>
      <c r="T64" s="48"/>
      <c r="U64" s="45">
        <v>0</v>
      </c>
      <c r="V64" s="48"/>
      <c r="W64" s="48"/>
      <c r="X64" s="35"/>
      <c r="Y64" s="44"/>
      <c r="Z64" s="35"/>
      <c r="AA64" s="35"/>
      <c r="AB64" s="45">
        <v>8047222</v>
      </c>
      <c r="AC64" s="65"/>
      <c r="AD64" s="45">
        <v>3557790</v>
      </c>
      <c r="AE64" s="65"/>
      <c r="AF64" s="45">
        <v>586476</v>
      </c>
      <c r="AG64" s="65"/>
      <c r="AH64" s="48">
        <f t="shared" si="3"/>
        <v>244189072</v>
      </c>
      <c r="AI64" s="48"/>
      <c r="AJ64" s="48">
        <v>0</v>
      </c>
      <c r="AK64" s="48"/>
      <c r="AL64" s="45">
        <f>22528097+12678413</f>
        <v>35206510</v>
      </c>
      <c r="AM64" s="45"/>
      <c r="AN64" s="45">
        <v>124995145</v>
      </c>
      <c r="AO64" s="45"/>
      <c r="AP64" s="45">
        <v>0</v>
      </c>
      <c r="AQ64" s="45"/>
      <c r="AR64" s="45">
        <f>+'GVFund Rev'!U65+'GVFund Rev'!W65-'GVFund Exp'!AH64-'GVFund Exp'!AL64+AJ64+AN64+AP64-'GV Fund BS'!S65</f>
        <v>0</v>
      </c>
      <c r="AS64" s="48"/>
    </row>
    <row r="65" spans="1:46" s="44" customFormat="1" ht="12.75" customHeight="1">
      <c r="A65" s="64"/>
      <c r="B65" s="46"/>
      <c r="C65" s="64"/>
      <c r="D65" s="46"/>
      <c r="E65" s="45"/>
      <c r="F65" s="48"/>
      <c r="G65" s="45"/>
      <c r="H65" s="48"/>
      <c r="I65" s="45"/>
      <c r="J65" s="48"/>
      <c r="K65" s="45"/>
      <c r="L65" s="48"/>
      <c r="M65" s="45"/>
      <c r="N65" s="48"/>
      <c r="O65" s="45"/>
      <c r="P65" s="48"/>
      <c r="Q65" s="45"/>
      <c r="R65" s="48"/>
      <c r="S65" s="45"/>
      <c r="T65" s="48"/>
      <c r="U65" s="45"/>
      <c r="V65" s="48"/>
      <c r="W65" s="48"/>
      <c r="X65" s="35"/>
      <c r="Z65" s="35"/>
      <c r="AA65" s="35"/>
      <c r="AB65" s="45"/>
      <c r="AC65" s="65"/>
      <c r="AD65" s="45"/>
      <c r="AE65" s="65"/>
      <c r="AF65" s="45"/>
      <c r="AG65" s="65"/>
      <c r="AH65" s="48"/>
      <c r="AI65" s="48"/>
      <c r="AJ65" s="45"/>
      <c r="AK65" s="48"/>
      <c r="AL65" s="48" t="s">
        <v>484</v>
      </c>
      <c r="AM65" s="45"/>
      <c r="AN65" s="45"/>
      <c r="AO65" s="45"/>
      <c r="AP65" s="45"/>
      <c r="AQ65" s="45"/>
      <c r="AR65" s="45"/>
      <c r="AS65" s="48"/>
    </row>
    <row r="66" spans="1:46" s="44" customFormat="1" ht="12.75" customHeight="1">
      <c r="A66" s="35" t="s">
        <v>84</v>
      </c>
      <c r="C66" s="35" t="s">
        <v>45</v>
      </c>
      <c r="E66" s="94">
        <v>1065435</v>
      </c>
      <c r="F66" s="68"/>
      <c r="G66" s="94">
        <v>1185417</v>
      </c>
      <c r="H66" s="68"/>
      <c r="I66" s="94">
        <v>17115</v>
      </c>
      <c r="J66" s="68"/>
      <c r="K66" s="94">
        <v>0</v>
      </c>
      <c r="L66" s="68"/>
      <c r="M66" s="94">
        <v>359814</v>
      </c>
      <c r="N66" s="68"/>
      <c r="O66" s="94">
        <v>55217</v>
      </c>
      <c r="P66" s="68"/>
      <c r="Q66" s="94">
        <v>0</v>
      </c>
      <c r="R66" s="68"/>
      <c r="S66" s="94">
        <v>99494</v>
      </c>
      <c r="T66" s="68"/>
      <c r="U66" s="94">
        <v>0</v>
      </c>
      <c r="V66" s="68"/>
      <c r="W66" s="68"/>
      <c r="X66" s="64"/>
      <c r="Y66" s="46"/>
      <c r="Z66" s="64"/>
      <c r="AA66" s="64"/>
      <c r="AB66" s="94">
        <v>95368</v>
      </c>
      <c r="AC66" s="66"/>
      <c r="AD66" s="94">
        <v>119408</v>
      </c>
      <c r="AE66" s="66"/>
      <c r="AF66" s="94">
        <v>0</v>
      </c>
      <c r="AG66" s="66"/>
      <c r="AH66" s="68">
        <f t="shared" si="3"/>
        <v>2997268</v>
      </c>
      <c r="AI66" s="68"/>
      <c r="AJ66" s="68">
        <v>0</v>
      </c>
      <c r="AK66" s="68"/>
      <c r="AL66" s="94">
        <v>191594</v>
      </c>
      <c r="AM66" s="45"/>
      <c r="AN66" s="45">
        <v>1870682</v>
      </c>
      <c r="AO66" s="45"/>
      <c r="AP66" s="45">
        <v>0</v>
      </c>
      <c r="AQ66" s="45"/>
      <c r="AR66" s="45">
        <f>+'GVFund Rev'!U66+'GVFund Rev'!W66-'GVFund Exp'!AH66-'GVFund Exp'!AL66+AJ66+AN66+AP66-'GV Fund BS'!S66</f>
        <v>0</v>
      </c>
      <c r="AS66" s="48"/>
    </row>
    <row r="67" spans="1:46" s="44" customFormat="1" ht="12.75" customHeight="1">
      <c r="A67" s="35" t="s">
        <v>85</v>
      </c>
      <c r="C67" s="35" t="s">
        <v>85</v>
      </c>
      <c r="E67" s="45">
        <v>3326526</v>
      </c>
      <c r="F67" s="48"/>
      <c r="G67" s="45">
        <v>5494652</v>
      </c>
      <c r="H67" s="48"/>
      <c r="I67" s="45">
        <v>501339</v>
      </c>
      <c r="J67" s="48"/>
      <c r="K67" s="45">
        <v>195960</v>
      </c>
      <c r="L67" s="48"/>
      <c r="M67" s="45">
        <v>944909</v>
      </c>
      <c r="N67" s="48"/>
      <c r="O67" s="45">
        <v>565067</v>
      </c>
      <c r="P67" s="48"/>
      <c r="Q67" s="45">
        <f>834468+15700</f>
        <v>850168</v>
      </c>
      <c r="R67" s="48"/>
      <c r="S67" s="45">
        <v>2885875</v>
      </c>
      <c r="T67" s="48"/>
      <c r="U67" s="45">
        <v>0</v>
      </c>
      <c r="V67" s="48"/>
      <c r="W67" s="48"/>
      <c r="X67" s="35"/>
      <c r="Z67" s="35"/>
      <c r="AA67" s="35"/>
      <c r="AB67" s="45">
        <v>107723</v>
      </c>
      <c r="AC67" s="65"/>
      <c r="AD67" s="45">
        <v>41913</v>
      </c>
      <c r="AE67" s="65"/>
      <c r="AF67" s="45">
        <v>0</v>
      </c>
      <c r="AG67" s="65"/>
      <c r="AH67" s="48">
        <f t="shared" si="3"/>
        <v>14914132</v>
      </c>
      <c r="AI67" s="48"/>
      <c r="AJ67" s="48">
        <v>0</v>
      </c>
      <c r="AK67" s="48"/>
      <c r="AL67" s="45">
        <v>462465</v>
      </c>
      <c r="AM67" s="45"/>
      <c r="AN67" s="45">
        <v>9753097</v>
      </c>
      <c r="AO67" s="45"/>
      <c r="AP67" s="45">
        <v>0</v>
      </c>
      <c r="AQ67" s="45"/>
      <c r="AR67" s="45">
        <f>+'GVFund Rev'!U67+'GVFund Rev'!W67-'GVFund Exp'!AH67-'GVFund Exp'!AL67+AJ67+AN67+AP67-'GV Fund BS'!S67</f>
        <v>0</v>
      </c>
      <c r="AS67" s="48"/>
    </row>
    <row r="68" spans="1:46" s="44" customFormat="1" ht="12.75" customHeight="1">
      <c r="A68" s="35" t="s">
        <v>86</v>
      </c>
      <c r="C68" s="35" t="s">
        <v>86</v>
      </c>
      <c r="E68" s="45">
        <v>4145850</v>
      </c>
      <c r="F68" s="48"/>
      <c r="G68" s="45">
        <f>6711910+5021164+2775024+647593</f>
        <v>15155691</v>
      </c>
      <c r="H68" s="48"/>
      <c r="I68" s="45">
        <v>144508</v>
      </c>
      <c r="J68" s="48"/>
      <c r="K68" s="45">
        <v>0</v>
      </c>
      <c r="L68" s="48"/>
      <c r="M68" s="45">
        <v>2797245</v>
      </c>
      <c r="N68" s="48"/>
      <c r="O68" s="45">
        <v>2399881</v>
      </c>
      <c r="P68" s="48"/>
      <c r="Q68" s="45">
        <v>687147</v>
      </c>
      <c r="R68" s="48"/>
      <c r="S68" s="45">
        <v>3334830</v>
      </c>
      <c r="T68" s="48"/>
      <c r="U68" s="45">
        <v>0</v>
      </c>
      <c r="V68" s="48"/>
      <c r="W68" s="48"/>
      <c r="X68" s="35"/>
      <c r="Z68" s="35"/>
      <c r="AA68" s="35"/>
      <c r="AB68" s="45">
        <v>563915</v>
      </c>
      <c r="AC68" s="65"/>
      <c r="AD68" s="45">
        <v>759014</v>
      </c>
      <c r="AE68" s="65"/>
      <c r="AF68" s="45">
        <v>0</v>
      </c>
      <c r="AG68" s="65"/>
      <c r="AH68" s="48">
        <f t="shared" si="3"/>
        <v>29988081</v>
      </c>
      <c r="AI68" s="48"/>
      <c r="AJ68" s="48">
        <v>0</v>
      </c>
      <c r="AK68" s="48"/>
      <c r="AL68" s="45">
        <v>5804230</v>
      </c>
      <c r="AM68" s="45"/>
      <c r="AN68" s="45">
        <v>2093830</v>
      </c>
      <c r="AO68" s="45"/>
      <c r="AP68" s="45">
        <v>0</v>
      </c>
      <c r="AQ68" s="45"/>
      <c r="AR68" s="45">
        <f>+'GVFund Rev'!U68+'GVFund Rev'!W68-'GVFund Exp'!AH68-'GVFund Exp'!AL68+AJ68+AN68+AP68-'GV Fund BS'!S68</f>
        <v>0</v>
      </c>
      <c r="AS68" s="48"/>
    </row>
    <row r="69" spans="1:46" s="44" customFormat="1" ht="12.75" customHeight="1">
      <c r="A69" s="64" t="s">
        <v>87</v>
      </c>
      <c r="B69" s="46"/>
      <c r="C69" s="64" t="s">
        <v>88</v>
      </c>
      <c r="D69" s="46"/>
      <c r="E69" s="45">
        <v>261492</v>
      </c>
      <c r="F69" s="48"/>
      <c r="G69" s="45">
        <v>2463982</v>
      </c>
      <c r="H69" s="48"/>
      <c r="I69" s="45">
        <v>62063</v>
      </c>
      <c r="J69" s="48"/>
      <c r="K69" s="45">
        <v>73351</v>
      </c>
      <c r="L69" s="48"/>
      <c r="M69" s="45">
        <v>404096</v>
      </c>
      <c r="N69" s="48"/>
      <c r="O69" s="45">
        <v>448644</v>
      </c>
      <c r="P69" s="48"/>
      <c r="Q69" s="45">
        <v>0</v>
      </c>
      <c r="R69" s="48"/>
      <c r="S69" s="45">
        <v>679614</v>
      </c>
      <c r="T69" s="48"/>
      <c r="U69" s="45">
        <v>0</v>
      </c>
      <c r="V69" s="48"/>
      <c r="W69" s="48"/>
      <c r="X69" s="35"/>
      <c r="Z69" s="35"/>
      <c r="AA69" s="35"/>
      <c r="AB69" s="45">
        <v>28556</v>
      </c>
      <c r="AC69" s="65"/>
      <c r="AD69" s="45">
        <v>3060</v>
      </c>
      <c r="AE69" s="65"/>
      <c r="AF69" s="45">
        <v>0</v>
      </c>
      <c r="AG69" s="65"/>
      <c r="AH69" s="48">
        <f t="shared" si="3"/>
        <v>4424858</v>
      </c>
      <c r="AI69" s="48"/>
      <c r="AJ69" s="45">
        <v>0</v>
      </c>
      <c r="AK69" s="48"/>
      <c r="AL69" s="45">
        <v>1184569</v>
      </c>
      <c r="AM69" s="45"/>
      <c r="AN69" s="45">
        <v>1572171</v>
      </c>
      <c r="AO69" s="45"/>
      <c r="AP69" s="45">
        <v>0</v>
      </c>
      <c r="AQ69" s="45"/>
      <c r="AR69" s="45">
        <f>+'GVFund Rev'!U69+'GVFund Rev'!W69-'GVFund Exp'!AH69-'GVFund Exp'!AL69+AJ69+AN69+AP69-'GV Fund BS'!S69</f>
        <v>0</v>
      </c>
      <c r="AS69" s="48"/>
    </row>
    <row r="70" spans="1:46" s="44" customFormat="1" ht="12.75" customHeight="1">
      <c r="A70" s="35" t="s">
        <v>394</v>
      </c>
      <c r="C70" s="35" t="s">
        <v>89</v>
      </c>
      <c r="E70" s="45">
        <v>1218905</v>
      </c>
      <c r="F70" s="48"/>
      <c r="G70" s="45">
        <v>4092027</v>
      </c>
      <c r="H70" s="48"/>
      <c r="I70" s="45">
        <v>128364</v>
      </c>
      <c r="J70" s="48"/>
      <c r="K70" s="45">
        <v>703975</v>
      </c>
      <c r="L70" s="48"/>
      <c r="M70" s="45">
        <v>1181395</v>
      </c>
      <c r="N70" s="48"/>
      <c r="O70" s="45">
        <v>837296</v>
      </c>
      <c r="P70" s="48"/>
      <c r="Q70" s="45">
        <v>532610</v>
      </c>
      <c r="R70" s="48"/>
      <c r="S70" s="45">
        <v>2959903</v>
      </c>
      <c r="T70" s="48"/>
      <c r="U70" s="45">
        <v>0</v>
      </c>
      <c r="V70" s="48"/>
      <c r="W70" s="48"/>
      <c r="X70" s="35"/>
      <c r="Z70" s="35"/>
      <c r="AA70" s="35"/>
      <c r="AB70" s="45">
        <v>105995</v>
      </c>
      <c r="AC70" s="65"/>
      <c r="AD70" s="45">
        <v>76284</v>
      </c>
      <c r="AE70" s="65"/>
      <c r="AF70" s="45">
        <v>0</v>
      </c>
      <c r="AG70" s="65"/>
      <c r="AH70" s="48">
        <f t="shared" si="3"/>
        <v>11836754</v>
      </c>
      <c r="AI70" s="48"/>
      <c r="AJ70" s="48">
        <v>0</v>
      </c>
      <c r="AK70" s="48"/>
      <c r="AL70" s="45">
        <v>2100000</v>
      </c>
      <c r="AM70" s="94"/>
      <c r="AN70" s="94">
        <v>4331025</v>
      </c>
      <c r="AO70" s="94"/>
      <c r="AP70" s="94">
        <v>0</v>
      </c>
      <c r="AQ70" s="94"/>
      <c r="AR70" s="94">
        <f>+'GVFund Rev'!U70+'GVFund Rev'!W70-'GVFund Exp'!AH70-'GVFund Exp'!AL70+AJ70+AN70+AP70-'GV Fund BS'!S70</f>
        <v>0</v>
      </c>
      <c r="AS70" s="68"/>
      <c r="AT70" s="46"/>
    </row>
    <row r="71" spans="1:46" s="46" customFormat="1" ht="12.75" customHeight="1">
      <c r="A71" s="35" t="s">
        <v>90</v>
      </c>
      <c r="B71" s="44"/>
      <c r="C71" s="35" t="s">
        <v>43</v>
      </c>
      <c r="D71" s="44"/>
      <c r="E71" s="45">
        <v>20919316</v>
      </c>
      <c r="F71" s="48"/>
      <c r="G71" s="45">
        <v>10521493</v>
      </c>
      <c r="H71" s="48"/>
      <c r="I71" s="45">
        <v>6364682</v>
      </c>
      <c r="J71" s="48"/>
      <c r="K71" s="45">
        <v>355846</v>
      </c>
      <c r="L71" s="48"/>
      <c r="M71" s="45">
        <v>3370273</v>
      </c>
      <c r="N71" s="48"/>
      <c r="O71" s="45">
        <v>16227257</v>
      </c>
      <c r="P71" s="48"/>
      <c r="Q71" s="45">
        <v>3052385</v>
      </c>
      <c r="R71" s="48"/>
      <c r="S71" s="45">
        <v>23009861</v>
      </c>
      <c r="T71" s="48"/>
      <c r="U71" s="45">
        <v>0</v>
      </c>
      <c r="V71" s="48"/>
      <c r="W71" s="48"/>
      <c r="X71" s="35"/>
      <c r="Y71" s="44"/>
      <c r="Z71" s="35"/>
      <c r="AA71" s="35"/>
      <c r="AB71" s="45">
        <v>5695954</v>
      </c>
      <c r="AC71" s="107"/>
      <c r="AD71" s="45">
        <v>2458384</v>
      </c>
      <c r="AE71" s="107"/>
      <c r="AF71" s="45">
        <v>0</v>
      </c>
      <c r="AG71" s="107"/>
      <c r="AH71" s="48">
        <f t="shared" si="3"/>
        <v>91975451</v>
      </c>
      <c r="AI71" s="48"/>
      <c r="AJ71" s="48">
        <v>0</v>
      </c>
      <c r="AK71" s="48"/>
      <c r="AL71" s="45">
        <f>23987152+23096305</f>
        <v>47083457</v>
      </c>
      <c r="AM71" s="45"/>
      <c r="AN71" s="45">
        <v>57790708</v>
      </c>
      <c r="AO71" s="45"/>
      <c r="AP71" s="45">
        <v>0</v>
      </c>
      <c r="AQ71" s="45"/>
      <c r="AR71" s="45">
        <f>+'GVFund Rev'!U71+'GVFund Rev'!W71-'GVFund Exp'!AH71-'GVFund Exp'!AL71+AJ71+AN71+AP71-'GV Fund BS'!S71</f>
        <v>0</v>
      </c>
      <c r="AS71" s="48"/>
    </row>
    <row r="72" spans="1:46" s="44" customFormat="1" ht="12.75" customHeight="1">
      <c r="A72" s="47" t="s">
        <v>488</v>
      </c>
      <c r="B72" s="47"/>
      <c r="C72" s="47" t="s">
        <v>27</v>
      </c>
      <c r="E72" s="45">
        <v>4764274</v>
      </c>
      <c r="F72" s="48"/>
      <c r="G72" s="45">
        <v>9214956</v>
      </c>
      <c r="H72" s="48"/>
      <c r="I72" s="45">
        <v>1879840</v>
      </c>
      <c r="J72" s="48"/>
      <c r="K72" s="45">
        <v>0</v>
      </c>
      <c r="L72" s="48"/>
      <c r="M72" s="45">
        <v>1706989</v>
      </c>
      <c r="N72" s="48"/>
      <c r="O72" s="45">
        <v>225136</v>
      </c>
      <c r="P72" s="48"/>
      <c r="Q72" s="45">
        <v>1017997</v>
      </c>
      <c r="R72" s="48"/>
      <c r="S72" s="45">
        <v>128944</v>
      </c>
      <c r="T72" s="48"/>
      <c r="U72" s="45">
        <v>0</v>
      </c>
      <c r="V72" s="48"/>
      <c r="W72" s="48"/>
      <c r="X72" s="35"/>
      <c r="Z72" s="35"/>
      <c r="AA72" s="35"/>
      <c r="AB72" s="45">
        <v>321156</v>
      </c>
      <c r="AC72" s="107"/>
      <c r="AD72" s="45">
        <v>135746</v>
      </c>
      <c r="AE72" s="107"/>
      <c r="AF72" s="45">
        <v>0</v>
      </c>
      <c r="AG72" s="107"/>
      <c r="AH72" s="48">
        <f t="shared" ref="AH72:AH130" si="4">SUM(E72:AF72)</f>
        <v>19395038</v>
      </c>
      <c r="AI72" s="48"/>
      <c r="AJ72" s="48">
        <v>0</v>
      </c>
      <c r="AK72" s="48"/>
      <c r="AL72" s="45">
        <v>0</v>
      </c>
      <c r="AM72" s="45"/>
      <c r="AN72" s="45">
        <v>2581818</v>
      </c>
      <c r="AO72" s="45"/>
      <c r="AP72" s="45">
        <v>0</v>
      </c>
      <c r="AQ72" s="45"/>
      <c r="AR72" s="45">
        <f>+'GVFund Rev'!U72+'GVFund Rev'!W72-'GVFund Exp'!AH72-'GVFund Exp'!AL72+AJ72+AN72+AP72-'GV Fund BS'!S72</f>
        <v>0</v>
      </c>
      <c r="AS72" s="48"/>
    </row>
    <row r="73" spans="1:46" s="44" customFormat="1" ht="12.75" customHeight="1">
      <c r="A73" s="44" t="s">
        <v>93</v>
      </c>
      <c r="B73" s="47"/>
      <c r="C73" s="44" t="s">
        <v>94</v>
      </c>
      <c r="E73" s="45">
        <v>1414541</v>
      </c>
      <c r="F73" s="48"/>
      <c r="G73" s="45">
        <v>3268201</v>
      </c>
      <c r="H73" s="48"/>
      <c r="I73" s="45">
        <v>421749</v>
      </c>
      <c r="J73" s="48"/>
      <c r="K73" s="45">
        <v>183420</v>
      </c>
      <c r="L73" s="48"/>
      <c r="M73" s="45">
        <v>683922</v>
      </c>
      <c r="N73" s="48"/>
      <c r="O73" s="45">
        <v>119305</v>
      </c>
      <c r="P73" s="48"/>
      <c r="Q73" s="45">
        <v>0</v>
      </c>
      <c r="R73" s="48"/>
      <c r="S73" s="45">
        <v>697640</v>
      </c>
      <c r="T73" s="48"/>
      <c r="U73" s="45">
        <v>0</v>
      </c>
      <c r="V73" s="48"/>
      <c r="W73" s="48"/>
      <c r="X73" s="35"/>
      <c r="Z73" s="35"/>
      <c r="AA73" s="35"/>
      <c r="AB73" s="45">
        <v>417348</v>
      </c>
      <c r="AC73" s="107"/>
      <c r="AD73" s="45">
        <v>74765</v>
      </c>
      <c r="AE73" s="107"/>
      <c r="AF73" s="45">
        <v>0</v>
      </c>
      <c r="AG73" s="107"/>
      <c r="AH73" s="48">
        <f t="shared" si="4"/>
        <v>7280891</v>
      </c>
      <c r="AI73" s="48"/>
      <c r="AJ73" s="48">
        <v>0</v>
      </c>
      <c r="AK73" s="48"/>
      <c r="AL73" s="45">
        <v>2592702</v>
      </c>
      <c r="AM73" s="45"/>
      <c r="AN73" s="45">
        <v>1693442</v>
      </c>
      <c r="AO73" s="45"/>
      <c r="AP73" s="45">
        <v>0</v>
      </c>
      <c r="AQ73" s="45"/>
      <c r="AR73" s="45">
        <f>+'GVFund Rev'!U73+'GVFund Rev'!W73-'GVFund Exp'!AH73-'GVFund Exp'!AL73+AJ73+AN73+AP73-'GV Fund BS'!S73</f>
        <v>0</v>
      </c>
      <c r="AS73" s="48"/>
    </row>
    <row r="74" spans="1:46" s="46" customFormat="1" ht="12.75" customHeight="1">
      <c r="A74" s="64" t="s">
        <v>95</v>
      </c>
      <c r="C74" s="64" t="s">
        <v>94</v>
      </c>
      <c r="E74" s="45">
        <v>499256</v>
      </c>
      <c r="F74" s="48"/>
      <c r="G74" s="45">
        <v>1060634</v>
      </c>
      <c r="H74" s="48"/>
      <c r="I74" s="45">
        <v>279790</v>
      </c>
      <c r="J74" s="48"/>
      <c r="K74" s="45">
        <v>71499</v>
      </c>
      <c r="L74" s="48"/>
      <c r="M74" s="45">
        <v>281242</v>
      </c>
      <c r="N74" s="48"/>
      <c r="O74" s="45">
        <v>199115</v>
      </c>
      <c r="P74" s="48"/>
      <c r="Q74" s="45">
        <v>0</v>
      </c>
      <c r="R74" s="48"/>
      <c r="S74" s="45">
        <v>124187</v>
      </c>
      <c r="T74" s="48"/>
      <c r="U74" s="45">
        <v>0</v>
      </c>
      <c r="V74" s="48"/>
      <c r="W74" s="48"/>
      <c r="X74" s="35"/>
      <c r="Y74" s="44"/>
      <c r="Z74" s="35"/>
      <c r="AA74" s="35"/>
      <c r="AB74" s="45">
        <v>353701</v>
      </c>
      <c r="AC74" s="107"/>
      <c r="AD74" s="45">
        <v>30243</v>
      </c>
      <c r="AE74" s="107"/>
      <c r="AF74" s="45">
        <v>0</v>
      </c>
      <c r="AG74" s="107"/>
      <c r="AH74" s="48">
        <f t="shared" si="4"/>
        <v>2899667</v>
      </c>
      <c r="AI74" s="48"/>
      <c r="AJ74" s="48">
        <v>0</v>
      </c>
      <c r="AK74" s="48"/>
      <c r="AL74" s="45">
        <v>85997</v>
      </c>
      <c r="AM74" s="45"/>
      <c r="AN74" s="45">
        <v>540408</v>
      </c>
      <c r="AO74" s="45"/>
      <c r="AP74" s="45">
        <v>2053</v>
      </c>
      <c r="AQ74" s="45"/>
      <c r="AR74" s="45">
        <f>+'GVFund Rev'!U74+'GVFund Rev'!W74-'GVFund Exp'!AH74-'GVFund Exp'!AL74+AJ74+AN74+AP74-'GV Fund BS'!S74</f>
        <v>0</v>
      </c>
      <c r="AS74" s="68"/>
    </row>
    <row r="75" spans="1:46" s="46" customFormat="1" ht="12.75" customHeight="1">
      <c r="A75" s="35" t="s">
        <v>91</v>
      </c>
      <c r="B75" s="44"/>
      <c r="C75" s="35" t="s">
        <v>92</v>
      </c>
      <c r="D75" s="44"/>
      <c r="E75" s="45">
        <v>4285120</v>
      </c>
      <c r="F75" s="48"/>
      <c r="G75" s="45">
        <v>7655028</v>
      </c>
      <c r="H75" s="48"/>
      <c r="I75" s="45">
        <v>315271</v>
      </c>
      <c r="J75" s="48"/>
      <c r="K75" s="45">
        <v>189449</v>
      </c>
      <c r="L75" s="48"/>
      <c r="M75" s="45">
        <v>2185355</v>
      </c>
      <c r="N75" s="48"/>
      <c r="O75" s="45">
        <v>1337711</v>
      </c>
      <c r="P75" s="48"/>
      <c r="Q75" s="45">
        <v>996750</v>
      </c>
      <c r="R75" s="48"/>
      <c r="S75" s="45">
        <v>944323</v>
      </c>
      <c r="T75" s="48"/>
      <c r="U75" s="45">
        <v>0</v>
      </c>
      <c r="V75" s="48"/>
      <c r="W75" s="48"/>
      <c r="X75" s="35"/>
      <c r="Y75" s="44"/>
      <c r="Z75" s="35"/>
      <c r="AA75" s="35"/>
      <c r="AB75" s="45">
        <v>3300707</v>
      </c>
      <c r="AC75" s="107"/>
      <c r="AD75" s="45">
        <v>1188671</v>
      </c>
      <c r="AE75" s="107"/>
      <c r="AF75" s="45">
        <v>0</v>
      </c>
      <c r="AG75" s="107"/>
      <c r="AH75" s="48">
        <f t="shared" si="4"/>
        <v>22398385</v>
      </c>
      <c r="AI75" s="48"/>
      <c r="AJ75" s="48">
        <v>0</v>
      </c>
      <c r="AK75" s="48"/>
      <c r="AL75" s="45">
        <f>8055975+1908000</f>
        <v>9963975</v>
      </c>
      <c r="AM75" s="45"/>
      <c r="AN75" s="45">
        <v>12052705</v>
      </c>
      <c r="AO75" s="45"/>
      <c r="AP75" s="45">
        <v>0</v>
      </c>
      <c r="AQ75" s="45"/>
      <c r="AR75" s="45">
        <f>+'GVFund Rev'!U75+'GVFund Rev'!W75-'GVFund Exp'!AH75-'GVFund Exp'!AL75+AJ75+AN75+AP75-'GV Fund BS'!S75</f>
        <v>0</v>
      </c>
      <c r="AS75" s="68"/>
    </row>
    <row r="76" spans="1:46" s="44" customFormat="1" ht="12.75" customHeight="1">
      <c r="A76" s="35" t="s">
        <v>96</v>
      </c>
      <c r="C76" s="35" t="s">
        <v>97</v>
      </c>
      <c r="E76" s="45">
        <v>1712787</v>
      </c>
      <c r="F76" s="48"/>
      <c r="G76" s="45">
        <v>2664229</v>
      </c>
      <c r="H76" s="48"/>
      <c r="I76" s="45">
        <v>317687</v>
      </c>
      <c r="J76" s="48"/>
      <c r="K76" s="45">
        <v>163844</v>
      </c>
      <c r="L76" s="48"/>
      <c r="M76" s="45">
        <v>899529</v>
      </c>
      <c r="N76" s="48"/>
      <c r="O76" s="45">
        <v>141510</v>
      </c>
      <c r="P76" s="48"/>
      <c r="Q76" s="45">
        <v>0</v>
      </c>
      <c r="R76" s="48"/>
      <c r="S76" s="45">
        <v>536482</v>
      </c>
      <c r="T76" s="48"/>
      <c r="U76" s="45">
        <v>0</v>
      </c>
      <c r="V76" s="48"/>
      <c r="W76" s="48"/>
      <c r="X76" s="35"/>
      <c r="Z76" s="35"/>
      <c r="AA76" s="35"/>
      <c r="AB76" s="45">
        <v>214968</v>
      </c>
      <c r="AC76" s="107"/>
      <c r="AD76" s="45">
        <v>58293</v>
      </c>
      <c r="AE76" s="107"/>
      <c r="AF76" s="45">
        <v>0</v>
      </c>
      <c r="AG76" s="107"/>
      <c r="AH76" s="48">
        <f t="shared" si="4"/>
        <v>6709329</v>
      </c>
      <c r="AI76" s="48"/>
      <c r="AJ76" s="48">
        <v>0</v>
      </c>
      <c r="AK76" s="48"/>
      <c r="AL76" s="45">
        <v>482573</v>
      </c>
      <c r="AM76" s="45"/>
      <c r="AN76" s="45">
        <v>6308362</v>
      </c>
      <c r="AO76" s="45"/>
      <c r="AP76" s="45">
        <v>0</v>
      </c>
      <c r="AQ76" s="45"/>
      <c r="AR76" s="45">
        <f>+'GVFund Rev'!U76+'GVFund Rev'!W76-'GVFund Exp'!AH76-'GVFund Exp'!AL76+AJ76+AN76+AP76-'GV Fund BS'!S76</f>
        <v>0</v>
      </c>
      <c r="AS76" s="48"/>
    </row>
    <row r="77" spans="1:46" s="44" customFormat="1" ht="12.75" customHeight="1">
      <c r="A77" s="35" t="s">
        <v>98</v>
      </c>
      <c r="C77" s="35" t="s">
        <v>17</v>
      </c>
      <c r="E77" s="45">
        <v>7085346</v>
      </c>
      <c r="F77" s="48"/>
      <c r="G77" s="45">
        <v>19650539</v>
      </c>
      <c r="H77" s="48"/>
      <c r="I77" s="45">
        <v>1869763</v>
      </c>
      <c r="J77" s="48"/>
      <c r="K77" s="45">
        <v>2270475</v>
      </c>
      <c r="L77" s="48"/>
      <c r="M77" s="45">
        <v>1717609</v>
      </c>
      <c r="N77" s="48"/>
      <c r="O77" s="45">
        <v>1121497</v>
      </c>
      <c r="P77" s="48"/>
      <c r="Q77" s="45">
        <v>0</v>
      </c>
      <c r="R77" s="48"/>
      <c r="S77" s="45">
        <v>8867049</v>
      </c>
      <c r="T77" s="48"/>
      <c r="U77" s="45">
        <v>0</v>
      </c>
      <c r="V77" s="48"/>
      <c r="W77" s="48"/>
      <c r="X77" s="35"/>
      <c r="Z77" s="35"/>
      <c r="AA77" s="35"/>
      <c r="AB77" s="45">
        <v>1747009</v>
      </c>
      <c r="AC77" s="107"/>
      <c r="AD77" s="45">
        <v>1503633</v>
      </c>
      <c r="AE77" s="107"/>
      <c r="AF77" s="45">
        <v>0</v>
      </c>
      <c r="AG77" s="107"/>
      <c r="AH77" s="48">
        <f t="shared" si="4"/>
        <v>45832920</v>
      </c>
      <c r="AI77" s="48"/>
      <c r="AJ77" s="48">
        <v>0</v>
      </c>
      <c r="AK77" s="48"/>
      <c r="AL77" s="45">
        <v>285684</v>
      </c>
      <c r="AM77" s="45"/>
      <c r="AN77" s="45">
        <v>9216766</v>
      </c>
      <c r="AO77" s="45"/>
      <c r="AP77" s="45">
        <v>0</v>
      </c>
      <c r="AQ77" s="45"/>
      <c r="AR77" s="45">
        <f>+'GVFund Rev'!U77+'GVFund Rev'!W77-'GVFund Exp'!AH77-'GVFund Exp'!AL77+AJ77+AN77+AP77-'GV Fund BS'!S77</f>
        <v>0</v>
      </c>
      <c r="AS77" s="48"/>
    </row>
    <row r="78" spans="1:46" s="44" customFormat="1" ht="12.75" customHeight="1">
      <c r="A78" s="35" t="s">
        <v>99</v>
      </c>
      <c r="C78" s="35" t="s">
        <v>66</v>
      </c>
      <c r="E78" s="45">
        <v>1549195</v>
      </c>
      <c r="F78" s="48"/>
      <c r="G78" s="45">
        <v>4933850</v>
      </c>
      <c r="H78" s="48"/>
      <c r="I78" s="45">
        <v>680961</v>
      </c>
      <c r="J78" s="48"/>
      <c r="K78" s="45">
        <v>6033</v>
      </c>
      <c r="L78" s="48"/>
      <c r="M78" s="45">
        <v>2144729</v>
      </c>
      <c r="N78" s="48"/>
      <c r="O78" s="45">
        <v>222587</v>
      </c>
      <c r="P78" s="48"/>
      <c r="Q78" s="45">
        <v>0</v>
      </c>
      <c r="R78" s="48"/>
      <c r="S78" s="45">
        <v>1265881</v>
      </c>
      <c r="T78" s="48"/>
      <c r="U78" s="45">
        <v>0</v>
      </c>
      <c r="V78" s="48"/>
      <c r="W78" s="48"/>
      <c r="X78" s="35"/>
      <c r="Z78" s="35"/>
      <c r="AA78" s="35"/>
      <c r="AB78" s="45">
        <v>93279</v>
      </c>
      <c r="AC78" s="107"/>
      <c r="AD78" s="45">
        <v>0</v>
      </c>
      <c r="AE78" s="107"/>
      <c r="AF78" s="45">
        <v>0</v>
      </c>
      <c r="AG78" s="107"/>
      <c r="AH78" s="48">
        <f t="shared" si="4"/>
        <v>10896515</v>
      </c>
      <c r="AI78" s="48"/>
      <c r="AJ78" s="48">
        <v>0</v>
      </c>
      <c r="AK78" s="48"/>
      <c r="AL78" s="45">
        <v>7040005</v>
      </c>
      <c r="AM78" s="45"/>
      <c r="AN78" s="45">
        <v>10512496</v>
      </c>
      <c r="AO78" s="45"/>
      <c r="AP78" s="45">
        <v>137870</v>
      </c>
      <c r="AQ78" s="45"/>
      <c r="AR78" s="45">
        <f>+'GVFund Rev'!U78+'GVFund Rev'!W78-'GVFund Exp'!AH78-'GVFund Exp'!AL78+AJ78+AN78+AP78-'GV Fund BS'!S78</f>
        <v>0</v>
      </c>
      <c r="AS78" s="48"/>
    </row>
    <row r="79" spans="1:46" s="44" customFormat="1" ht="12.75" customHeight="1">
      <c r="A79" s="35" t="s">
        <v>100</v>
      </c>
      <c r="C79" s="35" t="s">
        <v>27</v>
      </c>
      <c r="E79" s="45">
        <v>12846810</v>
      </c>
      <c r="F79" s="48"/>
      <c r="G79" s="45">
        <v>20493264</v>
      </c>
      <c r="H79" s="48"/>
      <c r="I79" s="45">
        <v>2728006</v>
      </c>
      <c r="J79" s="48"/>
      <c r="K79" s="45">
        <v>272496</v>
      </c>
      <c r="L79" s="48"/>
      <c r="M79" s="45">
        <v>2232410</v>
      </c>
      <c r="N79" s="48"/>
      <c r="O79" s="45">
        <v>1826333</v>
      </c>
      <c r="P79" s="48"/>
      <c r="Q79" s="45">
        <v>2251317</v>
      </c>
      <c r="R79" s="48"/>
      <c r="S79" s="45">
        <v>3015982</v>
      </c>
      <c r="T79" s="48"/>
      <c r="U79" s="45">
        <v>0</v>
      </c>
      <c r="V79" s="48"/>
      <c r="W79" s="48"/>
      <c r="X79" s="35"/>
      <c r="Z79" s="35"/>
      <c r="AA79" s="35"/>
      <c r="AB79" s="45">
        <v>3305944</v>
      </c>
      <c r="AC79" s="107"/>
      <c r="AD79" s="45">
        <v>1367743</v>
      </c>
      <c r="AE79" s="107"/>
      <c r="AF79" s="45">
        <v>0</v>
      </c>
      <c r="AG79" s="107"/>
      <c r="AH79" s="48">
        <f t="shared" si="4"/>
        <v>50340305</v>
      </c>
      <c r="AI79" s="48"/>
      <c r="AJ79" s="48">
        <v>0</v>
      </c>
      <c r="AK79" s="48"/>
      <c r="AL79" s="45">
        <v>1061859</v>
      </c>
      <c r="AM79" s="45"/>
      <c r="AN79" s="45">
        <v>14694246</v>
      </c>
      <c r="AO79" s="45"/>
      <c r="AP79" s="45">
        <v>0</v>
      </c>
      <c r="AQ79" s="45"/>
      <c r="AR79" s="45">
        <f>+'GVFund Rev'!U79+'GVFund Rev'!W79-'GVFund Exp'!AH79-'GVFund Exp'!AL79+AJ79+AN79+AP79-'GV Fund BS'!S79</f>
        <v>0</v>
      </c>
      <c r="AS79" s="48"/>
    </row>
    <row r="80" spans="1:46" s="44" customFormat="1" ht="12.75" customHeight="1">
      <c r="A80" s="35" t="s">
        <v>101</v>
      </c>
      <c r="C80" s="35" t="s">
        <v>30</v>
      </c>
      <c r="E80" s="45">
        <v>6826870</v>
      </c>
      <c r="F80" s="48"/>
      <c r="G80" s="45">
        <v>12902125</v>
      </c>
      <c r="H80" s="48"/>
      <c r="I80" s="45">
        <v>1010774</v>
      </c>
      <c r="J80" s="48"/>
      <c r="K80" s="45">
        <v>88814</v>
      </c>
      <c r="L80" s="48"/>
      <c r="M80" s="45">
        <v>1654970</v>
      </c>
      <c r="N80" s="48"/>
      <c r="O80" s="45">
        <v>280300</v>
      </c>
      <c r="P80" s="48"/>
      <c r="Q80" s="45">
        <v>0</v>
      </c>
      <c r="R80" s="48"/>
      <c r="S80" s="45">
        <v>2387313</v>
      </c>
      <c r="T80" s="48"/>
      <c r="U80" s="45">
        <v>207546</v>
      </c>
      <c r="V80" s="48"/>
      <c r="W80" s="48"/>
      <c r="X80" s="35"/>
      <c r="Z80" s="35"/>
      <c r="AA80" s="35"/>
      <c r="AB80" s="45">
        <v>1706369</v>
      </c>
      <c r="AC80" s="107"/>
      <c r="AD80" s="45">
        <v>546730</v>
      </c>
      <c r="AE80" s="107"/>
      <c r="AF80" s="45">
        <v>0</v>
      </c>
      <c r="AG80" s="107"/>
      <c r="AH80" s="48">
        <f t="shared" si="4"/>
        <v>27611811</v>
      </c>
      <c r="AI80" s="48"/>
      <c r="AJ80" s="48">
        <v>0</v>
      </c>
      <c r="AK80" s="48"/>
      <c r="AL80" s="45">
        <v>10563476</v>
      </c>
      <c r="AM80" s="45"/>
      <c r="AN80" s="45">
        <v>7832860</v>
      </c>
      <c r="AO80" s="45"/>
      <c r="AP80" s="45">
        <v>0</v>
      </c>
      <c r="AQ80" s="45"/>
      <c r="AR80" s="45">
        <f>+'GVFund Rev'!U80+'GVFund Rev'!W80-'GVFund Exp'!AH80-'GVFund Exp'!AL80+AJ80+AN80+AP80-'GV Fund BS'!S80</f>
        <v>0</v>
      </c>
      <c r="AS80" s="48"/>
    </row>
    <row r="81" spans="1:45" s="44" customFormat="1" ht="12.75" customHeight="1">
      <c r="A81" s="35" t="s">
        <v>102</v>
      </c>
      <c r="C81" s="35" t="s">
        <v>103</v>
      </c>
      <c r="E81" s="45">
        <v>7932771</v>
      </c>
      <c r="F81" s="48"/>
      <c r="G81" s="45">
        <v>15262238</v>
      </c>
      <c r="H81" s="48"/>
      <c r="I81" s="45">
        <v>1439439</v>
      </c>
      <c r="J81" s="48"/>
      <c r="K81" s="45">
        <v>23074</v>
      </c>
      <c r="L81" s="48"/>
      <c r="M81" s="45">
        <v>7318320</v>
      </c>
      <c r="N81" s="48"/>
      <c r="O81" s="45">
        <v>2600220</v>
      </c>
      <c r="P81" s="48"/>
      <c r="Q81" s="45">
        <v>524491</v>
      </c>
      <c r="R81" s="48"/>
      <c r="S81" s="45">
        <v>6902977</v>
      </c>
      <c r="T81" s="48"/>
      <c r="U81" s="45">
        <v>0</v>
      </c>
      <c r="V81" s="48"/>
      <c r="W81" s="48"/>
      <c r="X81" s="35"/>
      <c r="Z81" s="35"/>
      <c r="AA81" s="35"/>
      <c r="AB81" s="45">
        <v>954515</v>
      </c>
      <c r="AC81" s="107"/>
      <c r="AD81" s="45">
        <v>565524</v>
      </c>
      <c r="AE81" s="107"/>
      <c r="AF81" s="45">
        <v>74141</v>
      </c>
      <c r="AG81" s="107"/>
      <c r="AH81" s="48">
        <f t="shared" si="4"/>
        <v>43597710</v>
      </c>
      <c r="AI81" s="48"/>
      <c r="AJ81" s="48">
        <v>0</v>
      </c>
      <c r="AK81" s="48"/>
      <c r="AL81" s="45">
        <f>2829535+10048353</f>
        <v>12877888</v>
      </c>
      <c r="AM81" s="45"/>
      <c r="AN81" s="45">
        <v>22728895</v>
      </c>
      <c r="AO81" s="45"/>
      <c r="AP81" s="45">
        <v>0</v>
      </c>
      <c r="AQ81" s="45"/>
      <c r="AR81" s="45">
        <f>+'GVFund Rev'!U81+'GVFund Rev'!W81-'GVFund Exp'!AH81-'GVFund Exp'!AL81+AJ81+AN81+AP81-'GV Fund BS'!S81</f>
        <v>0</v>
      </c>
      <c r="AS81" s="48"/>
    </row>
    <row r="82" spans="1:45" s="44" customFormat="1" ht="12.75" customHeight="1">
      <c r="A82" s="35" t="s">
        <v>104</v>
      </c>
      <c r="C82" s="35" t="s">
        <v>13</v>
      </c>
      <c r="E82" s="45">
        <v>2764567</v>
      </c>
      <c r="F82" s="48"/>
      <c r="G82" s="45">
        <v>6478861</v>
      </c>
      <c r="H82" s="48"/>
      <c r="I82" s="45">
        <v>71674</v>
      </c>
      <c r="J82" s="48"/>
      <c r="K82" s="45">
        <v>116288</v>
      </c>
      <c r="L82" s="48"/>
      <c r="M82" s="45">
        <v>2370897</v>
      </c>
      <c r="N82" s="48"/>
      <c r="O82" s="45">
        <v>335507</v>
      </c>
      <c r="P82" s="48"/>
      <c r="Q82" s="45">
        <v>348858</v>
      </c>
      <c r="R82" s="48"/>
      <c r="S82" s="45">
        <v>2686734</v>
      </c>
      <c r="T82" s="48"/>
      <c r="U82" s="45">
        <v>0</v>
      </c>
      <c r="V82" s="48"/>
      <c r="W82" s="48"/>
      <c r="X82" s="35"/>
      <c r="Z82" s="35"/>
      <c r="AA82" s="35"/>
      <c r="AB82" s="45">
        <v>824570</v>
      </c>
      <c r="AC82" s="107"/>
      <c r="AD82" s="45">
        <v>390752</v>
      </c>
      <c r="AE82" s="107"/>
      <c r="AF82" s="45">
        <v>0</v>
      </c>
      <c r="AG82" s="107"/>
      <c r="AH82" s="48">
        <f t="shared" si="4"/>
        <v>16388708</v>
      </c>
      <c r="AI82" s="48"/>
      <c r="AJ82" s="48">
        <v>0</v>
      </c>
      <c r="AK82" s="48"/>
      <c r="AL82" s="45">
        <v>512469</v>
      </c>
      <c r="AM82" s="45"/>
      <c r="AN82" s="45">
        <v>12369122</v>
      </c>
      <c r="AO82" s="45"/>
      <c r="AP82" s="45">
        <v>84500</v>
      </c>
      <c r="AQ82" s="45"/>
      <c r="AR82" s="45">
        <f>+'GVFund Rev'!U82+'GVFund Rev'!W82-'GVFund Exp'!AH82-'GVFund Exp'!AL82+AJ82+AN82+AP82-'GV Fund BS'!S82</f>
        <v>0</v>
      </c>
      <c r="AS82" s="48"/>
    </row>
    <row r="83" spans="1:45" s="44" customFormat="1" ht="12.75" customHeight="1">
      <c r="A83" s="35" t="s">
        <v>105</v>
      </c>
      <c r="C83" s="35" t="s">
        <v>27</v>
      </c>
      <c r="E83" s="45">
        <v>1810825</v>
      </c>
      <c r="F83" s="48"/>
      <c r="G83" s="45">
        <v>6956305</v>
      </c>
      <c r="H83" s="48"/>
      <c r="I83" s="45">
        <v>283406</v>
      </c>
      <c r="J83" s="48"/>
      <c r="K83" s="45">
        <v>1625</v>
      </c>
      <c r="L83" s="48"/>
      <c r="M83" s="45">
        <v>1311737</v>
      </c>
      <c r="N83" s="48"/>
      <c r="O83" s="45">
        <v>3851156</v>
      </c>
      <c r="P83" s="48"/>
      <c r="Q83" s="45">
        <v>1006478</v>
      </c>
      <c r="R83" s="48"/>
      <c r="S83" s="45">
        <v>1521439</v>
      </c>
      <c r="T83" s="48"/>
      <c r="U83" s="45">
        <v>0</v>
      </c>
      <c r="V83" s="48"/>
      <c r="W83" s="48"/>
      <c r="X83" s="35"/>
      <c r="Z83" s="35"/>
      <c r="AA83" s="35"/>
      <c r="AB83" s="45">
        <v>2064220</v>
      </c>
      <c r="AC83" s="107"/>
      <c r="AD83" s="45">
        <v>1202639</v>
      </c>
      <c r="AE83" s="107"/>
      <c r="AF83" s="45">
        <v>0</v>
      </c>
      <c r="AG83" s="107"/>
      <c r="AH83" s="48">
        <f t="shared" si="4"/>
        <v>20009830</v>
      </c>
      <c r="AI83" s="48"/>
      <c r="AJ83" s="48">
        <v>0</v>
      </c>
      <c r="AK83" s="48"/>
      <c r="AL83" s="45">
        <v>1550510</v>
      </c>
      <c r="AM83" s="45"/>
      <c r="AN83" s="45">
        <v>7179363</v>
      </c>
      <c r="AO83" s="45"/>
      <c r="AP83" s="45">
        <v>0</v>
      </c>
      <c r="AQ83" s="45"/>
      <c r="AR83" s="45">
        <f>+'GVFund Rev'!U83+'GVFund Rev'!W83-'GVFund Exp'!AH83-'GVFund Exp'!AL83+AJ83+AN83+AP83-'GV Fund BS'!S83</f>
        <v>0</v>
      </c>
      <c r="AS83" s="48"/>
    </row>
    <row r="84" spans="1:45" s="44" customFormat="1" ht="12.75" customHeight="1">
      <c r="A84" s="35" t="s">
        <v>106</v>
      </c>
      <c r="C84" s="35" t="s">
        <v>107</v>
      </c>
      <c r="E84" s="45">
        <v>7383581</v>
      </c>
      <c r="F84" s="48"/>
      <c r="G84" s="45">
        <v>14470422</v>
      </c>
      <c r="H84" s="48"/>
      <c r="I84" s="45">
        <v>0</v>
      </c>
      <c r="J84" s="48"/>
      <c r="K84" s="45">
        <v>1674062</v>
      </c>
      <c r="L84" s="48"/>
      <c r="M84" s="45">
        <v>2791562</v>
      </c>
      <c r="N84" s="48"/>
      <c r="O84" s="45">
        <v>1871879</v>
      </c>
      <c r="P84" s="48"/>
      <c r="Q84" s="45">
        <v>587</v>
      </c>
      <c r="R84" s="48"/>
      <c r="S84" s="45">
        <v>6909430</v>
      </c>
      <c r="T84" s="48"/>
      <c r="U84" s="45">
        <v>0</v>
      </c>
      <c r="V84" s="48"/>
      <c r="W84" s="48"/>
      <c r="X84" s="35"/>
      <c r="Z84" s="35"/>
      <c r="AA84" s="35"/>
      <c r="AB84" s="45">
        <v>428703</v>
      </c>
      <c r="AC84" s="107"/>
      <c r="AD84" s="45">
        <v>363261</v>
      </c>
      <c r="AE84" s="107"/>
      <c r="AF84" s="45">
        <f>123063+11168</f>
        <v>134231</v>
      </c>
      <c r="AG84" s="107"/>
      <c r="AH84" s="48">
        <f t="shared" si="4"/>
        <v>36027718</v>
      </c>
      <c r="AI84" s="48"/>
      <c r="AJ84" s="48">
        <v>0</v>
      </c>
      <c r="AK84" s="48"/>
      <c r="AL84" s="45">
        <f>46937+18964172</f>
        <v>19011109</v>
      </c>
      <c r="AM84" s="45"/>
      <c r="AN84" s="45">
        <v>11367642</v>
      </c>
      <c r="AO84" s="45"/>
      <c r="AP84" s="45">
        <f>114983+1044</f>
        <v>116027</v>
      </c>
      <c r="AQ84" s="45"/>
      <c r="AR84" s="45">
        <f>+'GVFund Rev'!U84+'GVFund Rev'!W84-'GVFund Exp'!AH84-'GVFund Exp'!AL84+AJ84+AN84+AP84-'GV Fund BS'!S84</f>
        <v>0</v>
      </c>
      <c r="AS84" s="48"/>
    </row>
    <row r="85" spans="1:45" s="44" customFormat="1" ht="12.75" customHeight="1">
      <c r="A85" s="35" t="s">
        <v>108</v>
      </c>
      <c r="C85" s="35" t="s">
        <v>45</v>
      </c>
      <c r="E85" s="45">
        <v>2424673</v>
      </c>
      <c r="F85" s="48"/>
      <c r="G85" s="45">
        <v>9481406</v>
      </c>
      <c r="H85" s="48"/>
      <c r="I85" s="45">
        <v>1551877</v>
      </c>
      <c r="J85" s="48"/>
      <c r="K85" s="45">
        <v>22189</v>
      </c>
      <c r="L85" s="48"/>
      <c r="M85" s="45">
        <v>2474754</v>
      </c>
      <c r="N85" s="48"/>
      <c r="O85" s="45">
        <v>303812</v>
      </c>
      <c r="P85" s="48"/>
      <c r="Q85" s="45">
        <v>0</v>
      </c>
      <c r="R85" s="48"/>
      <c r="S85" s="45">
        <v>1300833</v>
      </c>
      <c r="T85" s="48"/>
      <c r="U85" s="45">
        <v>0</v>
      </c>
      <c r="V85" s="48"/>
      <c r="W85" s="48"/>
      <c r="X85" s="35"/>
      <c r="Z85" s="35"/>
      <c r="AA85" s="35"/>
      <c r="AB85" s="45">
        <v>389626</v>
      </c>
      <c r="AC85" s="107"/>
      <c r="AD85" s="45">
        <v>246808</v>
      </c>
      <c r="AE85" s="107"/>
      <c r="AF85" s="45">
        <v>0</v>
      </c>
      <c r="AG85" s="107"/>
      <c r="AH85" s="48">
        <f t="shared" si="4"/>
        <v>18195978</v>
      </c>
      <c r="AI85" s="48"/>
      <c r="AJ85" s="48">
        <v>0</v>
      </c>
      <c r="AK85" s="48"/>
      <c r="AL85" s="45">
        <v>1779804</v>
      </c>
      <c r="AM85" s="45"/>
      <c r="AN85" s="45">
        <v>8252671</v>
      </c>
      <c r="AO85" s="45"/>
      <c r="AP85" s="45">
        <v>0</v>
      </c>
      <c r="AQ85" s="45"/>
      <c r="AR85" s="45">
        <f>+'GVFund Rev'!U85+'GVFund Rev'!W85-'GVFund Exp'!AH85-'GVFund Exp'!AL85+AJ85+AN85+AP85-'GV Fund BS'!S85</f>
        <v>0</v>
      </c>
      <c r="AS85" s="48"/>
    </row>
    <row r="86" spans="1:45" s="44" customFormat="1" ht="12.75" customHeight="1">
      <c r="A86" s="35" t="s">
        <v>109</v>
      </c>
      <c r="C86" s="35" t="s">
        <v>110</v>
      </c>
      <c r="E86" s="45">
        <v>1705059</v>
      </c>
      <c r="F86" s="48"/>
      <c r="G86" s="45">
        <v>4919391</v>
      </c>
      <c r="H86" s="48"/>
      <c r="I86" s="45">
        <v>697909</v>
      </c>
      <c r="J86" s="48"/>
      <c r="K86" s="45">
        <v>256227</v>
      </c>
      <c r="L86" s="48"/>
      <c r="M86" s="45">
        <v>810344</v>
      </c>
      <c r="N86" s="48"/>
      <c r="O86" s="45">
        <v>155561</v>
      </c>
      <c r="P86" s="48"/>
      <c r="Q86" s="45">
        <v>12191</v>
      </c>
      <c r="R86" s="48"/>
      <c r="S86" s="45">
        <v>650954</v>
      </c>
      <c r="T86" s="48"/>
      <c r="U86" s="45">
        <v>0</v>
      </c>
      <c r="V86" s="48"/>
      <c r="W86" s="48"/>
      <c r="X86" s="35"/>
      <c r="Z86" s="35"/>
      <c r="AA86" s="35"/>
      <c r="AB86" s="45">
        <v>173620</v>
      </c>
      <c r="AC86" s="107"/>
      <c r="AD86" s="45">
        <v>29028</v>
      </c>
      <c r="AE86" s="107"/>
      <c r="AF86" s="45">
        <v>0</v>
      </c>
      <c r="AG86" s="107"/>
      <c r="AH86" s="48">
        <f t="shared" si="4"/>
        <v>9410284</v>
      </c>
      <c r="AI86" s="48"/>
      <c r="AJ86" s="48">
        <v>0</v>
      </c>
      <c r="AK86" s="48"/>
      <c r="AL86" s="45">
        <v>1349423</v>
      </c>
      <c r="AM86" s="45"/>
      <c r="AN86" s="45">
        <v>5241844</v>
      </c>
      <c r="AO86" s="45"/>
      <c r="AP86" s="45">
        <v>0</v>
      </c>
      <c r="AQ86" s="45"/>
      <c r="AR86" s="45">
        <f>+'GVFund Rev'!U86+'GVFund Rev'!W86-'GVFund Exp'!AH86-'GVFund Exp'!AL86+AJ86+AN86+AP86-'GV Fund BS'!S86</f>
        <v>0</v>
      </c>
      <c r="AS86" s="48"/>
    </row>
    <row r="87" spans="1:45" s="44" customFormat="1" ht="12.75" customHeight="1">
      <c r="A87" s="35" t="s">
        <v>43</v>
      </c>
      <c r="C87" s="35" t="s">
        <v>111</v>
      </c>
      <c r="E87" s="45">
        <v>2313715</v>
      </c>
      <c r="F87" s="48"/>
      <c r="G87" s="45">
        <f>3277864+1379953+167928+118995</f>
        <v>4944740</v>
      </c>
      <c r="H87" s="48"/>
      <c r="I87" s="45">
        <v>44630</v>
      </c>
      <c r="J87" s="48"/>
      <c r="K87" s="45">
        <v>11810</v>
      </c>
      <c r="L87" s="48"/>
      <c r="M87" s="45">
        <v>1348543</v>
      </c>
      <c r="N87" s="48"/>
      <c r="O87" s="45">
        <v>275250</v>
      </c>
      <c r="P87" s="48"/>
      <c r="Q87" s="45">
        <v>0</v>
      </c>
      <c r="R87" s="48"/>
      <c r="S87" s="45">
        <v>678476</v>
      </c>
      <c r="T87" s="48"/>
      <c r="U87" s="45">
        <v>0</v>
      </c>
      <c r="V87" s="48"/>
      <c r="W87" s="48"/>
      <c r="X87" s="35"/>
      <c r="Z87" s="35"/>
      <c r="AA87" s="35"/>
      <c r="AB87" s="45">
        <v>583428</v>
      </c>
      <c r="AC87" s="107"/>
      <c r="AD87" s="45">
        <v>500670</v>
      </c>
      <c r="AE87" s="107"/>
      <c r="AF87" s="45">
        <v>322500</v>
      </c>
      <c r="AG87" s="107"/>
      <c r="AH87" s="48">
        <f t="shared" si="4"/>
        <v>11023762</v>
      </c>
      <c r="AI87" s="48"/>
      <c r="AJ87" s="48">
        <v>0</v>
      </c>
      <c r="AK87" s="48"/>
      <c r="AL87" s="45">
        <f>387500+2816531</f>
        <v>3204031</v>
      </c>
      <c r="AM87" s="45"/>
      <c r="AN87" s="45">
        <v>5678787</v>
      </c>
      <c r="AO87" s="45"/>
      <c r="AP87" s="45">
        <v>0</v>
      </c>
      <c r="AQ87" s="45"/>
      <c r="AR87" s="45">
        <f>+'GVFund Rev'!U87+'GVFund Rev'!W87-'GVFund Exp'!AH87-'GVFund Exp'!AL87+AJ87+AN87+AP87-'GV Fund BS'!S87</f>
        <v>0</v>
      </c>
      <c r="AS87" s="48"/>
    </row>
    <row r="88" spans="1:45" s="44" customFormat="1" ht="12.75" customHeight="1">
      <c r="A88" s="35" t="s">
        <v>112</v>
      </c>
      <c r="C88" s="35" t="s">
        <v>76</v>
      </c>
      <c r="E88" s="45">
        <v>2290597</v>
      </c>
      <c r="F88" s="48"/>
      <c r="G88" s="45">
        <v>5752774</v>
      </c>
      <c r="H88" s="48"/>
      <c r="I88" s="45">
        <f>535605+109752</f>
        <v>645357</v>
      </c>
      <c r="J88" s="48"/>
      <c r="K88" s="45">
        <v>10615</v>
      </c>
      <c r="L88" s="48"/>
      <c r="M88" s="45">
        <v>875252</v>
      </c>
      <c r="N88" s="48"/>
      <c r="O88" s="45">
        <v>1480277</v>
      </c>
      <c r="P88" s="48"/>
      <c r="Q88" s="45">
        <v>0</v>
      </c>
      <c r="R88" s="48"/>
      <c r="S88" s="45">
        <v>1329198</v>
      </c>
      <c r="T88" s="48"/>
      <c r="U88" s="45">
        <v>0</v>
      </c>
      <c r="V88" s="48"/>
      <c r="W88" s="48"/>
      <c r="X88" s="35"/>
      <c r="Z88" s="35"/>
      <c r="AA88" s="35"/>
      <c r="AB88" s="45">
        <v>16297</v>
      </c>
      <c r="AC88" s="107"/>
      <c r="AD88" s="45">
        <v>106940</v>
      </c>
      <c r="AE88" s="107"/>
      <c r="AF88" s="45">
        <v>130848</v>
      </c>
      <c r="AG88" s="107"/>
      <c r="AH88" s="48">
        <f t="shared" si="4"/>
        <v>12638155</v>
      </c>
      <c r="AI88" s="48"/>
      <c r="AJ88" s="48">
        <v>0</v>
      </c>
      <c r="AK88" s="48"/>
      <c r="AL88" s="45">
        <f>3264978+7965000</f>
        <v>11229978</v>
      </c>
      <c r="AM88" s="45"/>
      <c r="AN88" s="45">
        <v>12400745</v>
      </c>
      <c r="AO88" s="45"/>
      <c r="AP88" s="45">
        <v>0</v>
      </c>
      <c r="AQ88" s="45"/>
      <c r="AR88" s="45">
        <f>+'GVFund Rev'!U88+'GVFund Rev'!W88-'GVFund Exp'!AH88-'GVFund Exp'!AL88+AJ88+AN88+AP88-'GV Fund BS'!S88</f>
        <v>0</v>
      </c>
      <c r="AS88" s="48"/>
    </row>
    <row r="89" spans="1:45" s="44" customFormat="1" ht="12.75" customHeight="1">
      <c r="A89" s="35" t="s">
        <v>113</v>
      </c>
      <c r="C89" s="35" t="s">
        <v>43</v>
      </c>
      <c r="E89" s="45">
        <v>3787165</v>
      </c>
      <c r="F89" s="48"/>
      <c r="G89" s="45">
        <v>8502391</v>
      </c>
      <c r="H89" s="48"/>
      <c r="I89" s="45">
        <v>4505304</v>
      </c>
      <c r="J89" s="48"/>
      <c r="K89" s="45">
        <v>195382</v>
      </c>
      <c r="L89" s="48"/>
      <c r="M89" s="45">
        <v>2073577</v>
      </c>
      <c r="N89" s="48"/>
      <c r="O89" s="45">
        <v>2957090</v>
      </c>
      <c r="P89" s="48"/>
      <c r="Q89" s="45">
        <v>2295336</v>
      </c>
      <c r="R89" s="48"/>
      <c r="S89" s="45">
        <v>7440011</v>
      </c>
      <c r="T89" s="48"/>
      <c r="U89" s="45">
        <v>0</v>
      </c>
      <c r="V89" s="48"/>
      <c r="W89" s="48"/>
      <c r="X89" s="35"/>
      <c r="Z89" s="35"/>
      <c r="AA89" s="35"/>
      <c r="AB89" s="45">
        <v>772864</v>
      </c>
      <c r="AC89" s="107"/>
      <c r="AD89" s="45">
        <v>942074</v>
      </c>
      <c r="AE89" s="107"/>
      <c r="AF89" s="45">
        <v>0</v>
      </c>
      <c r="AG89" s="107"/>
      <c r="AH89" s="48">
        <f t="shared" si="4"/>
        <v>33471194</v>
      </c>
      <c r="AI89" s="48"/>
      <c r="AJ89" s="48">
        <v>0</v>
      </c>
      <c r="AK89" s="48"/>
      <c r="AL89" s="45">
        <v>4316388</v>
      </c>
      <c r="AM89" s="45"/>
      <c r="AN89" s="45">
        <v>35249608</v>
      </c>
      <c r="AO89" s="45"/>
      <c r="AP89" s="45">
        <v>0</v>
      </c>
      <c r="AQ89" s="45"/>
      <c r="AR89" s="45">
        <f>+'GVFund Rev'!U89+'GVFund Rev'!W89-'GVFund Exp'!AH89-'GVFund Exp'!AL89+AJ89+AN89+AP89-'GV Fund BS'!S89</f>
        <v>0</v>
      </c>
      <c r="AS89" s="48"/>
    </row>
    <row r="90" spans="1:45" s="44" customFormat="1" ht="12.75" customHeight="1">
      <c r="A90" s="35" t="s">
        <v>489</v>
      </c>
      <c r="C90" s="35" t="s">
        <v>57</v>
      </c>
      <c r="E90" s="45">
        <v>1374593</v>
      </c>
      <c r="F90" s="48"/>
      <c r="G90" s="45">
        <f>1774760+1729523</f>
        <v>3504283</v>
      </c>
      <c r="H90" s="48"/>
      <c r="I90" s="45">
        <v>189623</v>
      </c>
      <c r="J90" s="48"/>
      <c r="K90" s="45">
        <v>431782</v>
      </c>
      <c r="L90" s="48"/>
      <c r="M90" s="45">
        <v>2930438</v>
      </c>
      <c r="N90" s="48"/>
      <c r="O90" s="45">
        <v>196696</v>
      </c>
      <c r="P90" s="48"/>
      <c r="Q90" s="45">
        <v>0</v>
      </c>
      <c r="R90" s="48"/>
      <c r="S90" s="45">
        <v>0</v>
      </c>
      <c r="T90" s="48"/>
      <c r="U90" s="45">
        <v>0</v>
      </c>
      <c r="V90" s="48"/>
      <c r="W90" s="48"/>
      <c r="X90" s="35"/>
      <c r="Z90" s="35"/>
      <c r="AA90" s="35"/>
      <c r="AB90" s="45">
        <v>472244</v>
      </c>
      <c r="AC90" s="107"/>
      <c r="AD90" s="45">
        <v>193292</v>
      </c>
      <c r="AE90" s="107"/>
      <c r="AF90" s="45">
        <v>0</v>
      </c>
      <c r="AG90" s="107"/>
      <c r="AH90" s="48">
        <f t="shared" si="4"/>
        <v>9292951</v>
      </c>
      <c r="AI90" s="48"/>
      <c r="AJ90" s="48">
        <v>0</v>
      </c>
      <c r="AK90" s="48"/>
      <c r="AL90" s="45">
        <v>1101938</v>
      </c>
      <c r="AM90" s="45"/>
      <c r="AN90" s="45">
        <v>3656740</v>
      </c>
      <c r="AO90" s="45"/>
      <c r="AP90" s="45">
        <v>0</v>
      </c>
      <c r="AQ90" s="45"/>
      <c r="AR90" s="45">
        <f>+'GVFund Rev'!U90+'GVFund Rev'!W90-'GVFund Exp'!AH90-'GVFund Exp'!AL90+AJ90+AN90+AP90-'GV Fund BS'!S90</f>
        <v>0</v>
      </c>
      <c r="AS90" s="48"/>
    </row>
    <row r="91" spans="1:45" s="44" customFormat="1" ht="12.75" customHeight="1">
      <c r="A91" s="35" t="s">
        <v>114</v>
      </c>
      <c r="C91" s="35" t="s">
        <v>27</v>
      </c>
      <c r="E91" s="45">
        <v>9732204</v>
      </c>
      <c r="F91" s="48"/>
      <c r="G91" s="45">
        <v>12276158</v>
      </c>
      <c r="H91" s="48"/>
      <c r="I91" s="45">
        <v>164440</v>
      </c>
      <c r="J91" s="48"/>
      <c r="K91" s="45">
        <v>441161</v>
      </c>
      <c r="L91" s="48"/>
      <c r="M91" s="45">
        <v>2531420</v>
      </c>
      <c r="N91" s="48"/>
      <c r="O91" s="45">
        <v>1451348</v>
      </c>
      <c r="P91" s="48"/>
      <c r="Q91" s="45">
        <v>2410437</v>
      </c>
      <c r="R91" s="48"/>
      <c r="S91" s="45">
        <v>1764064</v>
      </c>
      <c r="T91" s="48"/>
      <c r="U91" s="45">
        <v>0</v>
      </c>
      <c r="V91" s="48"/>
      <c r="W91" s="48"/>
      <c r="X91" s="35"/>
      <c r="Z91" s="35"/>
      <c r="AA91" s="35"/>
      <c r="AB91" s="45">
        <v>12011320</v>
      </c>
      <c r="AC91" s="107"/>
      <c r="AD91" s="45">
        <v>1521010</v>
      </c>
      <c r="AE91" s="107"/>
      <c r="AF91" s="45">
        <v>0</v>
      </c>
      <c r="AG91" s="107"/>
      <c r="AH91" s="48">
        <f t="shared" si="4"/>
        <v>44303562</v>
      </c>
      <c r="AI91" s="48"/>
      <c r="AJ91" s="48">
        <v>0</v>
      </c>
      <c r="AK91" s="48"/>
      <c r="AL91" s="45">
        <v>4697136</v>
      </c>
      <c r="AM91" s="45"/>
      <c r="AN91" s="45">
        <v>-2711386</v>
      </c>
      <c r="AO91" s="45"/>
      <c r="AP91" s="45">
        <v>0</v>
      </c>
      <c r="AQ91" s="45"/>
      <c r="AR91" s="45">
        <f>+'GVFund Rev'!U91+'GVFund Rev'!W91-'GVFund Exp'!AH91-'GVFund Exp'!AL91+AJ91+AN91+AP91-'GV Fund BS'!S91</f>
        <v>0</v>
      </c>
      <c r="AS91" s="48"/>
    </row>
    <row r="92" spans="1:45" s="44" customFormat="1" ht="12.75" customHeight="1">
      <c r="A92" s="35" t="s">
        <v>115</v>
      </c>
      <c r="C92" s="35" t="s">
        <v>19</v>
      </c>
      <c r="E92" s="45">
        <v>830646</v>
      </c>
      <c r="F92" s="48"/>
      <c r="G92" s="45">
        <v>2088047</v>
      </c>
      <c r="H92" s="48"/>
      <c r="I92" s="45">
        <v>519094</v>
      </c>
      <c r="J92" s="48"/>
      <c r="K92" s="45">
        <v>0</v>
      </c>
      <c r="L92" s="48"/>
      <c r="M92" s="45">
        <v>670294</v>
      </c>
      <c r="N92" s="48"/>
      <c r="O92" s="45">
        <v>169671</v>
      </c>
      <c r="P92" s="48"/>
      <c r="Q92" s="45">
        <v>0</v>
      </c>
      <c r="R92" s="48"/>
      <c r="S92" s="45">
        <v>293817</v>
      </c>
      <c r="T92" s="48"/>
      <c r="U92" s="45">
        <v>0</v>
      </c>
      <c r="V92" s="48"/>
      <c r="W92" s="48"/>
      <c r="X92" s="35"/>
      <c r="Z92" s="35"/>
      <c r="AA92" s="35"/>
      <c r="AB92" s="45">
        <v>392410</v>
      </c>
      <c r="AC92" s="107"/>
      <c r="AD92" s="45">
        <v>107219</v>
      </c>
      <c r="AE92" s="107"/>
      <c r="AF92" s="45">
        <v>0</v>
      </c>
      <c r="AG92" s="107"/>
      <c r="AH92" s="48">
        <f t="shared" si="4"/>
        <v>5071198</v>
      </c>
      <c r="AI92" s="48"/>
      <c r="AJ92" s="48">
        <v>0</v>
      </c>
      <c r="AK92" s="48"/>
      <c r="AL92" s="45">
        <v>885457</v>
      </c>
      <c r="AM92" s="45"/>
      <c r="AN92" s="45">
        <v>1802684</v>
      </c>
      <c r="AO92" s="45"/>
      <c r="AP92" s="45">
        <v>0</v>
      </c>
      <c r="AQ92" s="45"/>
      <c r="AR92" s="45">
        <f>+'GVFund Rev'!U92+'GVFund Rev'!W92-'GVFund Exp'!AH92-'GVFund Exp'!AL92+AJ92+AN92+AP92-'GV Fund BS'!S92</f>
        <v>0</v>
      </c>
      <c r="AS92" s="48"/>
    </row>
    <row r="93" spans="1:45" s="44" customFormat="1" ht="12.75" customHeight="1">
      <c r="A93" s="35" t="s">
        <v>116</v>
      </c>
      <c r="C93" s="35" t="s">
        <v>80</v>
      </c>
      <c r="E93" s="45">
        <v>2578096</v>
      </c>
      <c r="F93" s="48"/>
      <c r="G93" s="45">
        <v>3109892</v>
      </c>
      <c r="H93" s="48"/>
      <c r="I93" s="45">
        <v>550703</v>
      </c>
      <c r="J93" s="48"/>
      <c r="K93" s="45">
        <v>209864</v>
      </c>
      <c r="L93" s="48"/>
      <c r="M93" s="45">
        <v>891866</v>
      </c>
      <c r="N93" s="48"/>
      <c r="O93" s="45">
        <v>280553</v>
      </c>
      <c r="P93" s="48"/>
      <c r="Q93" s="45">
        <v>429364</v>
      </c>
      <c r="R93" s="48"/>
      <c r="S93" s="45">
        <v>194336</v>
      </c>
      <c r="T93" s="48"/>
      <c r="U93" s="45">
        <v>0</v>
      </c>
      <c r="V93" s="48"/>
      <c r="W93" s="48"/>
      <c r="X93" s="35"/>
      <c r="Z93" s="35"/>
      <c r="AA93" s="35"/>
      <c r="AB93" s="45">
        <v>4405807</v>
      </c>
      <c r="AC93" s="107"/>
      <c r="AD93" s="45">
        <v>276333</v>
      </c>
      <c r="AE93" s="107"/>
      <c r="AF93" s="45">
        <v>0</v>
      </c>
      <c r="AG93" s="107"/>
      <c r="AH93" s="48">
        <f t="shared" si="4"/>
        <v>12926814</v>
      </c>
      <c r="AI93" s="48"/>
      <c r="AJ93" s="48">
        <v>0</v>
      </c>
      <c r="AK93" s="48"/>
      <c r="AL93" s="45">
        <v>0</v>
      </c>
      <c r="AM93" s="45"/>
      <c r="AN93" s="45">
        <v>1196307</v>
      </c>
      <c r="AO93" s="45"/>
      <c r="AP93" s="45">
        <v>0</v>
      </c>
      <c r="AQ93" s="45"/>
      <c r="AR93" s="45">
        <f>+'GVFund Rev'!U93+'GVFund Rev'!W93-'GVFund Exp'!AH93-'GVFund Exp'!AL93+AJ93+AN93+AP93-'GV Fund BS'!S93</f>
        <v>0</v>
      </c>
      <c r="AS93" s="48"/>
    </row>
    <row r="94" spans="1:45" s="44" customFormat="1" ht="12.75" customHeight="1">
      <c r="A94" s="44" t="s">
        <v>117</v>
      </c>
      <c r="C94" s="35" t="s">
        <v>43</v>
      </c>
      <c r="E94" s="45">
        <v>2423126</v>
      </c>
      <c r="F94" s="48"/>
      <c r="G94" s="45">
        <v>4465941</v>
      </c>
      <c r="H94" s="48"/>
      <c r="I94" s="45">
        <v>0</v>
      </c>
      <c r="J94" s="48"/>
      <c r="K94" s="45">
        <v>39636</v>
      </c>
      <c r="L94" s="48"/>
      <c r="M94" s="45">
        <v>1409635</v>
      </c>
      <c r="N94" s="48"/>
      <c r="O94" s="45">
        <v>715225</v>
      </c>
      <c r="P94" s="48"/>
      <c r="Q94" s="45">
        <v>109100</v>
      </c>
      <c r="R94" s="48"/>
      <c r="S94" s="45">
        <v>448693</v>
      </c>
      <c r="T94" s="48"/>
      <c r="U94" s="45">
        <v>0</v>
      </c>
      <c r="V94" s="48"/>
      <c r="W94" s="48"/>
      <c r="X94" s="35"/>
      <c r="Z94" s="35"/>
      <c r="AA94" s="35"/>
      <c r="AB94" s="45">
        <v>121855</v>
      </c>
      <c r="AC94" s="107"/>
      <c r="AD94" s="45">
        <v>25434</v>
      </c>
      <c r="AE94" s="107"/>
      <c r="AF94" s="45">
        <v>0</v>
      </c>
      <c r="AG94" s="107"/>
      <c r="AH94" s="48">
        <f t="shared" si="4"/>
        <v>9758645</v>
      </c>
      <c r="AI94" s="48"/>
      <c r="AJ94" s="48">
        <v>0</v>
      </c>
      <c r="AK94" s="48"/>
      <c r="AL94" s="45">
        <v>642700</v>
      </c>
      <c r="AM94" s="45"/>
      <c r="AN94" s="45">
        <v>5439600</v>
      </c>
      <c r="AO94" s="45"/>
      <c r="AP94" s="45">
        <v>0</v>
      </c>
      <c r="AQ94" s="45"/>
      <c r="AR94" s="45">
        <f>+'GVFund Rev'!U94+'GVFund Rev'!W94-'GVFund Exp'!AH94-'GVFund Exp'!AL94+AJ94+AN94+AP94-'GV Fund BS'!S94</f>
        <v>0</v>
      </c>
      <c r="AS94" s="48"/>
    </row>
    <row r="95" spans="1:45" s="44" customFormat="1" ht="12.75" customHeight="1">
      <c r="A95" s="64" t="s">
        <v>118</v>
      </c>
      <c r="B95" s="46"/>
      <c r="C95" s="64" t="s">
        <v>13</v>
      </c>
      <c r="D95" s="46"/>
      <c r="E95" s="45">
        <v>11390373</v>
      </c>
      <c r="F95" s="48"/>
      <c r="G95" s="45">
        <v>7331907</v>
      </c>
      <c r="H95" s="48"/>
      <c r="I95" s="45">
        <v>811485</v>
      </c>
      <c r="J95" s="48"/>
      <c r="K95" s="45">
        <v>673953</v>
      </c>
      <c r="L95" s="48"/>
      <c r="M95" s="45">
        <v>2972915</v>
      </c>
      <c r="N95" s="48"/>
      <c r="O95" s="45">
        <v>248383</v>
      </c>
      <c r="P95" s="48"/>
      <c r="Q95" s="45">
        <v>0</v>
      </c>
      <c r="R95" s="48"/>
      <c r="S95" s="45">
        <v>5588460</v>
      </c>
      <c r="T95" s="48"/>
      <c r="U95" s="45">
        <v>0</v>
      </c>
      <c r="V95" s="48"/>
      <c r="W95" s="48"/>
      <c r="X95" s="35"/>
      <c r="Z95" s="35"/>
      <c r="AA95" s="35"/>
      <c r="AB95" s="45">
        <v>960000</v>
      </c>
      <c r="AC95" s="107"/>
      <c r="AD95" s="45">
        <v>2100153</v>
      </c>
      <c r="AE95" s="107"/>
      <c r="AF95" s="45">
        <v>149921</v>
      </c>
      <c r="AG95" s="107"/>
      <c r="AH95" s="48">
        <f t="shared" si="4"/>
        <v>32227550</v>
      </c>
      <c r="AI95" s="48"/>
      <c r="AJ95" s="48">
        <v>0</v>
      </c>
      <c r="AK95" s="48"/>
      <c r="AL95" s="45">
        <f>1989818+9450000</f>
        <v>11439818</v>
      </c>
      <c r="AM95" s="45"/>
      <c r="AN95" s="45">
        <v>26856720</v>
      </c>
      <c r="AO95" s="45"/>
      <c r="AP95" s="45">
        <v>0</v>
      </c>
      <c r="AQ95" s="45"/>
      <c r="AR95" s="45">
        <f>+'GVFund Rev'!U95+'GVFund Rev'!W95-'GVFund Exp'!AH95-'GVFund Exp'!AL95+AJ95+AN95+AP95-'GV Fund BS'!S95</f>
        <v>0</v>
      </c>
      <c r="AS95" s="48"/>
    </row>
    <row r="96" spans="1:45" s="44" customFormat="1" ht="12.75" customHeight="1">
      <c r="A96" s="35" t="s">
        <v>120</v>
      </c>
      <c r="C96" s="35" t="s">
        <v>121</v>
      </c>
      <c r="E96" s="45">
        <v>2179434</v>
      </c>
      <c r="F96" s="48"/>
      <c r="G96" s="45">
        <v>4556567</v>
      </c>
      <c r="H96" s="48"/>
      <c r="I96" s="45">
        <v>289578</v>
      </c>
      <c r="J96" s="48"/>
      <c r="K96" s="45">
        <v>3943</v>
      </c>
      <c r="L96" s="48"/>
      <c r="M96" s="45">
        <v>1661835</v>
      </c>
      <c r="N96" s="48"/>
      <c r="O96" s="45">
        <v>498855</v>
      </c>
      <c r="P96" s="48"/>
      <c r="Q96" s="45">
        <v>216212</v>
      </c>
      <c r="R96" s="48"/>
      <c r="S96" s="45">
        <v>1163937</v>
      </c>
      <c r="T96" s="48"/>
      <c r="U96" s="45">
        <v>0</v>
      </c>
      <c r="V96" s="48"/>
      <c r="W96" s="48"/>
      <c r="X96" s="35"/>
      <c r="Z96" s="35"/>
      <c r="AA96" s="35"/>
      <c r="AB96" s="45">
        <v>355183</v>
      </c>
      <c r="AC96" s="107"/>
      <c r="AD96" s="45">
        <v>145607</v>
      </c>
      <c r="AE96" s="107"/>
      <c r="AF96" s="45">
        <v>0</v>
      </c>
      <c r="AG96" s="107"/>
      <c r="AH96" s="48">
        <f t="shared" si="4"/>
        <v>11071151</v>
      </c>
      <c r="AI96" s="48"/>
      <c r="AJ96" s="48">
        <v>0</v>
      </c>
      <c r="AK96" s="48"/>
      <c r="AL96" s="45">
        <v>991722</v>
      </c>
      <c r="AM96" s="45"/>
      <c r="AN96" s="45">
        <v>5705294</v>
      </c>
      <c r="AO96" s="45"/>
      <c r="AP96" s="45">
        <v>0</v>
      </c>
      <c r="AQ96" s="45"/>
      <c r="AR96" s="45">
        <f>+'GVFund Rev'!U96+'GVFund Rev'!W96-'GVFund Exp'!AH96-'GVFund Exp'!AL96+AJ96+AN96+AP96-'GV Fund BS'!S96</f>
        <v>0</v>
      </c>
      <c r="AS96" s="48"/>
    </row>
    <row r="97" spans="1:45" s="44" customFormat="1" ht="12.75" customHeight="1">
      <c r="A97" s="35" t="s">
        <v>122</v>
      </c>
      <c r="C97" s="35" t="s">
        <v>43</v>
      </c>
      <c r="E97" s="45">
        <f>6211447+1191288</f>
        <v>7402735</v>
      </c>
      <c r="F97" s="48"/>
      <c r="G97" s="45">
        <v>9583643</v>
      </c>
      <c r="H97" s="48"/>
      <c r="I97" s="45">
        <f>1404547+471690</f>
        <v>1876237</v>
      </c>
      <c r="J97" s="48"/>
      <c r="K97" s="45">
        <v>291792</v>
      </c>
      <c r="L97" s="48"/>
      <c r="M97" s="45">
        <v>1432898</v>
      </c>
      <c r="N97" s="48"/>
      <c r="O97" s="45">
        <v>1905279</v>
      </c>
      <c r="P97" s="48"/>
      <c r="Q97" s="45">
        <v>0</v>
      </c>
      <c r="R97" s="48"/>
      <c r="S97" s="45">
        <v>11081383</v>
      </c>
      <c r="T97" s="48"/>
      <c r="U97" s="45">
        <v>0</v>
      </c>
      <c r="V97" s="48"/>
      <c r="W97" s="48"/>
      <c r="X97" s="35"/>
      <c r="Z97" s="35"/>
      <c r="AA97" s="35"/>
      <c r="AB97" s="45">
        <v>9111354</v>
      </c>
      <c r="AC97" s="107"/>
      <c r="AD97" s="45">
        <v>1817039</v>
      </c>
      <c r="AE97" s="107"/>
      <c r="AF97" s="45">
        <v>154760</v>
      </c>
      <c r="AG97" s="107"/>
      <c r="AH97" s="48">
        <f t="shared" si="4"/>
        <v>44657120</v>
      </c>
      <c r="AI97" s="48"/>
      <c r="AJ97" s="48">
        <v>0</v>
      </c>
      <c r="AK97" s="48"/>
      <c r="AL97" s="45">
        <v>10123739</v>
      </c>
      <c r="AM97" s="45"/>
      <c r="AN97" s="45">
        <v>40630571</v>
      </c>
      <c r="AO97" s="45"/>
      <c r="AP97" s="45">
        <v>0</v>
      </c>
      <c r="AQ97" s="45"/>
      <c r="AR97" s="45">
        <f>+'GVFund Rev'!U97+'GVFund Rev'!W97-'GVFund Exp'!AH97-'GVFund Exp'!AL97+AJ97+AN97+AP97-'GV Fund BS'!S97</f>
        <v>0</v>
      </c>
      <c r="AS97" s="48"/>
    </row>
    <row r="98" spans="1:45" s="44" customFormat="1" ht="12.75" customHeight="1">
      <c r="A98" s="44" t="s">
        <v>45</v>
      </c>
      <c r="C98" s="35" t="s">
        <v>103</v>
      </c>
      <c r="E98" s="45">
        <v>6203443</v>
      </c>
      <c r="F98" s="48"/>
      <c r="G98" s="45">
        <v>31100200</v>
      </c>
      <c r="H98" s="48"/>
      <c r="I98" s="45">
        <v>4114757</v>
      </c>
      <c r="J98" s="48"/>
      <c r="K98" s="45">
        <v>1356162</v>
      </c>
      <c r="L98" s="48"/>
      <c r="M98" s="45">
        <v>2650327</v>
      </c>
      <c r="N98" s="48"/>
      <c r="O98" s="45">
        <v>2059769</v>
      </c>
      <c r="P98" s="48"/>
      <c r="Q98" s="45">
        <v>4879843</v>
      </c>
      <c r="R98" s="48"/>
      <c r="S98" s="45">
        <v>2084004</v>
      </c>
      <c r="T98" s="48"/>
      <c r="U98" s="45">
        <v>0</v>
      </c>
      <c r="V98" s="48"/>
      <c r="W98" s="48"/>
      <c r="X98" s="35"/>
      <c r="Z98" s="35"/>
      <c r="AA98" s="35"/>
      <c r="AB98" s="45">
        <v>2045000</v>
      </c>
      <c r="AC98" s="107"/>
      <c r="AD98" s="45">
        <v>1722873</v>
      </c>
      <c r="AE98" s="107"/>
      <c r="AF98" s="45">
        <v>0</v>
      </c>
      <c r="AG98" s="107"/>
      <c r="AH98" s="48">
        <f t="shared" si="4"/>
        <v>58216378</v>
      </c>
      <c r="AI98" s="48"/>
      <c r="AJ98" s="48">
        <v>0</v>
      </c>
      <c r="AK98" s="48"/>
      <c r="AL98" s="45">
        <f>2257022+10915279</f>
        <v>13172301</v>
      </c>
      <c r="AM98" s="45"/>
      <c r="AN98" s="45">
        <v>9219820</v>
      </c>
      <c r="AO98" s="45"/>
      <c r="AP98" s="45">
        <v>-6477</v>
      </c>
      <c r="AQ98" s="45"/>
      <c r="AR98" s="45">
        <f>+'GVFund Rev'!U98+'GVFund Rev'!W98-'GVFund Exp'!AH98-'GVFund Exp'!AL98+AJ98+AN98+AP98-'GV Fund BS'!S98</f>
        <v>0</v>
      </c>
      <c r="AS98" s="48"/>
    </row>
    <row r="99" spans="1:45" s="44" customFormat="1" ht="12.75" customHeight="1">
      <c r="A99" s="46" t="s">
        <v>123</v>
      </c>
      <c r="B99" s="46"/>
      <c r="C99" s="64" t="s">
        <v>45</v>
      </c>
      <c r="D99" s="46"/>
      <c r="E99" s="45">
        <v>1435916</v>
      </c>
      <c r="F99" s="48"/>
      <c r="G99" s="45">
        <v>5601881</v>
      </c>
      <c r="H99" s="48"/>
      <c r="I99" s="45">
        <v>143679</v>
      </c>
      <c r="J99" s="48"/>
      <c r="K99" s="45">
        <v>371429</v>
      </c>
      <c r="L99" s="48"/>
      <c r="M99" s="45">
        <v>667450</v>
      </c>
      <c r="N99" s="48"/>
      <c r="O99" s="45">
        <v>294920</v>
      </c>
      <c r="P99" s="48"/>
      <c r="Q99" s="45">
        <v>0</v>
      </c>
      <c r="R99" s="48"/>
      <c r="S99" s="45">
        <v>3143530</v>
      </c>
      <c r="T99" s="48"/>
      <c r="U99" s="45">
        <v>0</v>
      </c>
      <c r="V99" s="48"/>
      <c r="W99" s="48"/>
      <c r="X99" s="35"/>
      <c r="Z99" s="35"/>
      <c r="AA99" s="35"/>
      <c r="AB99" s="45">
        <v>1581811</v>
      </c>
      <c r="AC99" s="107"/>
      <c r="AD99" s="45">
        <v>195695</v>
      </c>
      <c r="AE99" s="107"/>
      <c r="AF99" s="45">
        <v>87316</v>
      </c>
      <c r="AG99" s="107"/>
      <c r="AH99" s="48">
        <f t="shared" si="4"/>
        <v>13523627</v>
      </c>
      <c r="AI99" s="48"/>
      <c r="AJ99" s="48">
        <v>0</v>
      </c>
      <c r="AK99" s="48"/>
      <c r="AL99" s="45">
        <v>2007615</v>
      </c>
      <c r="AM99" s="45"/>
      <c r="AN99" s="45">
        <v>4976090</v>
      </c>
      <c r="AO99" s="45"/>
      <c r="AP99" s="45">
        <v>0</v>
      </c>
      <c r="AQ99" s="45"/>
      <c r="AR99" s="45">
        <f>+'GVFund Rev'!U99+'GVFund Rev'!W99-'GVFund Exp'!AH99-'GVFund Exp'!AL99+AJ99+AN99+AP99-'GV Fund BS'!S99</f>
        <v>0</v>
      </c>
      <c r="AS99" s="48"/>
    </row>
    <row r="100" spans="1:45" s="44" customFormat="1" ht="12.75" customHeight="1">
      <c r="A100" s="35" t="s">
        <v>124</v>
      </c>
      <c r="C100" s="35" t="s">
        <v>125</v>
      </c>
      <c r="E100" s="45">
        <v>1784830</v>
      </c>
      <c r="F100" s="48"/>
      <c r="G100" s="45">
        <v>4564283</v>
      </c>
      <c r="H100" s="48"/>
      <c r="I100" s="45">
        <v>296209</v>
      </c>
      <c r="J100" s="48"/>
      <c r="K100" s="45">
        <v>55500</v>
      </c>
      <c r="L100" s="48"/>
      <c r="M100" s="45">
        <v>1301307</v>
      </c>
      <c r="N100" s="48"/>
      <c r="O100" s="45">
        <v>1218719</v>
      </c>
      <c r="P100" s="48"/>
      <c r="Q100" s="45">
        <v>0</v>
      </c>
      <c r="R100" s="48"/>
      <c r="S100" s="45">
        <v>0</v>
      </c>
      <c r="T100" s="48"/>
      <c r="U100" s="45">
        <v>0</v>
      </c>
      <c r="V100" s="48"/>
      <c r="W100" s="48"/>
      <c r="X100" s="35"/>
      <c r="Z100" s="35"/>
      <c r="AA100" s="35"/>
      <c r="AB100" s="45">
        <v>283344</v>
      </c>
      <c r="AC100" s="107"/>
      <c r="AD100" s="45">
        <v>199411</v>
      </c>
      <c r="AE100" s="107"/>
      <c r="AF100" s="45">
        <v>0</v>
      </c>
      <c r="AG100" s="107"/>
      <c r="AH100" s="48">
        <f t="shared" si="4"/>
        <v>9703603</v>
      </c>
      <c r="AI100" s="48"/>
      <c r="AJ100" s="48">
        <v>0</v>
      </c>
      <c r="AK100" s="48"/>
      <c r="AL100" s="45">
        <f>1178173+535181</f>
        <v>1713354</v>
      </c>
      <c r="AM100" s="45"/>
      <c r="AN100" s="45">
        <v>7024699</v>
      </c>
      <c r="AO100" s="45"/>
      <c r="AP100" s="45">
        <v>-67378</v>
      </c>
      <c r="AQ100" s="45"/>
      <c r="AR100" s="45">
        <f>+'GVFund Rev'!U100+'GVFund Rev'!W100-'GVFund Exp'!AH100-'GVFund Exp'!AL100+AJ100+AN100+AP100-'GV Fund BS'!S100</f>
        <v>0</v>
      </c>
      <c r="AS100" s="48"/>
    </row>
    <row r="101" spans="1:45" s="44" customFormat="1" ht="12.75" customHeight="1">
      <c r="A101" s="35" t="s">
        <v>126</v>
      </c>
      <c r="C101" s="35" t="s">
        <v>27</v>
      </c>
      <c r="E101" s="45">
        <v>2240197</v>
      </c>
      <c r="F101" s="48"/>
      <c r="G101" s="45">
        <v>5816949</v>
      </c>
      <c r="H101" s="48"/>
      <c r="I101" s="45">
        <v>138845</v>
      </c>
      <c r="J101" s="48"/>
      <c r="K101" s="45">
        <v>39947</v>
      </c>
      <c r="L101" s="48"/>
      <c r="M101" s="45">
        <v>545227</v>
      </c>
      <c r="N101" s="48"/>
      <c r="O101" s="45">
        <v>654373</v>
      </c>
      <c r="P101" s="48"/>
      <c r="Q101" s="45">
        <v>1630614</v>
      </c>
      <c r="R101" s="48"/>
      <c r="S101" s="45">
        <v>1682842</v>
      </c>
      <c r="T101" s="48"/>
      <c r="U101" s="45">
        <v>0</v>
      </c>
      <c r="V101" s="48"/>
      <c r="W101" s="48"/>
      <c r="X101" s="35"/>
      <c r="Z101" s="35"/>
      <c r="AA101" s="35"/>
      <c r="AB101" s="45">
        <v>970823</v>
      </c>
      <c r="AC101" s="107"/>
      <c r="AD101" s="45">
        <v>627107</v>
      </c>
      <c r="AE101" s="107"/>
      <c r="AF101" s="45">
        <v>0</v>
      </c>
      <c r="AG101" s="107"/>
      <c r="AH101" s="48">
        <f t="shared" si="4"/>
        <v>14346924</v>
      </c>
      <c r="AI101" s="48"/>
      <c r="AJ101" s="48">
        <v>0</v>
      </c>
      <c r="AK101" s="48"/>
      <c r="AL101" s="45">
        <v>1430000</v>
      </c>
      <c r="AM101" s="45"/>
      <c r="AN101" s="45">
        <v>7554863</v>
      </c>
      <c r="AO101" s="45"/>
      <c r="AP101" s="45">
        <v>-12128</v>
      </c>
      <c r="AQ101" s="45"/>
      <c r="AR101" s="45">
        <f>+'GVFund Rev'!U101+'GVFund Rev'!W101-'GVFund Exp'!AH101-'GVFund Exp'!AL101+AJ101+AN101+AP101-'GV Fund BS'!S101</f>
        <v>0</v>
      </c>
      <c r="AS101" s="48"/>
    </row>
    <row r="102" spans="1:45" s="44" customFormat="1" ht="12.75" customHeight="1">
      <c r="A102" s="35" t="s">
        <v>127</v>
      </c>
      <c r="C102" s="35" t="s">
        <v>43</v>
      </c>
      <c r="E102" s="45">
        <v>4375856</v>
      </c>
      <c r="F102" s="48"/>
      <c r="G102" s="45">
        <v>15107209</v>
      </c>
      <c r="H102" s="48"/>
      <c r="I102" s="45">
        <v>5833755</v>
      </c>
      <c r="J102" s="48"/>
      <c r="K102" s="45">
        <v>169063</v>
      </c>
      <c r="L102" s="48"/>
      <c r="M102" s="45">
        <v>6746273</v>
      </c>
      <c r="N102" s="48"/>
      <c r="O102" s="45">
        <v>3103714</v>
      </c>
      <c r="P102" s="48"/>
      <c r="Q102" s="45">
        <v>2544706</v>
      </c>
      <c r="R102" s="48"/>
      <c r="S102" s="45">
        <v>0</v>
      </c>
      <c r="T102" s="48"/>
      <c r="U102" s="45">
        <v>0</v>
      </c>
      <c r="V102" s="48"/>
      <c r="W102" s="48"/>
      <c r="X102" s="35"/>
      <c r="Z102" s="35"/>
      <c r="AA102" s="35"/>
      <c r="AB102" s="45">
        <v>2357284</v>
      </c>
      <c r="AC102" s="107"/>
      <c r="AD102" s="45">
        <v>2939932</v>
      </c>
      <c r="AE102" s="107"/>
      <c r="AF102" s="45">
        <v>0</v>
      </c>
      <c r="AG102" s="107"/>
      <c r="AH102" s="48">
        <f t="shared" si="4"/>
        <v>43177792</v>
      </c>
      <c r="AI102" s="48"/>
      <c r="AJ102" s="48">
        <v>0</v>
      </c>
      <c r="AK102" s="48"/>
      <c r="AL102" s="45">
        <v>0</v>
      </c>
      <c r="AM102" s="45"/>
      <c r="AN102" s="45">
        <v>8460945</v>
      </c>
      <c r="AO102" s="45"/>
      <c r="AP102" s="45">
        <v>0</v>
      </c>
      <c r="AQ102" s="45"/>
      <c r="AR102" s="45">
        <f>+'GVFund Rev'!U102+'GVFund Rev'!W102-'GVFund Exp'!AH102-'GVFund Exp'!AL102+AJ102+AN102+AP102-'GV Fund BS'!S102</f>
        <v>0</v>
      </c>
      <c r="AS102" s="48"/>
    </row>
    <row r="103" spans="1:45" s="46" customFormat="1" ht="12.75" customHeight="1">
      <c r="A103" s="35" t="s">
        <v>128</v>
      </c>
      <c r="B103" s="44"/>
      <c r="C103" s="35" t="s">
        <v>119</v>
      </c>
      <c r="D103" s="44"/>
      <c r="E103" s="45">
        <f>1313587+374198</f>
        <v>1687785</v>
      </c>
      <c r="F103" s="48"/>
      <c r="G103" s="45">
        <v>3632547</v>
      </c>
      <c r="H103" s="48"/>
      <c r="I103" s="45">
        <v>196531</v>
      </c>
      <c r="J103" s="48"/>
      <c r="K103" s="45">
        <v>10508</v>
      </c>
      <c r="L103" s="48"/>
      <c r="M103" s="45">
        <v>388384</v>
      </c>
      <c r="N103" s="48"/>
      <c r="O103" s="45">
        <v>95831</v>
      </c>
      <c r="P103" s="48"/>
      <c r="Q103" s="45">
        <v>0</v>
      </c>
      <c r="R103" s="48"/>
      <c r="S103" s="45">
        <v>3464362</v>
      </c>
      <c r="T103" s="48"/>
      <c r="U103" s="45">
        <v>0</v>
      </c>
      <c r="V103" s="48"/>
      <c r="W103" s="48"/>
      <c r="X103" s="35"/>
      <c r="Y103" s="44"/>
      <c r="Z103" s="35"/>
      <c r="AA103" s="35"/>
      <c r="AB103" s="45">
        <v>89815</v>
      </c>
      <c r="AC103" s="107"/>
      <c r="AD103" s="45">
        <v>75108</v>
      </c>
      <c r="AE103" s="107"/>
      <c r="AF103" s="45">
        <v>0</v>
      </c>
      <c r="AG103" s="107"/>
      <c r="AH103" s="48">
        <f t="shared" si="4"/>
        <v>9640871</v>
      </c>
      <c r="AI103" s="48"/>
      <c r="AJ103" s="48">
        <v>0</v>
      </c>
      <c r="AK103" s="48"/>
      <c r="AL103" s="45">
        <v>641802</v>
      </c>
      <c r="AM103" s="45"/>
      <c r="AN103" s="45">
        <v>3798895</v>
      </c>
      <c r="AO103" s="45"/>
      <c r="AP103" s="45">
        <v>0</v>
      </c>
      <c r="AQ103" s="45"/>
      <c r="AR103" s="45">
        <f>+'GVFund Rev'!U103+'GVFund Rev'!W103-'GVFund Exp'!AH103-'GVFund Exp'!AL103+AJ103+AN103+AP103-'GV Fund BS'!S103</f>
        <v>0</v>
      </c>
      <c r="AS103" s="48"/>
    </row>
    <row r="104" spans="1:45" s="44" customFormat="1" ht="12.75" customHeight="1">
      <c r="A104" s="35" t="s">
        <v>129</v>
      </c>
      <c r="C104" s="35" t="s">
        <v>80</v>
      </c>
      <c r="E104" s="45">
        <v>387286</v>
      </c>
      <c r="F104" s="48"/>
      <c r="G104" s="45">
        <v>1673262</v>
      </c>
      <c r="H104" s="48"/>
      <c r="I104" s="45">
        <v>400</v>
      </c>
      <c r="J104" s="48"/>
      <c r="K104" s="45">
        <v>26982</v>
      </c>
      <c r="L104" s="48"/>
      <c r="M104" s="45">
        <v>587503</v>
      </c>
      <c r="N104" s="48"/>
      <c r="O104" s="45">
        <v>32983</v>
      </c>
      <c r="P104" s="48"/>
      <c r="Q104" s="45">
        <v>0</v>
      </c>
      <c r="R104" s="48"/>
      <c r="S104" s="45">
        <v>406498</v>
      </c>
      <c r="T104" s="48"/>
      <c r="U104" s="45">
        <v>0</v>
      </c>
      <c r="V104" s="48"/>
      <c r="W104" s="48"/>
      <c r="X104" s="35"/>
      <c r="Z104" s="35"/>
      <c r="AA104" s="35"/>
      <c r="AB104" s="45">
        <v>411882</v>
      </c>
      <c r="AC104" s="107"/>
      <c r="AD104" s="45">
        <v>139696</v>
      </c>
      <c r="AE104" s="107"/>
      <c r="AF104" s="45">
        <v>0</v>
      </c>
      <c r="AG104" s="107"/>
      <c r="AH104" s="48">
        <f t="shared" si="4"/>
        <v>3666492</v>
      </c>
      <c r="AI104" s="48"/>
      <c r="AJ104" s="48">
        <v>0</v>
      </c>
      <c r="AK104" s="48"/>
      <c r="AL104" s="45">
        <v>851583</v>
      </c>
      <c r="AM104" s="45"/>
      <c r="AN104" s="45">
        <v>1168058</v>
      </c>
      <c r="AO104" s="45"/>
      <c r="AP104" s="45">
        <v>0</v>
      </c>
      <c r="AQ104" s="45"/>
      <c r="AR104" s="45">
        <f>+'GVFund Rev'!U104+'GVFund Rev'!W104-'GVFund Exp'!AH104-'GVFund Exp'!AL104+AJ104+AN104+AP104-'GV Fund BS'!S104</f>
        <v>0</v>
      </c>
      <c r="AS104" s="48"/>
    </row>
    <row r="105" spans="1:45" s="44" customFormat="1" ht="12.75" customHeight="1">
      <c r="A105" s="35" t="s">
        <v>130</v>
      </c>
      <c r="C105" s="35" t="s">
        <v>66</v>
      </c>
      <c r="E105" s="45">
        <v>3487353</v>
      </c>
      <c r="F105" s="48"/>
      <c r="G105" s="45">
        <f>5759171+6235791+1255813</f>
        <v>13250775</v>
      </c>
      <c r="H105" s="48"/>
      <c r="I105" s="45">
        <v>830356</v>
      </c>
      <c r="J105" s="48"/>
      <c r="K105" s="45">
        <v>0</v>
      </c>
      <c r="L105" s="48"/>
      <c r="M105" s="45">
        <v>1495545</v>
      </c>
      <c r="N105" s="48"/>
      <c r="O105" s="45">
        <v>329729</v>
      </c>
      <c r="P105" s="48"/>
      <c r="Q105" s="45">
        <v>0</v>
      </c>
      <c r="R105" s="48"/>
      <c r="S105" s="45">
        <v>5276107</v>
      </c>
      <c r="T105" s="48"/>
      <c r="U105" s="45">
        <v>0</v>
      </c>
      <c r="V105" s="48"/>
      <c r="W105" s="48"/>
      <c r="X105" s="35"/>
      <c r="Z105" s="35"/>
      <c r="AA105" s="35"/>
      <c r="AB105" s="45">
        <v>1768082</v>
      </c>
      <c r="AC105" s="107"/>
      <c r="AD105" s="45">
        <v>1074931</v>
      </c>
      <c r="AE105" s="107"/>
      <c r="AF105" s="45">
        <v>0</v>
      </c>
      <c r="AG105" s="107"/>
      <c r="AH105" s="48">
        <f t="shared" si="4"/>
        <v>27512878</v>
      </c>
      <c r="AI105" s="48"/>
      <c r="AJ105" s="48">
        <v>0</v>
      </c>
      <c r="AK105" s="48"/>
      <c r="AL105" s="45">
        <v>6179988</v>
      </c>
      <c r="AM105" s="45"/>
      <c r="AN105" s="45">
        <v>27334239</v>
      </c>
      <c r="AO105" s="45"/>
      <c r="AP105" s="45">
        <v>93852</v>
      </c>
      <c r="AQ105" s="45"/>
      <c r="AR105" s="45">
        <f>+'GVFund Rev'!U105+'GVFund Rev'!W105-'GVFund Exp'!AH105-'GVFund Exp'!AL105+AJ105+AN105+AP105-'GV Fund BS'!S105</f>
        <v>0</v>
      </c>
      <c r="AS105" s="48"/>
    </row>
    <row r="106" spans="1:45" s="44" customFormat="1" ht="12.75" customHeight="1">
      <c r="A106" s="35" t="s">
        <v>131</v>
      </c>
      <c r="C106" s="35" t="s">
        <v>13</v>
      </c>
      <c r="E106" s="45">
        <v>5300181</v>
      </c>
      <c r="F106" s="48"/>
      <c r="G106" s="45">
        <v>6311350</v>
      </c>
      <c r="H106" s="48"/>
      <c r="I106" s="45">
        <v>1442037</v>
      </c>
      <c r="J106" s="48"/>
      <c r="K106" s="45">
        <v>514155</v>
      </c>
      <c r="L106" s="48"/>
      <c r="M106" s="45">
        <v>2684210</v>
      </c>
      <c r="N106" s="48"/>
      <c r="O106" s="45">
        <v>1036138</v>
      </c>
      <c r="P106" s="48"/>
      <c r="Q106" s="45">
        <v>0</v>
      </c>
      <c r="R106" s="48"/>
      <c r="S106" s="45">
        <v>12742071</v>
      </c>
      <c r="T106" s="48"/>
      <c r="U106" s="45">
        <v>0</v>
      </c>
      <c r="V106" s="48"/>
      <c r="W106" s="48"/>
      <c r="X106" s="35"/>
      <c r="Z106" s="35"/>
      <c r="AA106" s="35"/>
      <c r="AB106" s="45">
        <v>2595753</v>
      </c>
      <c r="AC106" s="107"/>
      <c r="AD106" s="45">
        <v>1333461</v>
      </c>
      <c r="AE106" s="107"/>
      <c r="AF106" s="45">
        <v>0</v>
      </c>
      <c r="AG106" s="107"/>
      <c r="AH106" s="48">
        <f t="shared" si="4"/>
        <v>33959356</v>
      </c>
      <c r="AI106" s="48"/>
      <c r="AJ106" s="48">
        <v>0</v>
      </c>
      <c r="AK106" s="48"/>
      <c r="AL106" s="45">
        <v>8845404</v>
      </c>
      <c r="AM106" s="45"/>
      <c r="AN106" s="45">
        <v>21960172</v>
      </c>
      <c r="AO106" s="45"/>
      <c r="AP106" s="45">
        <v>0</v>
      </c>
      <c r="AQ106" s="45"/>
      <c r="AR106" s="45">
        <f>+'GVFund Rev'!U106+'GVFund Rev'!W106-'GVFund Exp'!AH106-'GVFund Exp'!AL106+AJ106+AN106+AP106-'GV Fund BS'!S106</f>
        <v>0</v>
      </c>
      <c r="AS106" s="48"/>
    </row>
    <row r="107" spans="1:45" s="44" customFormat="1" ht="12.75" customHeight="1">
      <c r="A107" s="35" t="s">
        <v>38</v>
      </c>
      <c r="C107" s="35" t="s">
        <v>132</v>
      </c>
      <c r="E107" s="45">
        <v>1177008</v>
      </c>
      <c r="F107" s="48"/>
      <c r="G107" s="45">
        <v>3390132</v>
      </c>
      <c r="H107" s="48"/>
      <c r="I107" s="45">
        <v>0</v>
      </c>
      <c r="J107" s="48"/>
      <c r="K107" s="45">
        <v>0</v>
      </c>
      <c r="L107" s="48"/>
      <c r="M107" s="45">
        <v>526421</v>
      </c>
      <c r="N107" s="48"/>
      <c r="O107" s="45">
        <v>493359</v>
      </c>
      <c r="P107" s="48"/>
      <c r="Q107" s="45">
        <f>24959+572162</f>
        <v>597121</v>
      </c>
      <c r="R107" s="48"/>
      <c r="S107" s="45">
        <v>264554</v>
      </c>
      <c r="T107" s="48"/>
      <c r="U107" s="45">
        <v>0</v>
      </c>
      <c r="V107" s="48"/>
      <c r="W107" s="48"/>
      <c r="X107" s="35"/>
      <c r="Z107" s="35"/>
      <c r="AA107" s="35"/>
      <c r="AB107" s="45">
        <v>236606</v>
      </c>
      <c r="AC107" s="107"/>
      <c r="AD107" s="45">
        <v>111959</v>
      </c>
      <c r="AE107" s="107"/>
      <c r="AF107" s="45">
        <v>0</v>
      </c>
      <c r="AG107" s="107"/>
      <c r="AH107" s="48">
        <f t="shared" si="4"/>
        <v>6797160</v>
      </c>
      <c r="AI107" s="48"/>
      <c r="AJ107" s="48">
        <v>0</v>
      </c>
      <c r="AK107" s="48"/>
      <c r="AL107" s="45">
        <v>1540994</v>
      </c>
      <c r="AM107" s="45"/>
      <c r="AN107" s="45">
        <v>1961695</v>
      </c>
      <c r="AO107" s="45"/>
      <c r="AP107" s="45">
        <v>0</v>
      </c>
      <c r="AQ107" s="45"/>
      <c r="AR107" s="45">
        <f>+'GVFund Rev'!U107+'GVFund Rev'!W107-'GVFund Exp'!AH107-'GVFund Exp'!AL107+AJ107+AN107+AP107-'GV Fund BS'!S108</f>
        <v>0</v>
      </c>
      <c r="AS107" s="48"/>
    </row>
    <row r="108" spans="1:45" s="44" customFormat="1" ht="12.75" customHeight="1">
      <c r="A108" s="35" t="s">
        <v>133</v>
      </c>
      <c r="C108" s="35" t="s">
        <v>27</v>
      </c>
      <c r="E108" s="45">
        <v>5785603</v>
      </c>
      <c r="F108" s="48"/>
      <c r="G108" s="45">
        <v>8100541</v>
      </c>
      <c r="H108" s="48"/>
      <c r="I108" s="45">
        <v>2136723</v>
      </c>
      <c r="J108" s="48"/>
      <c r="K108" s="45">
        <v>86508</v>
      </c>
      <c r="L108" s="48"/>
      <c r="M108" s="45">
        <v>2390799</v>
      </c>
      <c r="N108" s="48"/>
      <c r="O108" s="45">
        <v>3187729</v>
      </c>
      <c r="P108" s="48"/>
      <c r="Q108" s="45">
        <v>565095</v>
      </c>
      <c r="R108" s="48"/>
      <c r="S108" s="45">
        <v>1905592</v>
      </c>
      <c r="T108" s="48"/>
      <c r="U108" s="45">
        <v>0</v>
      </c>
      <c r="V108" s="48"/>
      <c r="W108" s="48"/>
      <c r="X108" s="35"/>
      <c r="Z108" s="35"/>
      <c r="AA108" s="35"/>
      <c r="AB108" s="45">
        <v>1390398</v>
      </c>
      <c r="AC108" s="107"/>
      <c r="AD108" s="45">
        <v>1330508</v>
      </c>
      <c r="AE108" s="107"/>
      <c r="AF108" s="45">
        <v>1200000</v>
      </c>
      <c r="AG108" s="107"/>
      <c r="AH108" s="48">
        <f t="shared" si="4"/>
        <v>28079496</v>
      </c>
      <c r="AI108" s="48"/>
      <c r="AJ108" s="48">
        <v>0</v>
      </c>
      <c r="AK108" s="48"/>
      <c r="AL108" s="45">
        <f>5900000+5576485</f>
        <v>11476485</v>
      </c>
      <c r="AM108" s="45"/>
      <c r="AN108" s="45">
        <v>8558640</v>
      </c>
      <c r="AO108" s="45"/>
      <c r="AP108" s="45">
        <v>0</v>
      </c>
      <c r="AQ108" s="45"/>
      <c r="AR108" s="45">
        <f>+'GVFund Rev'!U108+'GVFund Rev'!W108-'GVFund Exp'!AH108-'GVFund Exp'!AL108+AJ108+AN108+AP108-'GV Fund BS'!S109</f>
        <v>0</v>
      </c>
      <c r="AS108" s="48"/>
    </row>
    <row r="109" spans="1:45" s="44" customFormat="1" ht="12.75" hidden="1" customHeight="1">
      <c r="A109" s="35" t="s">
        <v>482</v>
      </c>
      <c r="C109" s="35" t="s">
        <v>45</v>
      </c>
      <c r="E109" s="45">
        <v>0</v>
      </c>
      <c r="F109" s="48"/>
      <c r="G109" s="45">
        <v>0</v>
      </c>
      <c r="H109" s="48"/>
      <c r="I109" s="45">
        <v>0</v>
      </c>
      <c r="J109" s="48"/>
      <c r="K109" s="45">
        <v>0</v>
      </c>
      <c r="L109" s="48"/>
      <c r="M109" s="45">
        <v>0</v>
      </c>
      <c r="N109" s="48"/>
      <c r="O109" s="45">
        <v>0</v>
      </c>
      <c r="P109" s="48"/>
      <c r="Q109" s="45">
        <v>0</v>
      </c>
      <c r="R109" s="48"/>
      <c r="S109" s="45">
        <v>0</v>
      </c>
      <c r="T109" s="48"/>
      <c r="U109" s="45">
        <v>0</v>
      </c>
      <c r="V109" s="48"/>
      <c r="W109" s="48"/>
      <c r="X109" s="35"/>
      <c r="Z109" s="35"/>
      <c r="AA109" s="35"/>
      <c r="AB109" s="45">
        <v>0</v>
      </c>
      <c r="AC109" s="107"/>
      <c r="AD109" s="45">
        <v>0</v>
      </c>
      <c r="AE109" s="107"/>
      <c r="AF109" s="45">
        <v>0</v>
      </c>
      <c r="AG109" s="107"/>
      <c r="AH109" s="48">
        <f t="shared" si="4"/>
        <v>0</v>
      </c>
      <c r="AI109" s="48"/>
      <c r="AJ109" s="48">
        <v>0</v>
      </c>
      <c r="AK109" s="48"/>
      <c r="AL109" s="45">
        <v>0</v>
      </c>
      <c r="AM109" s="45"/>
      <c r="AN109" s="45">
        <v>0</v>
      </c>
      <c r="AO109" s="45"/>
      <c r="AP109" s="45">
        <v>0</v>
      </c>
      <c r="AQ109" s="45"/>
      <c r="AR109" s="45">
        <f>+'GVFund Rev'!U109+'GVFund Rev'!W109-'GVFund Exp'!AH109-'GVFund Exp'!AL109+AJ109+AN109+AP109-'GV Fund BS'!S110</f>
        <v>0</v>
      </c>
      <c r="AS109" s="48"/>
    </row>
    <row r="110" spans="1:45" s="44" customFormat="1" ht="12.75" customHeight="1">
      <c r="A110" s="35" t="s">
        <v>136</v>
      </c>
      <c r="C110" s="35" t="s">
        <v>136</v>
      </c>
      <c r="E110" s="45">
        <v>1149403</v>
      </c>
      <c r="F110" s="48"/>
      <c r="G110" s="45">
        <v>2098706</v>
      </c>
      <c r="H110" s="48"/>
      <c r="I110" s="45">
        <v>311573</v>
      </c>
      <c r="J110" s="48"/>
      <c r="K110" s="45">
        <v>290416</v>
      </c>
      <c r="L110" s="48"/>
      <c r="M110" s="45">
        <v>579313</v>
      </c>
      <c r="N110" s="48"/>
      <c r="O110" s="45">
        <v>157107</v>
      </c>
      <c r="P110" s="48"/>
      <c r="Q110" s="45">
        <v>0</v>
      </c>
      <c r="R110" s="48"/>
      <c r="S110" s="45">
        <v>0</v>
      </c>
      <c r="T110" s="48"/>
      <c r="U110" s="45">
        <v>0</v>
      </c>
      <c r="V110" s="48"/>
      <c r="W110" s="48"/>
      <c r="X110" s="35"/>
      <c r="Z110" s="35"/>
      <c r="AA110" s="35"/>
      <c r="AB110" s="45">
        <v>331885</v>
      </c>
      <c r="AC110" s="107"/>
      <c r="AD110" s="45">
        <v>9747</v>
      </c>
      <c r="AE110" s="107"/>
      <c r="AF110" s="45">
        <v>0</v>
      </c>
      <c r="AG110" s="107"/>
      <c r="AH110" s="48">
        <f t="shared" si="4"/>
        <v>4928150</v>
      </c>
      <c r="AI110" s="48"/>
      <c r="AJ110" s="48">
        <v>0</v>
      </c>
      <c r="AK110" s="48"/>
      <c r="AL110" s="45">
        <v>153513</v>
      </c>
      <c r="AM110" s="45"/>
      <c r="AN110" s="45">
        <v>4666666</v>
      </c>
      <c r="AO110" s="45"/>
      <c r="AP110" s="45">
        <v>0</v>
      </c>
      <c r="AQ110" s="45"/>
      <c r="AR110" s="45">
        <f>+'GVFund Rev'!U110+'GVFund Rev'!W110-'GVFund Exp'!AH110-'GVFund Exp'!AL110+AJ110+AN110+AP110-'GV Fund BS'!S111</f>
        <v>0</v>
      </c>
      <c r="AS110" s="48"/>
    </row>
    <row r="111" spans="1:45" s="44" customFormat="1" ht="12.75" customHeight="1">
      <c r="A111" s="35" t="s">
        <v>137</v>
      </c>
      <c r="C111" s="35" t="s">
        <v>22</v>
      </c>
      <c r="E111" s="45">
        <v>2740057</v>
      </c>
      <c r="F111" s="48"/>
      <c r="G111" s="45">
        <v>9754066</v>
      </c>
      <c r="H111" s="48"/>
      <c r="I111" s="45">
        <v>1754975</v>
      </c>
      <c r="J111" s="48"/>
      <c r="K111" s="45">
        <v>614382</v>
      </c>
      <c r="L111" s="48"/>
      <c r="M111" s="45">
        <v>1864925</v>
      </c>
      <c r="N111" s="48"/>
      <c r="O111" s="45">
        <v>1311301</v>
      </c>
      <c r="P111" s="48"/>
      <c r="Q111" s="45">
        <v>0</v>
      </c>
      <c r="R111" s="48"/>
      <c r="S111" s="45">
        <v>4186284</v>
      </c>
      <c r="T111" s="48"/>
      <c r="U111" s="45">
        <v>0</v>
      </c>
      <c r="V111" s="48"/>
      <c r="W111" s="48"/>
      <c r="X111" s="35"/>
      <c r="Z111" s="35"/>
      <c r="AA111" s="35"/>
      <c r="AB111" s="45">
        <v>198947</v>
      </c>
      <c r="AC111" s="107"/>
      <c r="AD111" s="45">
        <v>216718</v>
      </c>
      <c r="AE111" s="107"/>
      <c r="AF111" s="45">
        <v>0</v>
      </c>
      <c r="AG111" s="107"/>
      <c r="AH111" s="48">
        <f t="shared" si="4"/>
        <v>22641655</v>
      </c>
      <c r="AI111" s="48"/>
      <c r="AJ111" s="48">
        <v>0</v>
      </c>
      <c r="AK111" s="48"/>
      <c r="AL111" s="45">
        <v>9946880</v>
      </c>
      <c r="AM111" s="45"/>
      <c r="AN111" s="45">
        <v>21493345</v>
      </c>
      <c r="AO111" s="45"/>
      <c r="AP111" s="45">
        <v>0</v>
      </c>
      <c r="AQ111" s="45"/>
      <c r="AR111" s="45">
        <f>+'GVFund Rev'!U111+'GVFund Rev'!W111-'GVFund Exp'!AH111-'GVFund Exp'!AL111+AJ111+AN111+AP111-'GV Fund BS'!S112</f>
        <v>0</v>
      </c>
      <c r="AS111" s="48"/>
    </row>
    <row r="112" spans="1:45" s="121" customFormat="1" ht="12.75" hidden="1" customHeight="1">
      <c r="A112" s="126" t="s">
        <v>138</v>
      </c>
      <c r="C112" s="126" t="s">
        <v>139</v>
      </c>
      <c r="E112" s="45">
        <v>0</v>
      </c>
      <c r="F112" s="48"/>
      <c r="G112" s="45">
        <v>0</v>
      </c>
      <c r="H112" s="48"/>
      <c r="I112" s="45">
        <v>0</v>
      </c>
      <c r="J112" s="48"/>
      <c r="K112" s="45">
        <v>0</v>
      </c>
      <c r="L112" s="48"/>
      <c r="M112" s="45">
        <v>0</v>
      </c>
      <c r="N112" s="48"/>
      <c r="O112" s="45">
        <v>0</v>
      </c>
      <c r="P112" s="48"/>
      <c r="Q112" s="45">
        <v>0</v>
      </c>
      <c r="R112" s="48"/>
      <c r="S112" s="45">
        <v>0</v>
      </c>
      <c r="T112" s="48"/>
      <c r="U112" s="45">
        <v>0</v>
      </c>
      <c r="V112" s="48"/>
      <c r="W112" s="48"/>
      <c r="X112" s="35"/>
      <c r="Y112" s="44"/>
      <c r="Z112" s="35"/>
      <c r="AA112" s="35"/>
      <c r="AB112" s="45">
        <v>0</v>
      </c>
      <c r="AC112" s="107"/>
      <c r="AD112" s="45">
        <v>0</v>
      </c>
      <c r="AE112" s="107"/>
      <c r="AF112" s="45">
        <v>0</v>
      </c>
      <c r="AG112" s="107"/>
      <c r="AH112" s="48">
        <f t="shared" si="4"/>
        <v>0</v>
      </c>
      <c r="AI112" s="48"/>
      <c r="AJ112" s="48">
        <v>0</v>
      </c>
      <c r="AK112" s="48"/>
      <c r="AL112" s="45">
        <v>0</v>
      </c>
      <c r="AM112" s="45"/>
      <c r="AN112" s="45">
        <v>0</v>
      </c>
      <c r="AO112" s="45"/>
      <c r="AP112" s="45">
        <v>0</v>
      </c>
      <c r="AQ112" s="127"/>
      <c r="AR112" s="127">
        <f>+'GVFund Rev'!U112+'GVFund Rev'!W112-'GVFund Exp'!AH112-'GVFund Exp'!AL112+AJ112+AN112+AP112-'GV Fund BS'!S113</f>
        <v>0</v>
      </c>
      <c r="AS112" s="130"/>
    </row>
    <row r="113" spans="1:46" s="44" customFormat="1" ht="12.75" customHeight="1">
      <c r="A113" s="35" t="s">
        <v>140</v>
      </c>
      <c r="C113" s="35" t="s">
        <v>66</v>
      </c>
      <c r="E113" s="45">
        <v>12153096</v>
      </c>
      <c r="F113" s="48"/>
      <c r="G113" s="45">
        <f>13641191+9564579</f>
        <v>23205770</v>
      </c>
      <c r="H113" s="48"/>
      <c r="I113" s="45">
        <v>0</v>
      </c>
      <c r="J113" s="48"/>
      <c r="K113" s="45">
        <v>0</v>
      </c>
      <c r="L113" s="48"/>
      <c r="M113" s="45">
        <v>8514496</v>
      </c>
      <c r="N113" s="48"/>
      <c r="O113" s="45">
        <v>12084992</v>
      </c>
      <c r="P113" s="48"/>
      <c r="Q113" s="45">
        <v>0</v>
      </c>
      <c r="R113" s="48"/>
      <c r="S113" s="45">
        <v>10221062</v>
      </c>
      <c r="T113" s="48"/>
      <c r="U113" s="45">
        <v>0</v>
      </c>
      <c r="V113" s="48"/>
      <c r="W113" s="48"/>
      <c r="X113" s="35"/>
      <c r="Z113" s="35"/>
      <c r="AA113" s="35"/>
      <c r="AB113" s="45">
        <v>775290</v>
      </c>
      <c r="AC113" s="107"/>
      <c r="AD113" s="45">
        <v>463231</v>
      </c>
      <c r="AE113" s="107"/>
      <c r="AF113" s="45">
        <v>0</v>
      </c>
      <c r="AG113" s="107"/>
      <c r="AH113" s="48">
        <f t="shared" si="4"/>
        <v>67417937</v>
      </c>
      <c r="AI113" s="48"/>
      <c r="AJ113" s="48">
        <v>0</v>
      </c>
      <c r="AK113" s="48"/>
      <c r="AL113" s="45">
        <v>15445122</v>
      </c>
      <c r="AM113" s="45"/>
      <c r="AN113" s="45">
        <v>51517105</v>
      </c>
      <c r="AO113" s="45"/>
      <c r="AP113" s="45">
        <v>0</v>
      </c>
      <c r="AQ113" s="45"/>
      <c r="AR113" s="45">
        <f>+'GVFund Rev'!U113+'GVFund Rev'!W113-'GVFund Exp'!AH113-'GVFund Exp'!AL113+AJ113+AN113+AP113-'GV Fund BS'!S114</f>
        <v>0</v>
      </c>
      <c r="AS113" s="48"/>
    </row>
    <row r="114" spans="1:46" s="44" customFormat="1" ht="12.75" customHeight="1">
      <c r="A114" s="35" t="s">
        <v>478</v>
      </c>
      <c r="C114" s="35" t="s">
        <v>92</v>
      </c>
      <c r="E114" s="45">
        <v>1692933</v>
      </c>
      <c r="F114" s="48"/>
      <c r="G114" s="45">
        <v>2443056</v>
      </c>
      <c r="H114" s="48"/>
      <c r="I114" s="45">
        <v>71964</v>
      </c>
      <c r="J114" s="48"/>
      <c r="K114" s="45">
        <v>76125</v>
      </c>
      <c r="L114" s="48"/>
      <c r="M114" s="45">
        <v>1309130</v>
      </c>
      <c r="N114" s="48"/>
      <c r="O114" s="45">
        <v>289315</v>
      </c>
      <c r="P114" s="48"/>
      <c r="Q114" s="45">
        <v>0</v>
      </c>
      <c r="R114" s="48"/>
      <c r="S114" s="45">
        <v>430492</v>
      </c>
      <c r="T114" s="48"/>
      <c r="U114" s="45">
        <v>0</v>
      </c>
      <c r="V114" s="48"/>
      <c r="W114" s="48"/>
      <c r="X114" s="35"/>
      <c r="Z114" s="35"/>
      <c r="AA114" s="35"/>
      <c r="AB114" s="45">
        <v>238944</v>
      </c>
      <c r="AC114" s="107"/>
      <c r="AD114" s="45">
        <v>186514</v>
      </c>
      <c r="AE114" s="107"/>
      <c r="AF114" s="45">
        <v>0</v>
      </c>
      <c r="AG114" s="107"/>
      <c r="AH114" s="48">
        <f t="shared" si="4"/>
        <v>6738473</v>
      </c>
      <c r="AI114" s="48"/>
      <c r="AJ114" s="48">
        <v>0</v>
      </c>
      <c r="AK114" s="48"/>
      <c r="AL114" s="45">
        <v>523889</v>
      </c>
      <c r="AM114" s="45"/>
      <c r="AN114" s="45">
        <v>169087</v>
      </c>
      <c r="AO114" s="45"/>
      <c r="AP114" s="45">
        <v>0</v>
      </c>
      <c r="AQ114" s="45"/>
      <c r="AR114" s="45">
        <f>+'GVFund Rev'!U114+'GVFund Rev'!W114-'GVFund Exp'!AH114-'GVFund Exp'!AL114+AJ114+AN114+AP114-'GV Fund BS'!S115</f>
        <v>0</v>
      </c>
      <c r="AS114" s="48"/>
    </row>
    <row r="115" spans="1:46" s="44" customFormat="1" ht="12.75" customHeight="1">
      <c r="A115" s="64" t="s">
        <v>141</v>
      </c>
      <c r="B115" s="46"/>
      <c r="C115" s="64" t="s">
        <v>27</v>
      </c>
      <c r="D115" s="46"/>
      <c r="E115" s="45">
        <v>7875387</v>
      </c>
      <c r="F115" s="48"/>
      <c r="G115" s="45">
        <f>12220039+9662410</f>
        <v>21882449</v>
      </c>
      <c r="H115" s="48"/>
      <c r="I115" s="45">
        <v>6250805</v>
      </c>
      <c r="J115" s="48"/>
      <c r="K115" s="45">
        <v>2428498</v>
      </c>
      <c r="L115" s="48"/>
      <c r="M115" s="45">
        <v>1704157</v>
      </c>
      <c r="N115" s="48"/>
      <c r="O115" s="45">
        <v>1513654</v>
      </c>
      <c r="P115" s="48"/>
      <c r="Q115" s="45">
        <v>3699636</v>
      </c>
      <c r="R115" s="48"/>
      <c r="S115" s="45">
        <v>6842067</v>
      </c>
      <c r="T115" s="48"/>
      <c r="U115" s="45">
        <v>0</v>
      </c>
      <c r="V115" s="48"/>
      <c r="W115" s="48"/>
      <c r="X115" s="35"/>
      <c r="Z115" s="35"/>
      <c r="AA115" s="35"/>
      <c r="AB115" s="45">
        <v>4087490</v>
      </c>
      <c r="AC115" s="107"/>
      <c r="AD115" s="45">
        <v>2085801</v>
      </c>
      <c r="AE115" s="107"/>
      <c r="AF115" s="45">
        <v>0</v>
      </c>
      <c r="AG115" s="107"/>
      <c r="AH115" s="48">
        <f t="shared" si="4"/>
        <v>58369944</v>
      </c>
      <c r="AI115" s="48"/>
      <c r="AJ115" s="48">
        <v>0</v>
      </c>
      <c r="AK115" s="48"/>
      <c r="AL115" s="45">
        <f>11696386+7771000</f>
        <v>19467386</v>
      </c>
      <c r="AM115" s="45"/>
      <c r="AN115" s="45">
        <v>14095490</v>
      </c>
      <c r="AO115" s="45"/>
      <c r="AP115" s="45">
        <v>0</v>
      </c>
      <c r="AQ115" s="45"/>
      <c r="AR115" s="45">
        <f>+'GVFund Rev'!U115+'GVFund Rev'!W115-'GVFund Exp'!AH115-'GVFund Exp'!AL115+AJ115+AN115+AP115-'GV Fund BS'!S116</f>
        <v>0</v>
      </c>
      <c r="AS115" s="48"/>
    </row>
    <row r="116" spans="1:46" s="44" customFormat="1" ht="12.75" customHeight="1">
      <c r="A116" s="35" t="s">
        <v>142</v>
      </c>
      <c r="C116" s="35" t="s">
        <v>102</v>
      </c>
      <c r="E116" s="45">
        <v>7342691</v>
      </c>
      <c r="F116" s="48"/>
      <c r="G116" s="45">
        <v>17282106</v>
      </c>
      <c r="H116" s="48"/>
      <c r="I116" s="45">
        <v>914314</v>
      </c>
      <c r="J116" s="48"/>
      <c r="K116" s="45">
        <v>861469</v>
      </c>
      <c r="L116" s="48"/>
      <c r="M116" s="45">
        <v>4405233</v>
      </c>
      <c r="N116" s="48"/>
      <c r="O116" s="45">
        <v>1930845</v>
      </c>
      <c r="P116" s="48"/>
      <c r="Q116" s="45">
        <v>0</v>
      </c>
      <c r="R116" s="48"/>
      <c r="S116" s="45">
        <v>825694</v>
      </c>
      <c r="T116" s="48"/>
      <c r="U116" s="45">
        <v>0</v>
      </c>
      <c r="V116" s="48"/>
      <c r="W116" s="48"/>
      <c r="X116" s="35"/>
      <c r="Z116" s="35"/>
      <c r="AA116" s="35"/>
      <c r="AB116" s="45">
        <v>413171</v>
      </c>
      <c r="AC116" s="107"/>
      <c r="AD116" s="45">
        <v>448980</v>
      </c>
      <c r="AE116" s="107"/>
      <c r="AF116" s="45">
        <v>0</v>
      </c>
      <c r="AG116" s="107"/>
      <c r="AH116" s="48">
        <f t="shared" si="4"/>
        <v>34424503</v>
      </c>
      <c r="AI116" s="48"/>
      <c r="AJ116" s="48">
        <v>0</v>
      </c>
      <c r="AK116" s="48"/>
      <c r="AL116" s="45">
        <v>2032945</v>
      </c>
      <c r="AM116" s="45"/>
      <c r="AN116" s="45">
        <v>4151703</v>
      </c>
      <c r="AO116" s="45"/>
      <c r="AP116" s="45">
        <v>39298</v>
      </c>
      <c r="AQ116" s="45"/>
      <c r="AR116" s="45">
        <f>+'GVFund Rev'!U116+'GVFund Rev'!W116-'GVFund Exp'!AH116-'GVFund Exp'!AL116+AJ116+AN116+AP116-'GV Fund BS'!S117</f>
        <v>0</v>
      </c>
      <c r="AS116" s="48"/>
    </row>
    <row r="117" spans="1:46" s="44" customFormat="1" ht="12.75" customHeight="1">
      <c r="A117" s="35" t="s">
        <v>143</v>
      </c>
      <c r="C117" s="35" t="s">
        <v>111</v>
      </c>
      <c r="E117" s="45">
        <v>3858069</v>
      </c>
      <c r="F117" s="48"/>
      <c r="G117" s="45">
        <f>4165490+2540690</f>
        <v>6706180</v>
      </c>
      <c r="H117" s="48"/>
      <c r="I117" s="45">
        <v>851361</v>
      </c>
      <c r="J117" s="48"/>
      <c r="K117" s="45">
        <v>159879</v>
      </c>
      <c r="L117" s="48"/>
      <c r="M117" s="45">
        <v>1000611</v>
      </c>
      <c r="N117" s="48"/>
      <c r="O117" s="45">
        <v>424044</v>
      </c>
      <c r="P117" s="48"/>
      <c r="Q117" s="45">
        <v>257623</v>
      </c>
      <c r="R117" s="48"/>
      <c r="S117" s="45">
        <v>6231284</v>
      </c>
      <c r="T117" s="48"/>
      <c r="U117" s="45">
        <v>0</v>
      </c>
      <c r="V117" s="48"/>
      <c r="W117" s="48"/>
      <c r="X117" s="35"/>
      <c r="Z117" s="35"/>
      <c r="AA117" s="35"/>
      <c r="AB117" s="45">
        <v>576144</v>
      </c>
      <c r="AC117" s="107"/>
      <c r="AD117" s="45">
        <v>309873</v>
      </c>
      <c r="AE117" s="107"/>
      <c r="AF117" s="45">
        <v>103322</v>
      </c>
      <c r="AG117" s="107"/>
      <c r="AH117" s="48">
        <f t="shared" si="4"/>
        <v>20478390</v>
      </c>
      <c r="AI117" s="48"/>
      <c r="AJ117" s="48">
        <v>0</v>
      </c>
      <c r="AK117" s="48"/>
      <c r="AL117" s="45">
        <v>2624391</v>
      </c>
      <c r="AM117" s="45"/>
      <c r="AN117" s="45">
        <v>17517681</v>
      </c>
      <c r="AO117" s="45"/>
      <c r="AP117" s="45">
        <v>0</v>
      </c>
      <c r="AQ117" s="45"/>
      <c r="AR117" s="45">
        <f>+'GVFund Rev'!U117+'GVFund Rev'!W117-'GVFund Exp'!AH117-'GVFund Exp'!AL117+AJ117+AN117+AP117-'GV Fund BS'!S118</f>
        <v>0</v>
      </c>
      <c r="AS117" s="48"/>
    </row>
    <row r="118" spans="1:46" s="46" customFormat="1" ht="12.75" customHeight="1">
      <c r="A118" s="28" t="s">
        <v>144</v>
      </c>
      <c r="B118" s="47"/>
      <c r="C118" s="28" t="s">
        <v>88</v>
      </c>
      <c r="D118" s="49"/>
      <c r="E118" s="45">
        <v>7708148</v>
      </c>
      <c r="F118" s="48"/>
      <c r="G118" s="45">
        <v>15291736</v>
      </c>
      <c r="H118" s="48"/>
      <c r="I118" s="45">
        <v>3751556</v>
      </c>
      <c r="J118" s="48"/>
      <c r="K118" s="45">
        <v>0</v>
      </c>
      <c r="L118" s="48"/>
      <c r="M118" s="45">
        <v>4440213</v>
      </c>
      <c r="N118" s="48"/>
      <c r="O118" s="45">
        <v>898919</v>
      </c>
      <c r="P118" s="48"/>
      <c r="Q118" s="45">
        <v>0</v>
      </c>
      <c r="R118" s="48"/>
      <c r="S118" s="45">
        <v>3588071</v>
      </c>
      <c r="T118" s="48"/>
      <c r="U118" s="45">
        <v>0</v>
      </c>
      <c r="V118" s="48"/>
      <c r="W118" s="48"/>
      <c r="X118" s="35"/>
      <c r="Y118" s="44"/>
      <c r="Z118" s="35"/>
      <c r="AA118" s="35"/>
      <c r="AB118" s="45">
        <v>975818</v>
      </c>
      <c r="AC118" s="107"/>
      <c r="AD118" s="45">
        <v>110150</v>
      </c>
      <c r="AE118" s="107"/>
      <c r="AF118" s="45">
        <v>0</v>
      </c>
      <c r="AG118" s="107"/>
      <c r="AH118" s="48">
        <f t="shared" si="4"/>
        <v>36764611</v>
      </c>
      <c r="AI118" s="48"/>
      <c r="AJ118" s="48">
        <v>0</v>
      </c>
      <c r="AK118" s="48"/>
      <c r="AL118" s="45">
        <v>183290</v>
      </c>
      <c r="AM118" s="45"/>
      <c r="AN118" s="45">
        <v>12650658</v>
      </c>
      <c r="AO118" s="45"/>
      <c r="AP118" s="45">
        <v>0</v>
      </c>
      <c r="AQ118" s="45"/>
      <c r="AR118" s="45">
        <f>+'GVFund Rev'!U118+'GVFund Rev'!W118-'GVFund Exp'!AH118-'GVFund Exp'!AL118+AJ118+AN118+AP118-'GV Fund BS'!S119</f>
        <v>0</v>
      </c>
      <c r="AS118" s="48"/>
    </row>
    <row r="119" spans="1:46" s="44" customFormat="1" ht="12.75" customHeight="1">
      <c r="A119" s="35" t="s">
        <v>36</v>
      </c>
      <c r="C119" s="35" t="s">
        <v>145</v>
      </c>
      <c r="E119" s="45">
        <v>842980</v>
      </c>
      <c r="F119" s="48"/>
      <c r="G119" s="45">
        <f>1543090+816439</f>
        <v>2359529</v>
      </c>
      <c r="H119" s="48"/>
      <c r="I119" s="45">
        <v>374101</v>
      </c>
      <c r="J119" s="48"/>
      <c r="K119" s="45">
        <v>289421</v>
      </c>
      <c r="L119" s="48"/>
      <c r="M119" s="45">
        <v>582013</v>
      </c>
      <c r="N119" s="48"/>
      <c r="O119" s="45">
        <v>67872</v>
      </c>
      <c r="P119" s="48"/>
      <c r="Q119" s="45">
        <v>2959</v>
      </c>
      <c r="R119" s="48"/>
      <c r="S119" s="45">
        <v>496333</v>
      </c>
      <c r="T119" s="48"/>
      <c r="U119" s="45">
        <v>0</v>
      </c>
      <c r="V119" s="48"/>
      <c r="W119" s="48"/>
      <c r="X119" s="35"/>
      <c r="Z119" s="35"/>
      <c r="AA119" s="35"/>
      <c r="AB119" s="45">
        <v>101440</v>
      </c>
      <c r="AC119" s="107"/>
      <c r="AD119" s="45">
        <v>16018</v>
      </c>
      <c r="AE119" s="107"/>
      <c r="AF119" s="45">
        <v>0</v>
      </c>
      <c r="AG119" s="107"/>
      <c r="AH119" s="48">
        <f t="shared" si="4"/>
        <v>5132666</v>
      </c>
      <c r="AI119" s="48"/>
      <c r="AJ119" s="48">
        <v>0</v>
      </c>
      <c r="AK119" s="48"/>
      <c r="AL119" s="45">
        <v>108000</v>
      </c>
      <c r="AM119" s="45"/>
      <c r="AN119" s="45">
        <v>2080238</v>
      </c>
      <c r="AO119" s="45"/>
      <c r="AP119" s="45">
        <v>0</v>
      </c>
      <c r="AQ119" s="45"/>
      <c r="AR119" s="45">
        <f>+'GVFund Rev'!U119+'GVFund Rev'!W119-'GVFund Exp'!AH119-'GVFund Exp'!AL119+AJ119+AN119+AP119-'GV Fund BS'!S120</f>
        <v>0</v>
      </c>
      <c r="AS119" s="48"/>
    </row>
    <row r="120" spans="1:46" s="44" customFormat="1" ht="12.75" customHeight="1">
      <c r="A120" s="64" t="s">
        <v>146</v>
      </c>
      <c r="B120" s="46"/>
      <c r="C120" s="64" t="s">
        <v>147</v>
      </c>
      <c r="D120" s="46"/>
      <c r="E120" s="45">
        <v>1212305</v>
      </c>
      <c r="F120" s="48"/>
      <c r="G120" s="45">
        <v>3037582</v>
      </c>
      <c r="H120" s="48"/>
      <c r="I120" s="45">
        <v>409499</v>
      </c>
      <c r="J120" s="48"/>
      <c r="K120" s="45">
        <v>750</v>
      </c>
      <c r="L120" s="48"/>
      <c r="M120" s="45">
        <v>540372</v>
      </c>
      <c r="N120" s="48"/>
      <c r="O120" s="45">
        <v>151221</v>
      </c>
      <c r="P120" s="48"/>
      <c r="Q120" s="45">
        <v>0</v>
      </c>
      <c r="R120" s="48"/>
      <c r="S120" s="45">
        <v>239206</v>
      </c>
      <c r="T120" s="48"/>
      <c r="U120" s="45">
        <v>0</v>
      </c>
      <c r="V120" s="48"/>
      <c r="W120" s="48"/>
      <c r="X120" s="35"/>
      <c r="Z120" s="35"/>
      <c r="AA120" s="35"/>
      <c r="AB120" s="45">
        <v>194265</v>
      </c>
      <c r="AC120" s="107"/>
      <c r="AD120" s="45">
        <v>25991</v>
      </c>
      <c r="AE120" s="107"/>
      <c r="AF120" s="45">
        <v>0</v>
      </c>
      <c r="AG120" s="107"/>
      <c r="AH120" s="48">
        <f t="shared" si="4"/>
        <v>5811191</v>
      </c>
      <c r="AI120" s="48"/>
      <c r="AJ120" s="48">
        <v>0</v>
      </c>
      <c r="AK120" s="48"/>
      <c r="AL120" s="45">
        <v>494567</v>
      </c>
      <c r="AM120" s="45"/>
      <c r="AN120" s="45">
        <v>3223028</v>
      </c>
      <c r="AO120" s="45"/>
      <c r="AP120" s="45">
        <v>0</v>
      </c>
      <c r="AQ120" s="45"/>
      <c r="AR120" s="45">
        <f>+'GVFund Rev'!U120+'GVFund Rev'!W120-'GVFund Exp'!AH120-'GVFund Exp'!AL120+AJ120+AN120+AP120-'GV Fund BS'!S121</f>
        <v>0</v>
      </c>
      <c r="AS120" s="48"/>
    </row>
    <row r="121" spans="1:46" s="44" customFormat="1" ht="12.75" customHeight="1">
      <c r="A121" s="35" t="s">
        <v>17</v>
      </c>
      <c r="C121" s="35" t="s">
        <v>17</v>
      </c>
      <c r="E121" s="45">
        <v>8592192</v>
      </c>
      <c r="F121" s="48"/>
      <c r="G121" s="45">
        <v>19171278</v>
      </c>
      <c r="H121" s="48"/>
      <c r="I121" s="45">
        <f>633603+2680510</f>
        <v>3314113</v>
      </c>
      <c r="J121" s="48"/>
      <c r="K121" s="45">
        <v>1709057</v>
      </c>
      <c r="L121" s="48"/>
      <c r="M121" s="45">
        <v>2620162</v>
      </c>
      <c r="N121" s="48"/>
      <c r="O121" s="45">
        <v>922661</v>
      </c>
      <c r="P121" s="48"/>
      <c r="Q121" s="45">
        <v>0</v>
      </c>
      <c r="R121" s="48"/>
      <c r="S121" s="45">
        <v>6394806</v>
      </c>
      <c r="T121" s="48"/>
      <c r="U121" s="45">
        <v>0</v>
      </c>
      <c r="V121" s="48"/>
      <c r="W121" s="48"/>
      <c r="X121" s="35"/>
      <c r="Z121" s="35"/>
      <c r="AA121" s="35"/>
      <c r="AB121" s="45">
        <v>2920967</v>
      </c>
      <c r="AC121" s="107"/>
      <c r="AD121" s="45">
        <v>2153744</v>
      </c>
      <c r="AE121" s="107"/>
      <c r="AF121" s="45">
        <v>24943</v>
      </c>
      <c r="AG121" s="107"/>
      <c r="AH121" s="48">
        <f t="shared" si="4"/>
        <v>47823923</v>
      </c>
      <c r="AI121" s="48"/>
      <c r="AJ121" s="48">
        <v>0</v>
      </c>
      <c r="AK121" s="48"/>
      <c r="AL121" s="45">
        <v>2664088</v>
      </c>
      <c r="AM121" s="45"/>
      <c r="AN121" s="45">
        <v>22484754</v>
      </c>
      <c r="AO121" s="45"/>
      <c r="AP121" s="45">
        <v>0</v>
      </c>
      <c r="AQ121" s="45"/>
      <c r="AR121" s="45">
        <f>+'GVFund Rev'!U122+'GVFund Rev'!W122-'GVFund Exp'!AH121-'GVFund Exp'!AL121+AJ121+AN121+AP121-'GV Fund BS'!S122</f>
        <v>0</v>
      </c>
      <c r="AS121" s="48"/>
    </row>
    <row r="122" spans="1:46" s="44" customFormat="1" ht="12.75" customHeight="1">
      <c r="A122" s="35" t="s">
        <v>148</v>
      </c>
      <c r="C122" s="35" t="s">
        <v>15</v>
      </c>
      <c r="E122" s="45">
        <v>883666</v>
      </c>
      <c r="F122" s="48"/>
      <c r="G122" s="45">
        <v>1981918</v>
      </c>
      <c r="H122" s="48"/>
      <c r="I122" s="45">
        <v>211481</v>
      </c>
      <c r="J122" s="48"/>
      <c r="K122" s="45">
        <v>77436</v>
      </c>
      <c r="L122" s="48"/>
      <c r="M122" s="45">
        <v>457680</v>
      </c>
      <c r="N122" s="48"/>
      <c r="O122" s="45">
        <v>261362</v>
      </c>
      <c r="P122" s="48"/>
      <c r="Q122" s="45">
        <v>0</v>
      </c>
      <c r="R122" s="48"/>
      <c r="S122" s="45">
        <v>505922</v>
      </c>
      <c r="T122" s="48"/>
      <c r="U122" s="45">
        <v>0</v>
      </c>
      <c r="V122" s="48"/>
      <c r="W122" s="48"/>
      <c r="X122" s="35"/>
      <c r="Z122" s="35"/>
      <c r="AA122" s="35"/>
      <c r="AB122" s="45">
        <v>100144</v>
      </c>
      <c r="AC122" s="107"/>
      <c r="AD122" s="45">
        <v>21355</v>
      </c>
      <c r="AE122" s="107"/>
      <c r="AF122" s="45">
        <v>0</v>
      </c>
      <c r="AG122" s="107"/>
      <c r="AH122" s="48">
        <f t="shared" si="4"/>
        <v>4500964</v>
      </c>
      <c r="AI122" s="48"/>
      <c r="AJ122" s="48">
        <v>0</v>
      </c>
      <c r="AK122" s="48"/>
      <c r="AL122" s="45">
        <v>445788</v>
      </c>
      <c r="AM122" s="45"/>
      <c r="AN122" s="45">
        <v>2047600</v>
      </c>
      <c r="AO122" s="45"/>
      <c r="AP122" s="45">
        <v>0</v>
      </c>
      <c r="AQ122" s="45"/>
      <c r="AR122" s="45">
        <f>+'GVFund Rev'!U123+'GVFund Rev'!W123-'GVFund Exp'!AH122-'GVFund Exp'!AL122+AJ122+AN122+AP122-'GV Fund BS'!S123</f>
        <v>0</v>
      </c>
      <c r="AS122" s="159"/>
      <c r="AT122" s="159"/>
    </row>
    <row r="123" spans="1:46" s="44" customFormat="1" ht="12.75" customHeight="1">
      <c r="A123" s="35"/>
      <c r="C123" s="35"/>
      <c r="E123" s="45"/>
      <c r="F123" s="48"/>
      <c r="G123" s="45"/>
      <c r="H123" s="48"/>
      <c r="I123" s="45"/>
      <c r="J123" s="48"/>
      <c r="K123" s="45"/>
      <c r="L123" s="48"/>
      <c r="M123" s="45"/>
      <c r="N123" s="48"/>
      <c r="O123" s="45"/>
      <c r="P123" s="48"/>
      <c r="Q123" s="45"/>
      <c r="R123" s="48"/>
      <c r="S123" s="45"/>
      <c r="T123" s="48"/>
      <c r="U123" s="45"/>
      <c r="V123" s="48"/>
      <c r="W123" s="48"/>
      <c r="X123" s="35"/>
      <c r="Z123" s="35"/>
      <c r="AA123" s="35"/>
      <c r="AB123" s="45"/>
      <c r="AC123" s="65"/>
      <c r="AD123" s="45"/>
      <c r="AE123" s="65"/>
      <c r="AF123" s="45"/>
      <c r="AG123" s="65"/>
      <c r="AH123" s="48"/>
      <c r="AI123" s="48"/>
      <c r="AJ123" s="48"/>
      <c r="AK123" s="48"/>
      <c r="AL123" s="48" t="s">
        <v>484</v>
      </c>
      <c r="AM123" s="45"/>
      <c r="AN123" s="45"/>
      <c r="AO123" s="45"/>
      <c r="AP123" s="45"/>
      <c r="AQ123" s="45"/>
      <c r="AR123" s="45"/>
      <c r="AS123" s="48"/>
    </row>
    <row r="124" spans="1:46" s="44" customFormat="1" ht="12.75" customHeight="1">
      <c r="A124" s="35" t="s">
        <v>149</v>
      </c>
      <c r="C124" s="35" t="s">
        <v>45</v>
      </c>
      <c r="E124" s="94">
        <v>2929652</v>
      </c>
      <c r="F124" s="68"/>
      <c r="G124" s="94">
        <v>4768110</v>
      </c>
      <c r="H124" s="68"/>
      <c r="I124" s="94">
        <v>209411</v>
      </c>
      <c r="J124" s="68"/>
      <c r="K124" s="94">
        <v>0</v>
      </c>
      <c r="L124" s="68"/>
      <c r="M124" s="94">
        <v>697418</v>
      </c>
      <c r="N124" s="68"/>
      <c r="O124" s="94">
        <v>415471</v>
      </c>
      <c r="P124" s="68"/>
      <c r="Q124" s="94">
        <v>0</v>
      </c>
      <c r="R124" s="68"/>
      <c r="S124" s="94">
        <v>160224</v>
      </c>
      <c r="T124" s="68"/>
      <c r="U124" s="94">
        <v>0</v>
      </c>
      <c r="V124" s="68"/>
      <c r="W124" s="68"/>
      <c r="X124" s="64"/>
      <c r="Y124" s="46"/>
      <c r="Z124" s="64"/>
      <c r="AA124" s="64"/>
      <c r="AB124" s="94">
        <v>652850</v>
      </c>
      <c r="AC124" s="156"/>
      <c r="AD124" s="94">
        <v>187790</v>
      </c>
      <c r="AE124" s="156"/>
      <c r="AF124" s="94">
        <v>0</v>
      </c>
      <c r="AG124" s="156"/>
      <c r="AH124" s="68">
        <f t="shared" si="4"/>
        <v>10020926</v>
      </c>
      <c r="AI124" s="68"/>
      <c r="AJ124" s="68">
        <v>0</v>
      </c>
      <c r="AK124" s="68"/>
      <c r="AL124" s="94">
        <v>1648748</v>
      </c>
      <c r="AM124" s="45"/>
      <c r="AN124" s="45">
        <v>2764437</v>
      </c>
      <c r="AO124" s="45"/>
      <c r="AP124" s="45">
        <v>8885</v>
      </c>
      <c r="AQ124" s="45"/>
      <c r="AR124" s="45">
        <f>+'GVFund Rev'!U124+'GVFund Rev'!W124-'GVFund Exp'!AH124-'GVFund Exp'!AL124+AJ124+AN124+AP124-'GV Fund BS'!S124</f>
        <v>0</v>
      </c>
      <c r="AS124" s="48"/>
    </row>
    <row r="125" spans="1:46" s="44" customFormat="1" ht="12.75" customHeight="1">
      <c r="A125" s="35" t="s">
        <v>150</v>
      </c>
      <c r="C125" s="35" t="s">
        <v>27</v>
      </c>
      <c r="E125" s="45">
        <v>4660365</v>
      </c>
      <c r="F125" s="48"/>
      <c r="G125" s="45">
        <v>8560560</v>
      </c>
      <c r="H125" s="48"/>
      <c r="I125" s="45">
        <v>600915</v>
      </c>
      <c r="J125" s="48"/>
      <c r="K125" s="45">
        <v>56532</v>
      </c>
      <c r="L125" s="48"/>
      <c r="M125" s="45">
        <v>1480333</v>
      </c>
      <c r="N125" s="48"/>
      <c r="O125" s="45">
        <v>926672</v>
      </c>
      <c r="P125" s="48"/>
      <c r="Q125" s="45">
        <v>3620321</v>
      </c>
      <c r="R125" s="48"/>
      <c r="S125" s="45">
        <v>0</v>
      </c>
      <c r="T125" s="48"/>
      <c r="U125" s="45">
        <v>0</v>
      </c>
      <c r="V125" s="48"/>
      <c r="W125" s="48"/>
      <c r="X125" s="35"/>
      <c r="Z125" s="35"/>
      <c r="AA125" s="35"/>
      <c r="AB125" s="45">
        <v>1175055</v>
      </c>
      <c r="AC125" s="107"/>
      <c r="AD125" s="45">
        <v>99544</v>
      </c>
      <c r="AE125" s="107"/>
      <c r="AF125" s="45">
        <v>0</v>
      </c>
      <c r="AG125" s="107"/>
      <c r="AH125" s="48">
        <f t="shared" si="4"/>
        <v>21180297</v>
      </c>
      <c r="AI125" s="48"/>
      <c r="AJ125" s="48">
        <v>0</v>
      </c>
      <c r="AK125" s="48"/>
      <c r="AL125" s="45">
        <v>1013684</v>
      </c>
      <c r="AM125" s="45"/>
      <c r="AN125" s="45">
        <v>17070543</v>
      </c>
      <c r="AO125" s="45"/>
      <c r="AP125" s="45">
        <v>7919</v>
      </c>
      <c r="AQ125" s="45"/>
      <c r="AR125" s="45">
        <f>+'GVFund Rev'!U125+'GVFund Rev'!W125-'GVFund Exp'!AH125-'GVFund Exp'!AL125+AJ125+AN125+AP125-'GV Fund BS'!S125</f>
        <v>0</v>
      </c>
      <c r="AS125" s="48"/>
    </row>
    <row r="126" spans="1:46" s="44" customFormat="1" ht="12.75" customHeight="1">
      <c r="A126" s="35" t="s">
        <v>151</v>
      </c>
      <c r="C126" s="35" t="s">
        <v>13</v>
      </c>
      <c r="E126" s="45">
        <v>2424564</v>
      </c>
      <c r="F126" s="48"/>
      <c r="G126" s="45">
        <v>5062630</v>
      </c>
      <c r="H126" s="48"/>
      <c r="I126" s="45">
        <v>474299</v>
      </c>
      <c r="J126" s="48"/>
      <c r="K126" s="45">
        <v>212259</v>
      </c>
      <c r="L126" s="48"/>
      <c r="M126" s="45">
        <v>1774689</v>
      </c>
      <c r="N126" s="48"/>
      <c r="O126" s="45">
        <v>1585060</v>
      </c>
      <c r="P126" s="48"/>
      <c r="Q126" s="45">
        <v>178695</v>
      </c>
      <c r="R126" s="48"/>
      <c r="S126" s="45">
        <v>2824908</v>
      </c>
      <c r="T126" s="48"/>
      <c r="U126" s="45">
        <v>0</v>
      </c>
      <c r="V126" s="48"/>
      <c r="W126" s="48"/>
      <c r="X126" s="35"/>
      <c r="Z126" s="35"/>
      <c r="AA126" s="35"/>
      <c r="AB126" s="45">
        <v>1560498</v>
      </c>
      <c r="AC126" s="107"/>
      <c r="AD126" s="45">
        <v>535996</v>
      </c>
      <c r="AE126" s="107"/>
      <c r="AF126" s="45">
        <v>0</v>
      </c>
      <c r="AG126" s="107"/>
      <c r="AH126" s="48">
        <f t="shared" si="4"/>
        <v>16633598</v>
      </c>
      <c r="AI126" s="48"/>
      <c r="AJ126" s="48">
        <v>0</v>
      </c>
      <c r="AK126" s="48"/>
      <c r="AL126" s="45">
        <v>1709405</v>
      </c>
      <c r="AM126" s="45"/>
      <c r="AN126" s="45">
        <v>3820170</v>
      </c>
      <c r="AO126" s="45"/>
      <c r="AP126" s="45">
        <v>0</v>
      </c>
      <c r="AQ126" s="45"/>
      <c r="AR126" s="45">
        <f>+'GVFund Rev'!U126+'GVFund Rev'!W126-'GVFund Exp'!AH126-'GVFund Exp'!AL126+AJ126+AN126+AP126-'GV Fund BS'!S126</f>
        <v>0</v>
      </c>
      <c r="AS126" s="48"/>
    </row>
    <row r="127" spans="1:46" s="44" customFormat="1" ht="12.75" customHeight="1">
      <c r="A127" s="35" t="s">
        <v>481</v>
      </c>
      <c r="C127" s="35" t="s">
        <v>45</v>
      </c>
      <c r="E127" s="45">
        <v>931392</v>
      </c>
      <c r="F127" s="48"/>
      <c r="G127" s="45">
        <v>3131639</v>
      </c>
      <c r="H127" s="48"/>
      <c r="I127" s="45">
        <v>105225</v>
      </c>
      <c r="J127" s="48"/>
      <c r="K127" s="45">
        <v>517959</v>
      </c>
      <c r="L127" s="48"/>
      <c r="M127" s="45">
        <v>916117</v>
      </c>
      <c r="N127" s="48"/>
      <c r="O127" s="45">
        <v>162086</v>
      </c>
      <c r="P127" s="48"/>
      <c r="Q127" s="45">
        <v>0</v>
      </c>
      <c r="R127" s="48"/>
      <c r="S127" s="45">
        <v>1648794</v>
      </c>
      <c r="T127" s="48"/>
      <c r="U127" s="45">
        <v>0</v>
      </c>
      <c r="V127" s="48"/>
      <c r="W127" s="48"/>
      <c r="X127" s="35"/>
      <c r="Z127" s="35"/>
      <c r="AA127" s="35"/>
      <c r="AB127" s="45">
        <v>260000</v>
      </c>
      <c r="AC127" s="107"/>
      <c r="AD127" s="45">
        <v>30295</v>
      </c>
      <c r="AE127" s="107"/>
      <c r="AF127" s="45">
        <v>0</v>
      </c>
      <c r="AG127" s="107"/>
      <c r="AH127" s="48">
        <f t="shared" si="4"/>
        <v>7703507</v>
      </c>
      <c r="AI127" s="48"/>
      <c r="AJ127" s="48">
        <v>0</v>
      </c>
      <c r="AK127" s="48"/>
      <c r="AL127" s="45">
        <v>477000</v>
      </c>
      <c r="AM127" s="45"/>
      <c r="AN127" s="45">
        <v>2744424</v>
      </c>
      <c r="AO127" s="45"/>
      <c r="AP127" s="45">
        <v>0</v>
      </c>
      <c r="AQ127" s="45"/>
      <c r="AR127" s="45">
        <f>+'GVFund Rev'!U127+'GVFund Rev'!W127-'GVFund Exp'!AH127-'GVFund Exp'!AL127+AJ127+AN127+AP127-'GV Fund BS'!S127</f>
        <v>0</v>
      </c>
      <c r="AS127" s="48"/>
    </row>
    <row r="128" spans="1:46" s="44" customFormat="1" ht="12.75" customHeight="1">
      <c r="A128" s="35" t="s">
        <v>152</v>
      </c>
      <c r="C128" s="35" t="s">
        <v>153</v>
      </c>
      <c r="E128" s="45">
        <v>9262486</v>
      </c>
      <c r="F128" s="48"/>
      <c r="G128" s="45">
        <v>24600304</v>
      </c>
      <c r="H128" s="48"/>
      <c r="I128" s="45">
        <v>2573024</v>
      </c>
      <c r="J128" s="48"/>
      <c r="K128" s="45">
        <v>109486</v>
      </c>
      <c r="L128" s="48"/>
      <c r="M128" s="45">
        <v>2528206</v>
      </c>
      <c r="N128" s="48"/>
      <c r="O128" s="45">
        <v>237269</v>
      </c>
      <c r="P128" s="48"/>
      <c r="Q128" s="45">
        <v>0</v>
      </c>
      <c r="R128" s="48"/>
      <c r="S128" s="45">
        <v>3965385</v>
      </c>
      <c r="T128" s="48"/>
      <c r="U128" s="45">
        <v>0</v>
      </c>
      <c r="V128" s="48"/>
      <c r="W128" s="48"/>
      <c r="X128" s="35"/>
      <c r="Z128" s="35"/>
      <c r="AA128" s="35"/>
      <c r="AB128" s="45">
        <v>320000</v>
      </c>
      <c r="AC128" s="107"/>
      <c r="AD128" s="45">
        <v>292983</v>
      </c>
      <c r="AE128" s="107"/>
      <c r="AF128" s="45">
        <v>0</v>
      </c>
      <c r="AG128" s="107"/>
      <c r="AH128" s="48">
        <f t="shared" si="4"/>
        <v>43889143</v>
      </c>
      <c r="AI128" s="48"/>
      <c r="AJ128" s="48">
        <v>0</v>
      </c>
      <c r="AK128" s="48"/>
      <c r="AL128" s="45">
        <v>1660461</v>
      </c>
      <c r="AM128" s="45"/>
      <c r="AN128" s="45">
        <v>6565203</v>
      </c>
      <c r="AO128" s="45"/>
      <c r="AP128" s="45">
        <v>86513</v>
      </c>
      <c r="AQ128" s="45"/>
      <c r="AR128" s="45">
        <f>+'GVFund Rev'!U128+'GVFund Rev'!W128-'GVFund Exp'!AH128-'GVFund Exp'!AL128+AJ128+AN128+AP128-'GV Fund BS'!S128</f>
        <v>0</v>
      </c>
      <c r="AS128" s="48"/>
    </row>
    <row r="129" spans="1:46" s="44" customFormat="1" ht="12.75" customHeight="1">
      <c r="A129" s="35" t="s">
        <v>154</v>
      </c>
      <c r="C129" s="35" t="s">
        <v>27</v>
      </c>
      <c r="E129" s="45">
        <v>4478469</v>
      </c>
      <c r="F129" s="48"/>
      <c r="G129" s="45">
        <v>11523572</v>
      </c>
      <c r="H129" s="48"/>
      <c r="I129" s="45">
        <v>679191</v>
      </c>
      <c r="J129" s="48"/>
      <c r="K129" s="45">
        <v>113265</v>
      </c>
      <c r="L129" s="48"/>
      <c r="M129" s="45">
        <v>1310155</v>
      </c>
      <c r="N129" s="48"/>
      <c r="O129" s="45">
        <v>861412</v>
      </c>
      <c r="P129" s="48"/>
      <c r="Q129" s="45">
        <v>1432939</v>
      </c>
      <c r="R129" s="48"/>
      <c r="S129" s="45">
        <v>4598523</v>
      </c>
      <c r="T129" s="48"/>
      <c r="U129" s="45">
        <v>0</v>
      </c>
      <c r="V129" s="48"/>
      <c r="W129" s="48"/>
      <c r="X129" s="35"/>
      <c r="Z129" s="35"/>
      <c r="AA129" s="35"/>
      <c r="AB129" s="45">
        <v>1038682</v>
      </c>
      <c r="AC129" s="107"/>
      <c r="AD129" s="45">
        <v>549478</v>
      </c>
      <c r="AE129" s="107"/>
      <c r="AF129" s="45">
        <v>0</v>
      </c>
      <c r="AG129" s="107"/>
      <c r="AH129" s="48">
        <f t="shared" si="4"/>
        <v>26585686</v>
      </c>
      <c r="AI129" s="48"/>
      <c r="AJ129" s="48">
        <v>0</v>
      </c>
      <c r="AK129" s="48"/>
      <c r="AL129" s="45">
        <v>8940895</v>
      </c>
      <c r="AM129" s="45"/>
      <c r="AN129" s="45">
        <v>6089414</v>
      </c>
      <c r="AO129" s="45"/>
      <c r="AP129" s="45">
        <v>0</v>
      </c>
      <c r="AQ129" s="45"/>
      <c r="AR129" s="45">
        <f>+'GVFund Rev'!U129+'GVFund Rev'!W129-'GVFund Exp'!AH129-'GVFund Exp'!AL129+AJ129+AN129+AP129-'GV Fund BS'!S129</f>
        <v>0</v>
      </c>
      <c r="AS129" s="48"/>
    </row>
    <row r="130" spans="1:46" s="44" customFormat="1" ht="12.75" customHeight="1">
      <c r="A130" s="35" t="s">
        <v>155</v>
      </c>
      <c r="C130" s="35" t="s">
        <v>40</v>
      </c>
      <c r="E130" s="45">
        <f>3582733+1002626</f>
        <v>4585359</v>
      </c>
      <c r="F130" s="48"/>
      <c r="G130" s="45">
        <f>3069663+3160753</f>
        <v>6230416</v>
      </c>
      <c r="H130" s="48"/>
      <c r="I130" s="45">
        <v>570756</v>
      </c>
      <c r="J130" s="48"/>
      <c r="K130" s="45">
        <v>844095</v>
      </c>
      <c r="L130" s="48"/>
      <c r="M130" s="45">
        <f>4222138+2176</f>
        <v>4224314</v>
      </c>
      <c r="N130" s="48"/>
      <c r="O130" s="45">
        <v>689005</v>
      </c>
      <c r="P130" s="48"/>
      <c r="Q130" s="45">
        <v>0</v>
      </c>
      <c r="R130" s="48"/>
      <c r="S130" s="45">
        <v>1877565</v>
      </c>
      <c r="T130" s="48"/>
      <c r="U130" s="45">
        <v>1824297</v>
      </c>
      <c r="V130" s="48"/>
      <c r="W130" s="48"/>
      <c r="X130" s="35"/>
      <c r="Z130" s="35"/>
      <c r="AA130" s="35"/>
      <c r="AB130" s="45">
        <v>76985</v>
      </c>
      <c r="AC130" s="107"/>
      <c r="AD130" s="45">
        <v>60331</v>
      </c>
      <c r="AE130" s="107"/>
      <c r="AF130" s="45">
        <v>238000</v>
      </c>
      <c r="AG130" s="107"/>
      <c r="AH130" s="48">
        <f t="shared" si="4"/>
        <v>21221123</v>
      </c>
      <c r="AI130" s="48"/>
      <c r="AJ130" s="48">
        <v>0</v>
      </c>
      <c r="AK130" s="48"/>
      <c r="AL130" s="45">
        <f>732000+138985</f>
        <v>870985</v>
      </c>
      <c r="AM130" s="45"/>
      <c r="AN130" s="45">
        <v>10049760</v>
      </c>
      <c r="AO130" s="45"/>
      <c r="AP130" s="45">
        <v>0</v>
      </c>
      <c r="AQ130" s="45"/>
      <c r="AR130" s="45">
        <f>+'GVFund Rev'!U130+'GVFund Rev'!W130-'GVFund Exp'!AH130-'GVFund Exp'!AL130+AJ130+AN130+AP130-'GV Fund BS'!S130</f>
        <v>0</v>
      </c>
      <c r="AS130" s="48"/>
    </row>
    <row r="131" spans="1:46" s="44" customFormat="1" ht="12.75" customHeight="1">
      <c r="A131" s="64" t="s">
        <v>156</v>
      </c>
      <c r="B131" s="46"/>
      <c r="C131" s="64" t="s">
        <v>156</v>
      </c>
      <c r="D131" s="46"/>
      <c r="E131" s="45">
        <f>973975+3376243</f>
        <v>4350218</v>
      </c>
      <c r="F131" s="48"/>
      <c r="G131" s="45">
        <f>7670897+6261289+272940</f>
        <v>14205126</v>
      </c>
      <c r="H131" s="48"/>
      <c r="I131" s="45">
        <v>1000594</v>
      </c>
      <c r="J131" s="48"/>
      <c r="K131" s="45">
        <v>1194396</v>
      </c>
      <c r="L131" s="48"/>
      <c r="M131" s="45">
        <f>1001456+3565728</f>
        <v>4567184</v>
      </c>
      <c r="N131" s="48"/>
      <c r="O131" s="45">
        <v>1385622</v>
      </c>
      <c r="P131" s="48"/>
      <c r="Q131" s="45">
        <v>0</v>
      </c>
      <c r="R131" s="48"/>
      <c r="S131" s="45">
        <v>0</v>
      </c>
      <c r="T131" s="48"/>
      <c r="U131" s="45">
        <v>0</v>
      </c>
      <c r="V131" s="48"/>
      <c r="W131" s="48"/>
      <c r="X131" s="35"/>
      <c r="Z131" s="35"/>
      <c r="AA131" s="35"/>
      <c r="AB131" s="45">
        <v>338086</v>
      </c>
      <c r="AC131" s="65"/>
      <c r="AD131" s="45">
        <v>226984</v>
      </c>
      <c r="AE131" s="65"/>
      <c r="AF131" s="45">
        <v>0</v>
      </c>
      <c r="AG131" s="65"/>
      <c r="AH131" s="48">
        <f t="shared" ref="AH131:AH161" si="5">SUM(E131:AF131)</f>
        <v>27268210</v>
      </c>
      <c r="AI131" s="48"/>
      <c r="AJ131" s="48">
        <v>0</v>
      </c>
      <c r="AK131" s="48"/>
      <c r="AL131" s="45">
        <f>1580000+1125210</f>
        <v>2705210</v>
      </c>
      <c r="AM131" s="94"/>
      <c r="AN131" s="94">
        <v>7046915</v>
      </c>
      <c r="AO131" s="94"/>
      <c r="AP131" s="94">
        <v>0</v>
      </c>
      <c r="AQ131" s="94"/>
      <c r="AR131" s="94">
        <f>+'GVFund Rev'!U131+'GVFund Rev'!W131-'GVFund Exp'!AH131-'GVFund Exp'!AL131+AJ131+AN131+AP131-'GV Fund BS'!S131</f>
        <v>0</v>
      </c>
      <c r="AS131" s="68"/>
      <c r="AT131" s="46"/>
    </row>
    <row r="132" spans="1:46" s="44" customFormat="1" ht="12.75" customHeight="1">
      <c r="A132" s="35" t="s">
        <v>157</v>
      </c>
      <c r="C132" s="35" t="s">
        <v>33</v>
      </c>
      <c r="E132" s="45">
        <v>604136</v>
      </c>
      <c r="F132" s="48"/>
      <c r="G132" s="45">
        <v>2212235</v>
      </c>
      <c r="H132" s="48"/>
      <c r="I132" s="45">
        <v>309768</v>
      </c>
      <c r="J132" s="48"/>
      <c r="K132" s="45">
        <v>61848</v>
      </c>
      <c r="L132" s="48"/>
      <c r="M132" s="45">
        <v>473208</v>
      </c>
      <c r="N132" s="48"/>
      <c r="O132" s="45">
        <v>28768</v>
      </c>
      <c r="P132" s="48"/>
      <c r="Q132" s="45">
        <v>0</v>
      </c>
      <c r="R132" s="48"/>
      <c r="S132" s="45">
        <v>379029</v>
      </c>
      <c r="T132" s="48"/>
      <c r="U132" s="45">
        <v>0</v>
      </c>
      <c r="V132" s="48"/>
      <c r="W132" s="48"/>
      <c r="X132" s="35"/>
      <c r="Z132" s="35"/>
      <c r="AA132" s="35"/>
      <c r="AB132" s="45">
        <v>295403</v>
      </c>
      <c r="AC132" s="107"/>
      <c r="AD132" s="45">
        <v>15825</v>
      </c>
      <c r="AE132" s="107"/>
      <c r="AF132" s="45">
        <v>0</v>
      </c>
      <c r="AG132" s="107"/>
      <c r="AH132" s="48">
        <f t="shared" si="5"/>
        <v>4380220</v>
      </c>
      <c r="AI132" s="48"/>
      <c r="AJ132" s="48">
        <v>0</v>
      </c>
      <c r="AK132" s="48"/>
      <c r="AL132" s="45">
        <v>260777</v>
      </c>
      <c r="AM132" s="45"/>
      <c r="AN132" s="45">
        <v>2826604</v>
      </c>
      <c r="AO132" s="45"/>
      <c r="AP132" s="45">
        <v>0</v>
      </c>
      <c r="AQ132" s="45"/>
      <c r="AR132" s="45">
        <f>+'GVFund Rev'!U132+'GVFund Rev'!W132-'GVFund Exp'!AH132-'GVFund Exp'!AL132+AJ132+AN132+AP132-'GV Fund BS'!S132</f>
        <v>0</v>
      </c>
      <c r="AS132" s="48"/>
    </row>
    <row r="133" spans="1:46" s="44" customFormat="1" ht="12.75" customHeight="1">
      <c r="A133" s="35" t="s">
        <v>158</v>
      </c>
      <c r="C133" s="35" t="s">
        <v>159</v>
      </c>
      <c r="E133" s="45">
        <v>2555439</v>
      </c>
      <c r="F133" s="48"/>
      <c r="G133" s="45">
        <f>3628685+3371646+782672</f>
        <v>7783003</v>
      </c>
      <c r="H133" s="48"/>
      <c r="I133" s="45">
        <v>1560124</v>
      </c>
      <c r="J133" s="48"/>
      <c r="K133" s="45">
        <v>511803</v>
      </c>
      <c r="L133" s="48"/>
      <c r="M133" s="45">
        <v>980343</v>
      </c>
      <c r="N133" s="48"/>
      <c r="O133" s="45">
        <v>276068</v>
      </c>
      <c r="P133" s="48"/>
      <c r="Q133" s="45">
        <v>0</v>
      </c>
      <c r="R133" s="48"/>
      <c r="S133" s="45">
        <v>2306626</v>
      </c>
      <c r="T133" s="48"/>
      <c r="U133" s="45">
        <v>0</v>
      </c>
      <c r="V133" s="48"/>
      <c r="W133" s="48"/>
      <c r="X133" s="35"/>
      <c r="Z133" s="35"/>
      <c r="AA133" s="35"/>
      <c r="AB133" s="45">
        <v>13808875</v>
      </c>
      <c r="AC133" s="107"/>
      <c r="AD133" s="45">
        <v>888531</v>
      </c>
      <c r="AE133" s="107"/>
      <c r="AF133" s="45">
        <v>0</v>
      </c>
      <c r="AG133" s="107"/>
      <c r="AH133" s="48">
        <f t="shared" si="5"/>
        <v>30670812</v>
      </c>
      <c r="AI133" s="48"/>
      <c r="AJ133" s="48">
        <v>0</v>
      </c>
      <c r="AK133" s="48"/>
      <c r="AL133" s="45">
        <v>2314099</v>
      </c>
      <c r="AM133" s="45"/>
      <c r="AN133" s="45">
        <v>7613179</v>
      </c>
      <c r="AO133" s="45"/>
      <c r="AP133" s="45">
        <v>0</v>
      </c>
      <c r="AQ133" s="45"/>
      <c r="AR133" s="45">
        <f>+'GVFund Rev'!U133+'GVFund Rev'!W133-'GVFund Exp'!AH133-'GVFund Exp'!AL133+AJ133+AN133+AP133-'GV Fund BS'!S133</f>
        <v>0</v>
      </c>
      <c r="AS133" s="48"/>
    </row>
    <row r="134" spans="1:46" s="46" customFormat="1" ht="12.75" customHeight="1">
      <c r="A134" s="64" t="s">
        <v>160</v>
      </c>
      <c r="C134" s="64" t="s">
        <v>111</v>
      </c>
      <c r="E134" s="45">
        <v>8507087</v>
      </c>
      <c r="F134" s="48"/>
      <c r="G134" s="45">
        <v>11312988</v>
      </c>
      <c r="H134" s="48"/>
      <c r="I134" s="45">
        <v>1813014</v>
      </c>
      <c r="J134" s="48"/>
      <c r="K134" s="45">
        <v>0</v>
      </c>
      <c r="L134" s="48"/>
      <c r="M134" s="45">
        <v>3202238</v>
      </c>
      <c r="N134" s="48"/>
      <c r="O134" s="45">
        <v>2362857</v>
      </c>
      <c r="P134" s="48"/>
      <c r="Q134" s="45">
        <v>233714</v>
      </c>
      <c r="R134" s="48"/>
      <c r="S134" s="45">
        <v>7241907</v>
      </c>
      <c r="T134" s="48"/>
      <c r="U134" s="45">
        <v>0</v>
      </c>
      <c r="V134" s="48"/>
      <c r="W134" s="48"/>
      <c r="X134" s="35"/>
      <c r="Y134" s="44"/>
      <c r="Z134" s="35"/>
      <c r="AA134" s="35"/>
      <c r="AB134" s="45">
        <v>2147000</v>
      </c>
      <c r="AC134" s="107"/>
      <c r="AD134" s="45">
        <v>1992095</v>
      </c>
      <c r="AE134" s="107"/>
      <c r="AF134" s="45">
        <v>0</v>
      </c>
      <c r="AG134" s="107"/>
      <c r="AH134" s="48">
        <f t="shared" si="5"/>
        <v>38812900</v>
      </c>
      <c r="AI134" s="48"/>
      <c r="AJ134" s="48">
        <v>0</v>
      </c>
      <c r="AK134" s="48"/>
      <c r="AL134" s="45">
        <v>14587544</v>
      </c>
      <c r="AM134" s="45"/>
      <c r="AN134" s="45">
        <v>43009052</v>
      </c>
      <c r="AO134" s="45"/>
      <c r="AP134" s="45">
        <v>85726</v>
      </c>
      <c r="AQ134" s="45"/>
      <c r="AR134" s="45">
        <f>+'GVFund Rev'!U134+'GVFund Rev'!W134-'GVFund Exp'!AH134-'GVFund Exp'!AL134+AJ134+AN134+AP134-'GV Fund BS'!S134</f>
        <v>0</v>
      </c>
      <c r="AS134" s="68"/>
    </row>
    <row r="135" spans="1:46" s="44" customFormat="1" ht="12.75" customHeight="1">
      <c r="A135" s="35" t="s">
        <v>161</v>
      </c>
      <c r="C135" s="35" t="s">
        <v>15</v>
      </c>
      <c r="E135" s="45">
        <v>5866034</v>
      </c>
      <c r="F135" s="48"/>
      <c r="G135" s="45">
        <v>9182397</v>
      </c>
      <c r="H135" s="48"/>
      <c r="I135" s="45">
        <f>1037344+128738</f>
        <v>1166082</v>
      </c>
      <c r="J135" s="48"/>
      <c r="K135" s="45">
        <v>536930</v>
      </c>
      <c r="L135" s="48"/>
      <c r="M135" s="45">
        <v>2822011</v>
      </c>
      <c r="N135" s="48"/>
      <c r="O135" s="45">
        <v>2042798</v>
      </c>
      <c r="P135" s="48"/>
      <c r="Q135" s="45">
        <v>27893</v>
      </c>
      <c r="R135" s="48"/>
      <c r="S135" s="45">
        <v>1099935</v>
      </c>
      <c r="T135" s="48"/>
      <c r="U135" s="45">
        <v>0</v>
      </c>
      <c r="V135" s="48"/>
      <c r="W135" s="48"/>
      <c r="X135" s="35"/>
      <c r="Z135" s="35"/>
      <c r="AA135" s="35"/>
      <c r="AB135" s="45">
        <v>963191</v>
      </c>
      <c r="AC135" s="107"/>
      <c r="AD135" s="45">
        <v>1389419</v>
      </c>
      <c r="AE135" s="107"/>
      <c r="AF135" s="45">
        <v>0</v>
      </c>
      <c r="AG135" s="107"/>
      <c r="AH135" s="48">
        <f t="shared" si="5"/>
        <v>25096690</v>
      </c>
      <c r="AI135" s="48"/>
      <c r="AJ135" s="48">
        <v>0</v>
      </c>
      <c r="AK135" s="48"/>
      <c r="AL135" s="45">
        <v>1505396</v>
      </c>
      <c r="AM135" s="45"/>
      <c r="AN135" s="45">
        <v>7757456</v>
      </c>
      <c r="AO135" s="45"/>
      <c r="AP135" s="45">
        <v>0</v>
      </c>
      <c r="AQ135" s="45"/>
      <c r="AR135" s="45">
        <f>+'GVFund Rev'!U135+'GVFund Rev'!W135-'GVFund Exp'!AH135-'GVFund Exp'!AL135+AJ135+AN135+AP135-'GV Fund BS'!S135</f>
        <v>0</v>
      </c>
      <c r="AS135" s="48"/>
    </row>
    <row r="136" spans="1:46" s="46" customFormat="1" ht="12.75" customHeight="1">
      <c r="A136" s="35" t="s">
        <v>162</v>
      </c>
      <c r="B136" s="44"/>
      <c r="C136" s="35" t="s">
        <v>163</v>
      </c>
      <c r="D136" s="44"/>
      <c r="E136" s="45">
        <v>5448938</v>
      </c>
      <c r="F136" s="48"/>
      <c r="G136" s="45">
        <v>10525777</v>
      </c>
      <c r="H136" s="48"/>
      <c r="I136" s="45">
        <v>1625950</v>
      </c>
      <c r="J136" s="48"/>
      <c r="K136" s="45">
        <v>195178</v>
      </c>
      <c r="L136" s="48"/>
      <c r="M136" s="45">
        <v>3025992</v>
      </c>
      <c r="N136" s="48"/>
      <c r="O136" s="45">
        <v>2067222</v>
      </c>
      <c r="P136" s="48"/>
      <c r="Q136" s="45">
        <v>1067447</v>
      </c>
      <c r="R136" s="48"/>
      <c r="S136" s="45">
        <v>1712660</v>
      </c>
      <c r="T136" s="48"/>
      <c r="U136" s="45">
        <v>0</v>
      </c>
      <c r="V136" s="48"/>
      <c r="W136" s="48"/>
      <c r="X136" s="35"/>
      <c r="Y136" s="44"/>
      <c r="Z136" s="35"/>
      <c r="AA136" s="35"/>
      <c r="AB136" s="45">
        <v>1412808</v>
      </c>
      <c r="AC136" s="107"/>
      <c r="AD136" s="45">
        <v>1002980</v>
      </c>
      <c r="AE136" s="107"/>
      <c r="AF136" s="45">
        <v>0</v>
      </c>
      <c r="AG136" s="107"/>
      <c r="AH136" s="48">
        <f t="shared" si="5"/>
        <v>28084952</v>
      </c>
      <c r="AI136" s="48"/>
      <c r="AJ136" s="48">
        <v>0</v>
      </c>
      <c r="AK136" s="48"/>
      <c r="AL136" s="45">
        <v>15648678</v>
      </c>
      <c r="AM136" s="45"/>
      <c r="AN136" s="45">
        <v>33381296</v>
      </c>
      <c r="AO136" s="45"/>
      <c r="AP136" s="45">
        <v>-36097</v>
      </c>
      <c r="AQ136" s="45"/>
      <c r="AR136" s="45">
        <f>+'GVFund Rev'!U136+'GVFund Rev'!W136-'GVFund Exp'!AH136-'GVFund Exp'!AL136+AJ136+AN136+AP136-'GV Fund BS'!S136</f>
        <v>0</v>
      </c>
      <c r="AS136" s="68"/>
    </row>
    <row r="137" spans="1:46" s="44" customFormat="1" ht="12.75" customHeight="1">
      <c r="A137" s="35" t="s">
        <v>164</v>
      </c>
      <c r="C137" s="35" t="s">
        <v>27</v>
      </c>
      <c r="E137" s="45">
        <v>2379443</v>
      </c>
      <c r="F137" s="48"/>
      <c r="G137" s="45">
        <v>10713905</v>
      </c>
      <c r="H137" s="48"/>
      <c r="I137" s="45">
        <v>853129</v>
      </c>
      <c r="J137" s="48"/>
      <c r="K137" s="45">
        <v>305935</v>
      </c>
      <c r="L137" s="48"/>
      <c r="M137" s="45">
        <v>4548370</v>
      </c>
      <c r="N137" s="48"/>
      <c r="O137" s="45">
        <v>1528470</v>
      </c>
      <c r="P137" s="48"/>
      <c r="Q137" s="45">
        <v>952533</v>
      </c>
      <c r="R137" s="48"/>
      <c r="S137" s="45">
        <v>0</v>
      </c>
      <c r="T137" s="48"/>
      <c r="U137" s="45">
        <v>0</v>
      </c>
      <c r="V137" s="48"/>
      <c r="W137" s="48"/>
      <c r="X137" s="35"/>
      <c r="Z137" s="35"/>
      <c r="AA137" s="35"/>
      <c r="AB137" s="45">
        <v>6058602</v>
      </c>
      <c r="AC137" s="107"/>
      <c r="AD137" s="45">
        <v>150250</v>
      </c>
      <c r="AE137" s="107"/>
      <c r="AF137" s="45">
        <v>0</v>
      </c>
      <c r="AG137" s="107"/>
      <c r="AH137" s="48">
        <f t="shared" si="5"/>
        <v>27490637</v>
      </c>
      <c r="AI137" s="48"/>
      <c r="AJ137" s="48">
        <v>0</v>
      </c>
      <c r="AK137" s="48"/>
      <c r="AL137" s="45">
        <v>1650817</v>
      </c>
      <c r="AM137" s="45"/>
      <c r="AN137" s="45">
        <v>22448316</v>
      </c>
      <c r="AO137" s="45"/>
      <c r="AP137" s="45">
        <v>3579</v>
      </c>
      <c r="AQ137" s="45"/>
      <c r="AR137" s="45">
        <f>+'GVFund Rev'!U137+'GVFund Rev'!W137-'GVFund Exp'!AH137-'GVFund Exp'!AL137+AJ137+AN137+AP137-'GV Fund BS'!S137</f>
        <v>0</v>
      </c>
      <c r="AS137" s="48"/>
    </row>
    <row r="138" spans="1:46" s="44" customFormat="1" ht="12.75" customHeight="1">
      <c r="A138" s="35" t="s">
        <v>53</v>
      </c>
      <c r="C138" s="35" t="s">
        <v>53</v>
      </c>
      <c r="E138" s="45">
        <v>6449867</v>
      </c>
      <c r="F138" s="48"/>
      <c r="G138" s="45">
        <v>7369229</v>
      </c>
      <c r="H138" s="48"/>
      <c r="I138" s="45">
        <v>839121</v>
      </c>
      <c r="J138" s="48"/>
      <c r="K138" s="45">
        <v>193600</v>
      </c>
      <c r="L138" s="48"/>
      <c r="M138" s="45">
        <v>3543451</v>
      </c>
      <c r="N138" s="48"/>
      <c r="O138" s="45">
        <v>1115953</v>
      </c>
      <c r="P138" s="48"/>
      <c r="Q138" s="45">
        <v>76538</v>
      </c>
      <c r="R138" s="48"/>
      <c r="S138" s="45">
        <v>6006076</v>
      </c>
      <c r="T138" s="48"/>
      <c r="U138" s="45">
        <v>0</v>
      </c>
      <c r="V138" s="48"/>
      <c r="W138" s="48"/>
      <c r="X138" s="35"/>
      <c r="Z138" s="35"/>
      <c r="AA138" s="35"/>
      <c r="AB138" s="45">
        <v>232573</v>
      </c>
      <c r="AC138" s="107"/>
      <c r="AD138" s="45">
        <v>97841</v>
      </c>
      <c r="AE138" s="107"/>
      <c r="AF138" s="45">
        <v>0</v>
      </c>
      <c r="AG138" s="107"/>
      <c r="AH138" s="48">
        <f t="shared" si="5"/>
        <v>25924249</v>
      </c>
      <c r="AI138" s="48"/>
      <c r="AJ138" s="48">
        <v>0</v>
      </c>
      <c r="AK138" s="48"/>
      <c r="AL138" s="45">
        <v>17500</v>
      </c>
      <c r="AM138" s="45"/>
      <c r="AN138" s="45">
        <v>33760438</v>
      </c>
      <c r="AO138" s="45"/>
      <c r="AP138" s="45">
        <v>0</v>
      </c>
      <c r="AQ138" s="45"/>
      <c r="AR138" s="45">
        <f>+'GVFund Rev'!U138+'GVFund Rev'!W138-'GVFund Exp'!AH138-'GVFund Exp'!AL138+AJ138+AN138+AP138-'GV Fund BS'!S138</f>
        <v>0</v>
      </c>
      <c r="AS138" s="48"/>
    </row>
    <row r="139" spans="1:46" s="44" customFormat="1" ht="12.75" customHeight="1">
      <c r="A139" s="35" t="s">
        <v>165</v>
      </c>
      <c r="C139" s="35" t="s">
        <v>92</v>
      </c>
      <c r="E139" s="45">
        <v>7111144</v>
      </c>
      <c r="F139" s="48"/>
      <c r="G139" s="45">
        <f>11847987+11141863</f>
        <v>22989850</v>
      </c>
      <c r="H139" s="48"/>
      <c r="I139" s="45">
        <v>754252</v>
      </c>
      <c r="J139" s="48"/>
      <c r="K139" s="45">
        <v>0</v>
      </c>
      <c r="L139" s="48"/>
      <c r="M139" s="45">
        <v>10618043</v>
      </c>
      <c r="N139" s="48"/>
      <c r="O139" s="45">
        <v>6786499</v>
      </c>
      <c r="P139" s="48"/>
      <c r="Q139" s="45">
        <v>2030867</v>
      </c>
      <c r="R139" s="48"/>
      <c r="S139" s="45">
        <v>2881089</v>
      </c>
      <c r="T139" s="48"/>
      <c r="U139" s="45">
        <v>0</v>
      </c>
      <c r="V139" s="48"/>
      <c r="W139" s="48"/>
      <c r="X139" s="35"/>
      <c r="Z139" s="35"/>
      <c r="AA139" s="35"/>
      <c r="AB139" s="45">
        <v>2307726</v>
      </c>
      <c r="AC139" s="107"/>
      <c r="AD139" s="45">
        <v>1499620</v>
      </c>
      <c r="AE139" s="107"/>
      <c r="AF139" s="45">
        <v>0</v>
      </c>
      <c r="AG139" s="107"/>
      <c r="AH139" s="48">
        <f t="shared" si="5"/>
        <v>56979090</v>
      </c>
      <c r="AI139" s="48"/>
      <c r="AJ139" s="48">
        <v>0</v>
      </c>
      <c r="AK139" s="48"/>
      <c r="AL139" s="45">
        <v>543863</v>
      </c>
      <c r="AM139" s="45"/>
      <c r="AN139" s="45">
        <v>21234525</v>
      </c>
      <c r="AO139" s="45"/>
      <c r="AP139" s="45">
        <v>59136</v>
      </c>
      <c r="AQ139" s="45"/>
      <c r="AR139" s="45">
        <f>+'GVFund Rev'!U139+'GVFund Rev'!W139-'GVFund Exp'!AH139-'GVFund Exp'!AL139+AJ139+AN139+AP139-'GV Fund BS'!S139</f>
        <v>0</v>
      </c>
      <c r="AS139" s="48"/>
    </row>
    <row r="140" spans="1:46" s="44" customFormat="1" ht="12.75" customHeight="1">
      <c r="A140" s="35" t="s">
        <v>166</v>
      </c>
      <c r="C140" s="35" t="s">
        <v>92</v>
      </c>
      <c r="E140" s="45">
        <v>679057</v>
      </c>
      <c r="F140" s="48"/>
      <c r="G140" s="45">
        <v>2453994</v>
      </c>
      <c r="H140" s="48"/>
      <c r="I140" s="45">
        <v>0</v>
      </c>
      <c r="J140" s="48"/>
      <c r="K140" s="45">
        <v>63684</v>
      </c>
      <c r="L140" s="48"/>
      <c r="M140" s="45">
        <v>638643</v>
      </c>
      <c r="N140" s="48"/>
      <c r="O140" s="45">
        <v>46701</v>
      </c>
      <c r="P140" s="48"/>
      <c r="Q140" s="45">
        <v>297916</v>
      </c>
      <c r="R140" s="48"/>
      <c r="S140" s="45">
        <v>787196</v>
      </c>
      <c r="T140" s="48"/>
      <c r="U140" s="45">
        <v>0</v>
      </c>
      <c r="V140" s="48"/>
      <c r="W140" s="48"/>
      <c r="X140" s="35"/>
      <c r="Z140" s="35"/>
      <c r="AA140" s="35"/>
      <c r="AB140" s="45">
        <v>43465</v>
      </c>
      <c r="AC140" s="107"/>
      <c r="AD140" s="45">
        <v>24026</v>
      </c>
      <c r="AE140" s="107"/>
      <c r="AF140" s="45">
        <v>2724</v>
      </c>
      <c r="AG140" s="107"/>
      <c r="AH140" s="48">
        <f t="shared" si="5"/>
        <v>5037406</v>
      </c>
      <c r="AI140" s="48"/>
      <c r="AJ140" s="48">
        <v>0</v>
      </c>
      <c r="AK140" s="48"/>
      <c r="AL140" s="45">
        <v>306481</v>
      </c>
      <c r="AM140" s="45"/>
      <c r="AN140" s="45">
        <v>1041084</v>
      </c>
      <c r="AO140" s="45"/>
      <c r="AP140" s="45">
        <v>0</v>
      </c>
      <c r="AQ140" s="45"/>
      <c r="AR140" s="45">
        <f>+'GVFund Rev'!U140+'GVFund Rev'!W140-'GVFund Exp'!AH140-'GVFund Exp'!AL140+AJ140+AN140+AP140-'GV Fund BS'!S140</f>
        <v>0</v>
      </c>
      <c r="AS140" s="48"/>
    </row>
    <row r="141" spans="1:46" s="44" customFormat="1" ht="12.75" customHeight="1">
      <c r="A141" s="35" t="s">
        <v>167</v>
      </c>
      <c r="C141" s="35" t="s">
        <v>66</v>
      </c>
      <c r="E141" s="45">
        <v>4651647</v>
      </c>
      <c r="F141" s="48"/>
      <c r="G141" s="45">
        <v>8916458</v>
      </c>
      <c r="H141" s="48"/>
      <c r="I141" s="45">
        <v>1076751</v>
      </c>
      <c r="J141" s="48"/>
      <c r="K141" s="45">
        <v>5189</v>
      </c>
      <c r="L141" s="48"/>
      <c r="M141" s="45">
        <v>929014</v>
      </c>
      <c r="N141" s="48"/>
      <c r="O141" s="45">
        <v>2101886</v>
      </c>
      <c r="P141" s="48"/>
      <c r="Q141" s="45">
        <f>844559+4128000</f>
        <v>4972559</v>
      </c>
      <c r="R141" s="48"/>
      <c r="S141" s="45">
        <v>2388194</v>
      </c>
      <c r="T141" s="48"/>
      <c r="U141" s="45">
        <v>0</v>
      </c>
      <c r="V141" s="48"/>
      <c r="W141" s="48"/>
      <c r="X141" s="35"/>
      <c r="Z141" s="35"/>
      <c r="AA141" s="35"/>
      <c r="AB141" s="45">
        <v>424565</v>
      </c>
      <c r="AC141" s="107"/>
      <c r="AD141" s="45">
        <v>302827</v>
      </c>
      <c r="AE141" s="107"/>
      <c r="AF141" s="45">
        <v>0</v>
      </c>
      <c r="AG141" s="107"/>
      <c r="AH141" s="48">
        <f t="shared" si="5"/>
        <v>25769090</v>
      </c>
      <c r="AI141" s="48"/>
      <c r="AJ141" s="48">
        <v>0</v>
      </c>
      <c r="AK141" s="48"/>
      <c r="AL141" s="45">
        <f>49393+980861</f>
        <v>1030254</v>
      </c>
      <c r="AM141" s="45"/>
      <c r="AN141" s="45">
        <v>14032503</v>
      </c>
      <c r="AO141" s="45"/>
      <c r="AP141" s="45">
        <v>0</v>
      </c>
      <c r="AQ141" s="45"/>
      <c r="AR141" s="45">
        <f>+'GVFund Rev'!U141+'GVFund Rev'!W141-'GVFund Exp'!AH141-'GVFund Exp'!AL141+AJ141+AN141+AP141-'GV Fund BS'!S141</f>
        <v>0</v>
      </c>
      <c r="AS141" s="48"/>
    </row>
    <row r="142" spans="1:46" s="44" customFormat="1" ht="12.75" customHeight="1">
      <c r="A142" s="44" t="s">
        <v>168</v>
      </c>
      <c r="C142" s="44" t="s">
        <v>27</v>
      </c>
      <c r="E142" s="45">
        <v>6765399</v>
      </c>
      <c r="F142" s="48"/>
      <c r="G142" s="45">
        <f>4559045+3433289+57379</f>
        <v>8049713</v>
      </c>
      <c r="H142" s="48"/>
      <c r="I142" s="45">
        <f>597099+280958</f>
        <v>878057</v>
      </c>
      <c r="J142" s="48"/>
      <c r="K142" s="45">
        <v>338927</v>
      </c>
      <c r="L142" s="48"/>
      <c r="M142" s="45">
        <v>1563244</v>
      </c>
      <c r="N142" s="48"/>
      <c r="O142" s="45">
        <v>2800812</v>
      </c>
      <c r="P142" s="48"/>
      <c r="Q142" s="45">
        <v>948225</v>
      </c>
      <c r="R142" s="48"/>
      <c r="S142" s="45">
        <v>2144886</v>
      </c>
      <c r="T142" s="48"/>
      <c r="U142" s="45">
        <v>0</v>
      </c>
      <c r="V142" s="48"/>
      <c r="W142" s="48"/>
      <c r="X142" s="35"/>
      <c r="Z142" s="35"/>
      <c r="AA142" s="35"/>
      <c r="AB142" s="45">
        <v>1925422</v>
      </c>
      <c r="AC142" s="107"/>
      <c r="AD142" s="45">
        <v>531253</v>
      </c>
      <c r="AE142" s="107"/>
      <c r="AF142" s="45">
        <v>0</v>
      </c>
      <c r="AG142" s="107"/>
      <c r="AH142" s="48">
        <f t="shared" si="5"/>
        <v>25945938</v>
      </c>
      <c r="AI142" s="48"/>
      <c r="AJ142" s="48">
        <v>0</v>
      </c>
      <c r="AK142" s="48"/>
      <c r="AL142" s="45">
        <v>850000</v>
      </c>
      <c r="AM142" s="45"/>
      <c r="AN142" s="45">
        <v>8227929</v>
      </c>
      <c r="AO142" s="45"/>
      <c r="AP142" s="45">
        <v>0</v>
      </c>
      <c r="AQ142" s="45"/>
      <c r="AR142" s="45">
        <f>+'GVFund Rev'!U142+'GVFund Rev'!W142-'GVFund Exp'!AH142-'GVFund Exp'!AL142+AJ142+AN142+AP142-'GV Fund BS'!S142</f>
        <v>0</v>
      </c>
      <c r="AS142" s="48"/>
    </row>
    <row r="143" spans="1:46" s="44" customFormat="1" ht="12.75" customHeight="1">
      <c r="A143" s="35" t="s">
        <v>169</v>
      </c>
      <c r="C143" s="35" t="s">
        <v>103</v>
      </c>
      <c r="E143" s="45">
        <v>4059743</v>
      </c>
      <c r="F143" s="48"/>
      <c r="G143" s="45">
        <v>23872930</v>
      </c>
      <c r="H143" s="48"/>
      <c r="I143" s="45">
        <v>14615746</v>
      </c>
      <c r="J143" s="48"/>
      <c r="K143" s="45">
        <v>1084270</v>
      </c>
      <c r="L143" s="48"/>
      <c r="M143" s="45">
        <v>12007546</v>
      </c>
      <c r="N143" s="48"/>
      <c r="O143" s="45">
        <v>1466063</v>
      </c>
      <c r="P143" s="48"/>
      <c r="Q143" s="45">
        <v>3422344</v>
      </c>
      <c r="R143" s="48"/>
      <c r="S143" s="45">
        <v>0</v>
      </c>
      <c r="T143" s="48"/>
      <c r="U143" s="45">
        <v>0</v>
      </c>
      <c r="V143" s="48"/>
      <c r="W143" s="48"/>
      <c r="X143" s="35"/>
      <c r="Z143" s="35"/>
      <c r="AA143" s="35"/>
      <c r="AB143" s="45">
        <v>3879090</v>
      </c>
      <c r="AC143" s="107"/>
      <c r="AD143" s="45">
        <v>1277173</v>
      </c>
      <c r="AE143" s="107"/>
      <c r="AF143" s="45">
        <v>0</v>
      </c>
      <c r="AG143" s="107"/>
      <c r="AH143" s="48">
        <f t="shared" si="5"/>
        <v>65684905</v>
      </c>
      <c r="AI143" s="48"/>
      <c r="AJ143" s="48">
        <v>0</v>
      </c>
      <c r="AK143" s="48"/>
      <c r="AL143" s="45">
        <v>1016510</v>
      </c>
      <c r="AM143" s="45"/>
      <c r="AN143" s="45">
        <v>26093163</v>
      </c>
      <c r="AO143" s="45"/>
      <c r="AP143" s="45">
        <v>0</v>
      </c>
      <c r="AQ143" s="45"/>
      <c r="AR143" s="45">
        <f>+'GVFund Rev'!U143+'GVFund Rev'!W143-'GVFund Exp'!AH143-'GVFund Exp'!AL143+AJ143+AN143+AP143-'GV Fund BS'!S143</f>
        <v>0</v>
      </c>
      <c r="AS143" s="48"/>
    </row>
    <row r="144" spans="1:46" s="44" customFormat="1" ht="12.75" customHeight="1">
      <c r="A144" s="35" t="s">
        <v>170</v>
      </c>
      <c r="C144" s="35" t="s">
        <v>171</v>
      </c>
      <c r="E144" s="45">
        <v>1089958</v>
      </c>
      <c r="F144" s="48"/>
      <c r="G144" s="45">
        <v>3679026</v>
      </c>
      <c r="H144" s="48"/>
      <c r="I144" s="45">
        <v>0</v>
      </c>
      <c r="J144" s="48"/>
      <c r="K144" s="45">
        <v>622557</v>
      </c>
      <c r="L144" s="48"/>
      <c r="M144" s="45">
        <v>668057</v>
      </c>
      <c r="N144" s="48"/>
      <c r="O144" s="45">
        <v>80689</v>
      </c>
      <c r="P144" s="48"/>
      <c r="Q144" s="45">
        <v>0</v>
      </c>
      <c r="R144" s="48"/>
      <c r="S144" s="45">
        <v>173142</v>
      </c>
      <c r="T144" s="48"/>
      <c r="U144" s="45">
        <v>0</v>
      </c>
      <c r="V144" s="48"/>
      <c r="W144" s="48"/>
      <c r="X144" s="35"/>
      <c r="Z144" s="35"/>
      <c r="AA144" s="35"/>
      <c r="AB144" s="45">
        <v>250000</v>
      </c>
      <c r="AC144" s="107"/>
      <c r="AD144" s="45">
        <v>179144</v>
      </c>
      <c r="AE144" s="107"/>
      <c r="AF144" s="45">
        <v>0</v>
      </c>
      <c r="AG144" s="107"/>
      <c r="AH144" s="48">
        <f t="shared" si="5"/>
        <v>6742573</v>
      </c>
      <c r="AI144" s="48"/>
      <c r="AJ144" s="48">
        <v>0</v>
      </c>
      <c r="AK144" s="48"/>
      <c r="AL144" s="45">
        <v>120000</v>
      </c>
      <c r="AM144" s="45"/>
      <c r="AN144" s="45">
        <v>5315632</v>
      </c>
      <c r="AO144" s="45"/>
      <c r="AP144" s="45">
        <v>0</v>
      </c>
      <c r="AQ144" s="45"/>
      <c r="AR144" s="45">
        <f>+'GVFund Rev'!U144+'GVFund Rev'!W144-'GVFund Exp'!AH144-'GVFund Exp'!AL144+AJ144+AN144+AP144-'GV Fund BS'!S144</f>
        <v>0</v>
      </c>
      <c r="AS144" s="48">
        <f>7593578+120000</f>
        <v>7713578</v>
      </c>
    </row>
    <row r="145" spans="1:45" s="44" customFormat="1" ht="12.75" customHeight="1">
      <c r="A145" s="35" t="s">
        <v>172</v>
      </c>
      <c r="C145" s="35" t="s">
        <v>103</v>
      </c>
      <c r="E145" s="45">
        <v>2229646</v>
      </c>
      <c r="F145" s="48"/>
      <c r="G145" s="45">
        <v>6517814</v>
      </c>
      <c r="H145" s="48"/>
      <c r="I145" s="45">
        <v>0</v>
      </c>
      <c r="J145" s="48"/>
      <c r="K145" s="45">
        <v>83191</v>
      </c>
      <c r="L145" s="48"/>
      <c r="M145" s="45">
        <v>1711586</v>
      </c>
      <c r="N145" s="48"/>
      <c r="O145" s="45">
        <v>236052</v>
      </c>
      <c r="P145" s="48"/>
      <c r="Q145" s="45">
        <v>0</v>
      </c>
      <c r="R145" s="48"/>
      <c r="S145" s="45">
        <v>5716840</v>
      </c>
      <c r="T145" s="48"/>
      <c r="U145" s="45">
        <v>1256721</v>
      </c>
      <c r="V145" s="48"/>
      <c r="W145" s="48"/>
      <c r="X145" s="35"/>
      <c r="Z145" s="35"/>
      <c r="AA145" s="35"/>
      <c r="AB145" s="45">
        <v>756775</v>
      </c>
      <c r="AC145" s="107"/>
      <c r="AD145" s="45">
        <v>700170</v>
      </c>
      <c r="AE145" s="107"/>
      <c r="AF145" s="45">
        <v>0</v>
      </c>
      <c r="AG145" s="107"/>
      <c r="AH145" s="48">
        <f t="shared" si="5"/>
        <v>19208795</v>
      </c>
      <c r="AI145" s="48"/>
      <c r="AJ145" s="48">
        <v>0</v>
      </c>
      <c r="AK145" s="48"/>
      <c r="AL145" s="45">
        <v>5468000</v>
      </c>
      <c r="AM145" s="45"/>
      <c r="AN145" s="45">
        <v>3486274</v>
      </c>
      <c r="AO145" s="45"/>
      <c r="AP145" s="45">
        <v>0</v>
      </c>
      <c r="AQ145" s="45"/>
      <c r="AR145" s="45">
        <f>+'GVFund Rev'!U145+'GVFund Rev'!W145-'GVFund Exp'!AH145-'GVFund Exp'!AL145+AJ145+AN145+AP145-'GV Fund BS'!S145</f>
        <v>0</v>
      </c>
      <c r="AS145" s="48">
        <f>-6742573-120000</f>
        <v>-6862573</v>
      </c>
    </row>
    <row r="146" spans="1:45" s="44" customFormat="1" ht="12.75" customHeight="1">
      <c r="A146" s="35" t="s">
        <v>66</v>
      </c>
      <c r="C146" s="35" t="s">
        <v>45</v>
      </c>
      <c r="E146" s="45">
        <v>3552386</v>
      </c>
      <c r="F146" s="48"/>
      <c r="G146" s="45">
        <v>5582602</v>
      </c>
      <c r="H146" s="48"/>
      <c r="I146" s="45">
        <v>341707</v>
      </c>
      <c r="J146" s="48"/>
      <c r="K146" s="45">
        <v>0</v>
      </c>
      <c r="L146" s="48"/>
      <c r="M146" s="45">
        <v>0</v>
      </c>
      <c r="N146" s="48"/>
      <c r="O146" s="45">
        <v>1184945</v>
      </c>
      <c r="P146" s="48"/>
      <c r="Q146" s="45">
        <v>1688833</v>
      </c>
      <c r="R146" s="48"/>
      <c r="S146" s="45">
        <v>3294520</v>
      </c>
      <c r="T146" s="48"/>
      <c r="U146" s="45">
        <v>0</v>
      </c>
      <c r="V146" s="48"/>
      <c r="W146" s="48"/>
      <c r="X146" s="35"/>
      <c r="Z146" s="35"/>
      <c r="AA146" s="35"/>
      <c r="AB146" s="45">
        <v>618883</v>
      </c>
      <c r="AC146" s="107"/>
      <c r="AD146" s="45">
        <v>179768</v>
      </c>
      <c r="AE146" s="107"/>
      <c r="AF146" s="45">
        <v>0</v>
      </c>
      <c r="AG146" s="107"/>
      <c r="AH146" s="48">
        <f t="shared" si="5"/>
        <v>16443644</v>
      </c>
      <c r="AI146" s="48"/>
      <c r="AJ146" s="48">
        <v>0</v>
      </c>
      <c r="AK146" s="48"/>
      <c r="AL146" s="45">
        <v>2345345</v>
      </c>
      <c r="AM146" s="45"/>
      <c r="AN146" s="45">
        <v>26657174</v>
      </c>
      <c r="AO146" s="45"/>
      <c r="AP146" s="45">
        <v>0</v>
      </c>
      <c r="AQ146" s="45"/>
      <c r="AR146" s="45">
        <f>+'GVFund Rev'!U146+'GVFund Rev'!W146-'GVFund Exp'!AH146-'GVFund Exp'!AL146+AJ146+AN146+AP146-'GV Fund BS'!S146</f>
        <v>0</v>
      </c>
      <c r="AS146" s="48">
        <f>+AS145+AS144</f>
        <v>851005</v>
      </c>
    </row>
    <row r="147" spans="1:45" s="44" customFormat="1" ht="12.75" customHeight="1">
      <c r="A147" s="35" t="s">
        <v>173</v>
      </c>
      <c r="C147" s="35" t="s">
        <v>66</v>
      </c>
      <c r="E147" s="45">
        <v>4289763</v>
      </c>
      <c r="F147" s="48"/>
      <c r="G147" s="45">
        <v>8860341</v>
      </c>
      <c r="H147" s="48"/>
      <c r="I147" s="45">
        <v>940763</v>
      </c>
      <c r="J147" s="48"/>
      <c r="K147" s="45">
        <v>85985</v>
      </c>
      <c r="L147" s="48"/>
      <c r="M147" s="45">
        <v>2371239</v>
      </c>
      <c r="N147" s="48"/>
      <c r="O147" s="45">
        <v>2108550</v>
      </c>
      <c r="P147" s="48"/>
      <c r="Q147" s="45">
        <v>349185</v>
      </c>
      <c r="R147" s="48"/>
      <c r="S147" s="45">
        <f>116246+70607+1682675+20160</f>
        <v>1889688</v>
      </c>
      <c r="T147" s="48"/>
      <c r="U147" s="45">
        <v>0</v>
      </c>
      <c r="V147" s="48"/>
      <c r="W147" s="48"/>
      <c r="X147" s="35"/>
      <c r="Z147" s="35"/>
      <c r="AA147" s="35"/>
      <c r="AB147" s="45">
        <v>199922</v>
      </c>
      <c r="AC147" s="107"/>
      <c r="AD147" s="45">
        <v>261334</v>
      </c>
      <c r="AE147" s="107"/>
      <c r="AF147" s="45">
        <v>0</v>
      </c>
      <c r="AG147" s="107"/>
      <c r="AH147" s="48">
        <f t="shared" si="5"/>
        <v>21356770</v>
      </c>
      <c r="AI147" s="48"/>
      <c r="AJ147" s="48">
        <v>0</v>
      </c>
      <c r="AK147" s="48"/>
      <c r="AL147" s="45">
        <v>3297155</v>
      </c>
      <c r="AM147" s="45"/>
      <c r="AN147" s="45">
        <v>15087472</v>
      </c>
      <c r="AO147" s="45"/>
      <c r="AP147" s="45">
        <v>0</v>
      </c>
      <c r="AQ147" s="45"/>
      <c r="AR147" s="45">
        <f>+'GVFund Rev'!U147+'GVFund Rev'!W147-'GVFund Exp'!AH147-'GVFund Exp'!AL147+AJ147+AN147+AP147-'GV Fund BS'!S147</f>
        <v>0</v>
      </c>
      <c r="AS147" s="48"/>
    </row>
    <row r="148" spans="1:45" s="46" customFormat="1" ht="12.75" customHeight="1">
      <c r="A148" s="35" t="s">
        <v>174</v>
      </c>
      <c r="B148" s="44"/>
      <c r="C148" s="35" t="s">
        <v>45</v>
      </c>
      <c r="D148" s="44"/>
      <c r="E148" s="45">
        <v>646306</v>
      </c>
      <c r="F148" s="48"/>
      <c r="G148" s="45">
        <v>1801238</v>
      </c>
      <c r="H148" s="48"/>
      <c r="I148" s="45">
        <v>108354</v>
      </c>
      <c r="J148" s="48"/>
      <c r="K148" s="45">
        <v>415220</v>
      </c>
      <c r="L148" s="48"/>
      <c r="M148" s="45">
        <v>744054</v>
      </c>
      <c r="N148" s="48"/>
      <c r="O148" s="45">
        <v>158764</v>
      </c>
      <c r="P148" s="48"/>
      <c r="Q148" s="45">
        <v>0</v>
      </c>
      <c r="R148" s="48"/>
      <c r="S148" s="45">
        <v>871307</v>
      </c>
      <c r="T148" s="48"/>
      <c r="U148" s="45">
        <v>0</v>
      </c>
      <c r="V148" s="48"/>
      <c r="W148" s="48"/>
      <c r="X148" s="35"/>
      <c r="Y148" s="44"/>
      <c r="Z148" s="35"/>
      <c r="AA148" s="35"/>
      <c r="AB148" s="45">
        <v>113632</v>
      </c>
      <c r="AC148" s="107"/>
      <c r="AD148" s="45">
        <v>82141</v>
      </c>
      <c r="AE148" s="107"/>
      <c r="AF148" s="45">
        <v>103533</v>
      </c>
      <c r="AG148" s="107"/>
      <c r="AH148" s="48">
        <f t="shared" si="5"/>
        <v>5044549</v>
      </c>
      <c r="AI148" s="48"/>
      <c r="AJ148" s="48">
        <v>0</v>
      </c>
      <c r="AK148" s="48"/>
      <c r="AL148" s="45">
        <f>342203+396467</f>
        <v>738670</v>
      </c>
      <c r="AM148" s="45"/>
      <c r="AN148" s="45">
        <v>558373</v>
      </c>
      <c r="AO148" s="45"/>
      <c r="AP148" s="45">
        <v>0</v>
      </c>
      <c r="AQ148" s="45"/>
      <c r="AR148" s="45">
        <f>+'GVFund Rev'!U148+'GVFund Rev'!W148-'GVFund Exp'!AH148-'GVFund Exp'!AL148+AJ148+AN148+AP148-'GV Fund BS'!S148</f>
        <v>0</v>
      </c>
      <c r="AS148" s="48"/>
    </row>
    <row r="149" spans="1:45" s="44" customFormat="1" ht="12.75" customHeight="1">
      <c r="A149" s="35" t="s">
        <v>175</v>
      </c>
      <c r="C149" s="35" t="s">
        <v>176</v>
      </c>
      <c r="E149" s="45">
        <v>6369728</v>
      </c>
      <c r="F149" s="48"/>
      <c r="G149" s="45">
        <v>5828902</v>
      </c>
      <c r="H149" s="48"/>
      <c r="I149" s="45">
        <v>293474</v>
      </c>
      <c r="J149" s="48"/>
      <c r="K149" s="45">
        <v>754709</v>
      </c>
      <c r="L149" s="48"/>
      <c r="M149" s="45">
        <v>3940483</v>
      </c>
      <c r="N149" s="48"/>
      <c r="O149" s="45">
        <v>706685</v>
      </c>
      <c r="P149" s="48"/>
      <c r="Q149" s="45">
        <v>0</v>
      </c>
      <c r="R149" s="48"/>
      <c r="S149" s="45">
        <v>0</v>
      </c>
      <c r="T149" s="48"/>
      <c r="U149" s="45">
        <v>0</v>
      </c>
      <c r="V149" s="48"/>
      <c r="W149" s="48"/>
      <c r="X149" s="35"/>
      <c r="Z149" s="35"/>
      <c r="AA149" s="35"/>
      <c r="AB149" s="45">
        <v>2434814</v>
      </c>
      <c r="AC149" s="107"/>
      <c r="AD149" s="45">
        <v>329738</v>
      </c>
      <c r="AE149" s="107"/>
      <c r="AF149" s="45">
        <v>0</v>
      </c>
      <c r="AG149" s="107"/>
      <c r="AH149" s="48">
        <f t="shared" si="5"/>
        <v>20658533</v>
      </c>
      <c r="AI149" s="48"/>
      <c r="AJ149" s="48">
        <v>0</v>
      </c>
      <c r="AK149" s="48"/>
      <c r="AL149" s="45">
        <v>1286170</v>
      </c>
      <c r="AM149" s="45"/>
      <c r="AN149" s="45">
        <v>11410777</v>
      </c>
      <c r="AO149" s="45"/>
      <c r="AP149" s="45">
        <v>2171</v>
      </c>
      <c r="AQ149" s="45"/>
      <c r="AR149" s="45">
        <f>+'GVFund Rev'!U149+'GVFund Rev'!W149-'GVFund Exp'!AH149-'GVFund Exp'!AL149+AJ149+AN149+AP149-'GV Fund BS'!S149</f>
        <v>0</v>
      </c>
      <c r="AS149" s="48"/>
    </row>
    <row r="150" spans="1:45" s="44" customFormat="1" ht="12.75" customHeight="1">
      <c r="A150" s="35" t="s">
        <v>177</v>
      </c>
      <c r="C150" s="35" t="s">
        <v>13</v>
      </c>
      <c r="E150" s="45">
        <v>624208</v>
      </c>
      <c r="F150" s="48"/>
      <c r="G150" s="45">
        <v>1506472</v>
      </c>
      <c r="H150" s="48"/>
      <c r="I150" s="45">
        <v>0</v>
      </c>
      <c r="J150" s="48"/>
      <c r="K150" s="45">
        <v>40331</v>
      </c>
      <c r="L150" s="48"/>
      <c r="M150" s="45">
        <v>346890</v>
      </c>
      <c r="N150" s="48"/>
      <c r="O150" s="45">
        <v>27304</v>
      </c>
      <c r="P150" s="48"/>
      <c r="Q150" s="45">
        <v>0</v>
      </c>
      <c r="R150" s="48"/>
      <c r="S150" s="45">
        <v>197693</v>
      </c>
      <c r="T150" s="48"/>
      <c r="U150" s="45">
        <v>0</v>
      </c>
      <c r="V150" s="48"/>
      <c r="W150" s="48"/>
      <c r="X150" s="35"/>
      <c r="Z150" s="35"/>
      <c r="AA150" s="35"/>
      <c r="AB150" s="45">
        <v>346464</v>
      </c>
      <c r="AC150" s="107"/>
      <c r="AD150" s="45">
        <v>60034</v>
      </c>
      <c r="AE150" s="107"/>
      <c r="AF150" s="45">
        <v>0</v>
      </c>
      <c r="AG150" s="107"/>
      <c r="AH150" s="48">
        <f t="shared" si="5"/>
        <v>3149396</v>
      </c>
      <c r="AI150" s="48"/>
      <c r="AJ150" s="48">
        <v>0</v>
      </c>
      <c r="AK150" s="48"/>
      <c r="AL150" s="45">
        <v>22281</v>
      </c>
      <c r="AM150" s="45"/>
      <c r="AN150" s="45">
        <v>3712461</v>
      </c>
      <c r="AO150" s="45"/>
      <c r="AP150" s="45">
        <v>0</v>
      </c>
      <c r="AQ150" s="45"/>
      <c r="AR150" s="45">
        <f>+'GVFund Rev'!U150+'GVFund Rev'!W150-'GVFund Exp'!AH150-'GVFund Exp'!AL150+AJ150+AN150+AP150-'GV Fund BS'!S150</f>
        <v>0</v>
      </c>
      <c r="AS150" s="48"/>
    </row>
    <row r="151" spans="1:45" s="44" customFormat="1" ht="12.75" customHeight="1">
      <c r="A151" s="35" t="s">
        <v>178</v>
      </c>
      <c r="C151" s="35" t="s">
        <v>179</v>
      </c>
      <c r="E151" s="45">
        <v>847258</v>
      </c>
      <c r="F151" s="48"/>
      <c r="G151" s="45">
        <v>2900346</v>
      </c>
      <c r="H151" s="48"/>
      <c r="I151" s="45">
        <v>538556</v>
      </c>
      <c r="J151" s="48"/>
      <c r="K151" s="45">
        <v>92695</v>
      </c>
      <c r="L151" s="48"/>
      <c r="M151" s="45">
        <v>541626</v>
      </c>
      <c r="N151" s="48"/>
      <c r="O151" s="45">
        <v>783006</v>
      </c>
      <c r="P151" s="48"/>
      <c r="Q151" s="45">
        <v>0</v>
      </c>
      <c r="R151" s="48"/>
      <c r="S151" s="45">
        <v>688609</v>
      </c>
      <c r="T151" s="48"/>
      <c r="U151" s="45">
        <v>0</v>
      </c>
      <c r="V151" s="48"/>
      <c r="W151" s="48"/>
      <c r="X151" s="35"/>
      <c r="Z151" s="35"/>
      <c r="AA151" s="35"/>
      <c r="AB151" s="45">
        <v>112550</v>
      </c>
      <c r="AC151" s="107"/>
      <c r="AD151" s="45">
        <v>76940</v>
      </c>
      <c r="AE151" s="107"/>
      <c r="AF151" s="45">
        <v>0</v>
      </c>
      <c r="AG151" s="107"/>
      <c r="AH151" s="48">
        <f t="shared" si="5"/>
        <v>6581586</v>
      </c>
      <c r="AI151" s="48"/>
      <c r="AJ151" s="48">
        <v>0</v>
      </c>
      <c r="AK151" s="48"/>
      <c r="AL151" s="45">
        <v>1946385</v>
      </c>
      <c r="AM151" s="45"/>
      <c r="AN151" s="45">
        <v>4291530</v>
      </c>
      <c r="AO151" s="45"/>
      <c r="AP151" s="45">
        <v>-5746</v>
      </c>
      <c r="AQ151" s="45"/>
      <c r="AR151" s="45">
        <f>+'GVFund Rev'!U151+'GVFund Rev'!W151-'GVFund Exp'!AH151-'GVFund Exp'!AL151+AJ151+AN151+AP151-'GV Fund BS'!S151</f>
        <v>0</v>
      </c>
      <c r="AS151" s="48"/>
    </row>
    <row r="152" spans="1:45" s="44" customFormat="1" ht="12.75" customHeight="1">
      <c r="A152" s="35" t="s">
        <v>180</v>
      </c>
      <c r="C152" s="35" t="s">
        <v>20</v>
      </c>
      <c r="E152" s="45">
        <v>503892</v>
      </c>
      <c r="F152" s="48"/>
      <c r="G152" s="45">
        <f>781709+403278</f>
        <v>1184987</v>
      </c>
      <c r="H152" s="48"/>
      <c r="I152" s="45">
        <v>292723</v>
      </c>
      <c r="J152" s="48"/>
      <c r="K152" s="45">
        <v>0</v>
      </c>
      <c r="L152" s="48"/>
      <c r="M152" s="45">
        <v>511078</v>
      </c>
      <c r="N152" s="48"/>
      <c r="O152" s="45">
        <v>199860</v>
      </c>
      <c r="P152" s="48"/>
      <c r="Q152" s="45">
        <v>0</v>
      </c>
      <c r="R152" s="48"/>
      <c r="S152" s="45">
        <v>1360542</v>
      </c>
      <c r="T152" s="48"/>
      <c r="U152" s="45">
        <v>0</v>
      </c>
      <c r="V152" s="48"/>
      <c r="W152" s="48"/>
      <c r="X152" s="35"/>
      <c r="Z152" s="35"/>
      <c r="AA152" s="35"/>
      <c r="AB152" s="45">
        <v>113376</v>
      </c>
      <c r="AC152" s="107"/>
      <c r="AD152" s="45">
        <v>36933</v>
      </c>
      <c r="AE152" s="107"/>
      <c r="AF152" s="45">
        <v>125000</v>
      </c>
      <c r="AG152" s="107"/>
      <c r="AH152" s="48">
        <f t="shared" si="5"/>
        <v>4328391</v>
      </c>
      <c r="AI152" s="48"/>
      <c r="AJ152" s="48">
        <v>0</v>
      </c>
      <c r="AK152" s="48"/>
      <c r="AL152" s="45">
        <f>375000+26333</f>
        <v>401333</v>
      </c>
      <c r="AM152" s="45"/>
      <c r="AN152" s="45">
        <v>3508514</v>
      </c>
      <c r="AO152" s="45"/>
      <c r="AP152" s="45">
        <v>0</v>
      </c>
      <c r="AQ152" s="45"/>
      <c r="AR152" s="45">
        <f>+'GVFund Rev'!U152+'GVFund Rev'!W152-'GVFund Exp'!AH152-'GVFund Exp'!AL152+AJ152+AN152+AP152-'GV Fund BS'!S152</f>
        <v>0</v>
      </c>
      <c r="AS152" s="48"/>
    </row>
    <row r="153" spans="1:45" s="44" customFormat="1" ht="12.75" customHeight="1">
      <c r="A153" s="35" t="s">
        <v>182</v>
      </c>
      <c r="C153" s="35" t="s">
        <v>183</v>
      </c>
      <c r="E153" s="45">
        <v>683024</v>
      </c>
      <c r="F153" s="48"/>
      <c r="G153" s="45">
        <v>599940</v>
      </c>
      <c r="H153" s="48"/>
      <c r="I153" s="45">
        <v>13110</v>
      </c>
      <c r="J153" s="48"/>
      <c r="K153" s="45">
        <v>712596</v>
      </c>
      <c r="L153" s="48"/>
      <c r="M153" s="45">
        <v>223295</v>
      </c>
      <c r="N153" s="48"/>
      <c r="O153" s="45">
        <v>54216</v>
      </c>
      <c r="P153" s="48"/>
      <c r="Q153" s="45">
        <v>0</v>
      </c>
      <c r="R153" s="48"/>
      <c r="S153" s="45">
        <v>105672</v>
      </c>
      <c r="T153" s="48"/>
      <c r="U153" s="45">
        <v>0</v>
      </c>
      <c r="V153" s="48"/>
      <c r="W153" s="48"/>
      <c r="X153" s="35"/>
      <c r="Z153" s="35"/>
      <c r="AA153" s="35"/>
      <c r="AB153" s="45">
        <v>100065</v>
      </c>
      <c r="AC153" s="107"/>
      <c r="AD153" s="45">
        <v>164545</v>
      </c>
      <c r="AE153" s="107"/>
      <c r="AF153" s="45">
        <v>0</v>
      </c>
      <c r="AG153" s="107"/>
      <c r="AH153" s="48">
        <f t="shared" si="5"/>
        <v>2656463</v>
      </c>
      <c r="AI153" s="48"/>
      <c r="AJ153" s="48">
        <v>0</v>
      </c>
      <c r="AK153" s="48"/>
      <c r="AL153" s="45">
        <v>93063</v>
      </c>
      <c r="AM153" s="45"/>
      <c r="AN153" s="45">
        <v>-281232</v>
      </c>
      <c r="AO153" s="45"/>
      <c r="AP153" s="45">
        <v>0</v>
      </c>
      <c r="AQ153" s="45"/>
      <c r="AR153" s="45">
        <f>+'GVFund Rev'!U153+'GVFund Rev'!W153-'GVFund Exp'!AH153-'GVFund Exp'!AL153+AJ153+AN153+AP153-'GV Fund BS'!S153</f>
        <v>0</v>
      </c>
      <c r="AS153" s="48"/>
    </row>
    <row r="154" spans="1:45" s="44" customFormat="1" ht="12.75" customHeight="1">
      <c r="A154" s="64" t="s">
        <v>487</v>
      </c>
      <c r="B154" s="46"/>
      <c r="C154" s="64" t="s">
        <v>13</v>
      </c>
      <c r="D154" s="46"/>
      <c r="E154" s="45">
        <v>1098142</v>
      </c>
      <c r="F154" s="48"/>
      <c r="G154" s="45">
        <v>3713953</v>
      </c>
      <c r="H154" s="48"/>
      <c r="I154" s="45">
        <v>125929</v>
      </c>
      <c r="J154" s="48"/>
      <c r="K154" s="45">
        <v>130188</v>
      </c>
      <c r="L154" s="48"/>
      <c r="M154" s="45">
        <v>989886</v>
      </c>
      <c r="N154" s="48"/>
      <c r="O154" s="45">
        <v>56647</v>
      </c>
      <c r="P154" s="48"/>
      <c r="Q154" s="45">
        <v>0</v>
      </c>
      <c r="R154" s="48"/>
      <c r="S154" s="45">
        <v>529160</v>
      </c>
      <c r="T154" s="48"/>
      <c r="U154" s="45">
        <v>0</v>
      </c>
      <c r="V154" s="48"/>
      <c r="W154" s="48"/>
      <c r="X154" s="35"/>
      <c r="Z154" s="35"/>
      <c r="AA154" s="35"/>
      <c r="AB154" s="45">
        <v>96995</v>
      </c>
      <c r="AC154" s="107"/>
      <c r="AD154" s="45">
        <v>2861</v>
      </c>
      <c r="AE154" s="107"/>
      <c r="AF154" s="45">
        <v>0</v>
      </c>
      <c r="AG154" s="107"/>
      <c r="AH154" s="48">
        <f t="shared" si="5"/>
        <v>6743761</v>
      </c>
      <c r="AI154" s="48"/>
      <c r="AJ154" s="48">
        <v>0</v>
      </c>
      <c r="AK154" s="48"/>
      <c r="AL154" s="45">
        <v>0</v>
      </c>
      <c r="AM154" s="45"/>
      <c r="AN154" s="45">
        <v>3516726</v>
      </c>
      <c r="AO154" s="45"/>
      <c r="AP154" s="45">
        <v>0</v>
      </c>
      <c r="AQ154" s="45"/>
      <c r="AR154" s="45">
        <f>+'GVFund Rev'!U154+'GVFund Rev'!W154-'GVFund Exp'!AH154-'GVFund Exp'!AL154+AJ154+AN154+AP154-'GV Fund BS'!S154</f>
        <v>0</v>
      </c>
      <c r="AS154" s="48"/>
    </row>
    <row r="155" spans="1:45" s="44" customFormat="1" ht="12.75" customHeight="1">
      <c r="A155" s="64" t="s">
        <v>184</v>
      </c>
      <c r="B155" s="46"/>
      <c r="C155" s="64" t="s">
        <v>89</v>
      </c>
      <c r="D155" s="46"/>
      <c r="E155" s="45">
        <v>3256981</v>
      </c>
      <c r="F155" s="48"/>
      <c r="G155" s="45">
        <v>4562622</v>
      </c>
      <c r="H155" s="48"/>
      <c r="I155" s="45">
        <v>337995</v>
      </c>
      <c r="J155" s="48"/>
      <c r="K155" s="45">
        <v>665515</v>
      </c>
      <c r="L155" s="48"/>
      <c r="M155" s="45">
        <v>1340068</v>
      </c>
      <c r="N155" s="48"/>
      <c r="O155" s="45">
        <v>700016</v>
      </c>
      <c r="P155" s="48"/>
      <c r="Q155" s="45">
        <v>0</v>
      </c>
      <c r="R155" s="48"/>
      <c r="S155" s="45">
        <v>1842579</v>
      </c>
      <c r="T155" s="48"/>
      <c r="U155" s="45">
        <v>0</v>
      </c>
      <c r="V155" s="48"/>
      <c r="W155" s="48"/>
      <c r="X155" s="35"/>
      <c r="Z155" s="35"/>
      <c r="AA155" s="35"/>
      <c r="AB155" s="45">
        <v>144159</v>
      </c>
      <c r="AC155" s="107"/>
      <c r="AD155" s="45">
        <v>101353</v>
      </c>
      <c r="AE155" s="107"/>
      <c r="AF155" s="45">
        <v>0</v>
      </c>
      <c r="AG155" s="107"/>
      <c r="AH155" s="48">
        <f t="shared" si="5"/>
        <v>12951288</v>
      </c>
      <c r="AI155" s="48"/>
      <c r="AJ155" s="48">
        <v>0</v>
      </c>
      <c r="AK155" s="48"/>
      <c r="AL155" s="45">
        <v>156417</v>
      </c>
      <c r="AM155" s="45"/>
      <c r="AN155" s="45">
        <v>6342557</v>
      </c>
      <c r="AO155" s="45"/>
      <c r="AP155" s="45">
        <v>0</v>
      </c>
      <c r="AQ155" s="45"/>
      <c r="AR155" s="45">
        <f>+'GVFund Rev'!U155+'GVFund Rev'!W155-'GVFund Exp'!AH155-'GVFund Exp'!AL155+AJ155+AN155+AP155-'GV Fund BS'!S155</f>
        <v>0</v>
      </c>
      <c r="AS155" s="48"/>
    </row>
    <row r="156" spans="1:45" s="44" customFormat="1" ht="12.75" customHeight="1">
      <c r="A156" s="35" t="s">
        <v>181</v>
      </c>
      <c r="C156" s="35" t="s">
        <v>125</v>
      </c>
      <c r="E156" s="45">
        <v>10387078</v>
      </c>
      <c r="F156" s="48"/>
      <c r="G156" s="45">
        <v>18299201</v>
      </c>
      <c r="H156" s="48"/>
      <c r="I156" s="45">
        <v>3171385</v>
      </c>
      <c r="J156" s="48"/>
      <c r="K156" s="45">
        <v>7911</v>
      </c>
      <c r="L156" s="48"/>
      <c r="M156" s="45">
        <v>4886329</v>
      </c>
      <c r="N156" s="48"/>
      <c r="O156" s="45">
        <v>0</v>
      </c>
      <c r="P156" s="48"/>
      <c r="Q156" s="45">
        <v>0</v>
      </c>
      <c r="R156" s="48"/>
      <c r="S156" s="45">
        <v>4123220</v>
      </c>
      <c r="T156" s="48"/>
      <c r="U156" s="45">
        <v>0</v>
      </c>
      <c r="V156" s="48"/>
      <c r="W156" s="48"/>
      <c r="X156" s="35"/>
      <c r="Z156" s="35"/>
      <c r="AA156" s="35"/>
      <c r="AB156" s="45">
        <v>535000</v>
      </c>
      <c r="AC156" s="107"/>
      <c r="AD156" s="45">
        <v>705764</v>
      </c>
      <c r="AE156" s="107"/>
      <c r="AF156" s="45">
        <v>0</v>
      </c>
      <c r="AG156" s="107"/>
      <c r="AH156" s="48">
        <f t="shared" si="5"/>
        <v>42115888</v>
      </c>
      <c r="AI156" s="48"/>
      <c r="AJ156" s="48">
        <v>0</v>
      </c>
      <c r="AK156" s="48"/>
      <c r="AL156" s="45">
        <v>20432753</v>
      </c>
      <c r="AM156" s="45"/>
      <c r="AN156" s="45">
        <v>9716056</v>
      </c>
      <c r="AO156" s="45"/>
      <c r="AP156" s="45">
        <v>-62045</v>
      </c>
      <c r="AQ156" s="45"/>
      <c r="AR156" s="45">
        <f>+'GVFund Rev'!U156+'GVFund Rev'!W156-'GVFund Exp'!AH156-'GVFund Exp'!AL156+AJ156+AN156+AP156-'GV Fund BS'!S156</f>
        <v>0</v>
      </c>
      <c r="AS156" s="48"/>
    </row>
    <row r="157" spans="1:45" s="44" customFormat="1" ht="12.75" customHeight="1">
      <c r="A157" s="35" t="s">
        <v>185</v>
      </c>
      <c r="C157" s="35" t="s">
        <v>80</v>
      </c>
      <c r="E157" s="45">
        <v>1890998</v>
      </c>
      <c r="F157" s="48"/>
      <c r="G157" s="45">
        <v>7706866</v>
      </c>
      <c r="H157" s="48"/>
      <c r="I157" s="45">
        <v>659433</v>
      </c>
      <c r="J157" s="48"/>
      <c r="K157" s="45">
        <v>819106</v>
      </c>
      <c r="L157" s="48"/>
      <c r="M157" s="45">
        <v>1295659</v>
      </c>
      <c r="N157" s="48"/>
      <c r="O157" s="45">
        <v>494631</v>
      </c>
      <c r="P157" s="48"/>
      <c r="Q157" s="45">
        <v>189075</v>
      </c>
      <c r="R157" s="48"/>
      <c r="S157" s="45">
        <v>676608</v>
      </c>
      <c r="T157" s="48"/>
      <c r="U157" s="45">
        <v>0</v>
      </c>
      <c r="V157" s="48"/>
      <c r="W157" s="48"/>
      <c r="X157" s="35"/>
      <c r="Z157" s="35"/>
      <c r="AA157" s="35"/>
      <c r="AB157" s="45">
        <v>10384</v>
      </c>
      <c r="AC157" s="107"/>
      <c r="AD157" s="45">
        <v>137368</v>
      </c>
      <c r="AE157" s="107"/>
      <c r="AF157" s="45">
        <v>0</v>
      </c>
      <c r="AG157" s="107"/>
      <c r="AH157" s="48">
        <f t="shared" si="5"/>
        <v>13880128</v>
      </c>
      <c r="AI157" s="48"/>
      <c r="AJ157" s="48">
        <v>0</v>
      </c>
      <c r="AK157" s="48"/>
      <c r="AL157" s="45">
        <v>6299055</v>
      </c>
      <c r="AM157" s="45"/>
      <c r="AN157" s="45">
        <v>15469878</v>
      </c>
      <c r="AO157" s="45"/>
      <c r="AP157" s="45">
        <v>0</v>
      </c>
      <c r="AQ157" s="45"/>
      <c r="AR157" s="45">
        <f>+'GVFund Rev'!U157+'GVFund Rev'!W157-'GVFund Exp'!AH157-'GVFund Exp'!AL157+AJ157+AN157+AP157-'GV Fund BS'!S157</f>
        <v>0</v>
      </c>
      <c r="AS157" s="48"/>
    </row>
    <row r="158" spans="1:45" s="44" customFormat="1" ht="12.75" customHeight="1">
      <c r="A158" s="35" t="s">
        <v>186</v>
      </c>
      <c r="C158" s="35" t="s">
        <v>15</v>
      </c>
      <c r="E158" s="45">
        <v>2028118</v>
      </c>
      <c r="F158" s="48"/>
      <c r="G158" s="45">
        <f>3094169+580697</f>
        <v>3674866</v>
      </c>
      <c r="H158" s="48"/>
      <c r="I158" s="45">
        <f>471444+4100754</f>
        <v>4572198</v>
      </c>
      <c r="J158" s="48"/>
      <c r="K158" s="45">
        <v>1487863</v>
      </c>
      <c r="L158" s="48"/>
      <c r="M158" s="45">
        <v>1222634</v>
      </c>
      <c r="N158" s="48"/>
      <c r="O158" s="45">
        <v>817514</v>
      </c>
      <c r="P158" s="48"/>
      <c r="Q158" s="45">
        <v>920764</v>
      </c>
      <c r="R158" s="48"/>
      <c r="S158" s="45">
        <v>1586606</v>
      </c>
      <c r="T158" s="48"/>
      <c r="U158" s="45">
        <v>0</v>
      </c>
      <c r="V158" s="48"/>
      <c r="W158" s="48"/>
      <c r="X158" s="35"/>
      <c r="Z158" s="35"/>
      <c r="AA158" s="35"/>
      <c r="AB158" s="45">
        <v>249111</v>
      </c>
      <c r="AC158" s="107"/>
      <c r="AD158" s="45">
        <v>28006</v>
      </c>
      <c r="AE158" s="107"/>
      <c r="AF158" s="45">
        <v>0</v>
      </c>
      <c r="AG158" s="107"/>
      <c r="AH158" s="48">
        <f t="shared" si="5"/>
        <v>16587680</v>
      </c>
      <c r="AI158" s="48"/>
      <c r="AJ158" s="48">
        <v>0</v>
      </c>
      <c r="AK158" s="48"/>
      <c r="AL158" s="45">
        <v>2100000</v>
      </c>
      <c r="AM158" s="45"/>
      <c r="AN158" s="45">
        <v>5362438</v>
      </c>
      <c r="AO158" s="45"/>
      <c r="AP158" s="45">
        <v>0</v>
      </c>
      <c r="AQ158" s="45"/>
      <c r="AR158" s="45">
        <f>+'GVFund Rev'!U158+'GVFund Rev'!W158-'GVFund Exp'!AH158-'GVFund Exp'!AL158+AJ158+AN158+AP158-'GV Fund BS'!S159</f>
        <v>0</v>
      </c>
      <c r="AS158" s="48"/>
    </row>
    <row r="159" spans="1:45" s="44" customFormat="1" ht="12.75" customHeight="1">
      <c r="A159" s="35" t="s">
        <v>187</v>
      </c>
      <c r="C159" s="35" t="s">
        <v>27</v>
      </c>
      <c r="E159" s="45">
        <v>3548371</v>
      </c>
      <c r="F159" s="48"/>
      <c r="G159" s="45">
        <v>12492370</v>
      </c>
      <c r="H159" s="48"/>
      <c r="I159" s="45">
        <v>554298</v>
      </c>
      <c r="J159" s="48"/>
      <c r="K159" s="45">
        <v>549409</v>
      </c>
      <c r="L159" s="48"/>
      <c r="M159" s="45">
        <v>4949069</v>
      </c>
      <c r="N159" s="48"/>
      <c r="O159" s="45">
        <v>2208061</v>
      </c>
      <c r="P159" s="48"/>
      <c r="Q159" s="45">
        <v>2107623</v>
      </c>
      <c r="R159" s="48"/>
      <c r="S159" s="45">
        <v>416772</v>
      </c>
      <c r="T159" s="48"/>
      <c r="U159" s="45">
        <v>0</v>
      </c>
      <c r="V159" s="48"/>
      <c r="W159" s="48"/>
      <c r="X159" s="35"/>
      <c r="Z159" s="35"/>
      <c r="AA159" s="35"/>
      <c r="AB159" s="45">
        <v>6763814</v>
      </c>
      <c r="AC159" s="107"/>
      <c r="AD159" s="45">
        <v>1738992</v>
      </c>
      <c r="AE159" s="107"/>
      <c r="AF159" s="45">
        <v>22017</v>
      </c>
      <c r="AG159" s="107"/>
      <c r="AH159" s="48">
        <f t="shared" si="5"/>
        <v>35350796</v>
      </c>
      <c r="AI159" s="48"/>
      <c r="AJ159" s="48">
        <v>0</v>
      </c>
      <c r="AK159" s="48"/>
      <c r="AL159" s="45">
        <v>1817912</v>
      </c>
      <c r="AM159" s="45"/>
      <c r="AN159" s="45">
        <v>13476659</v>
      </c>
      <c r="AO159" s="45"/>
      <c r="AP159" s="45">
        <v>0</v>
      </c>
      <c r="AQ159" s="45"/>
      <c r="AR159" s="45">
        <f>+'GVFund Rev'!U159+'GVFund Rev'!W159-'GVFund Exp'!AH159-'GVFund Exp'!AL159+AJ159+AN159+AP159-'GV Fund BS'!S160</f>
        <v>0</v>
      </c>
      <c r="AS159" s="48"/>
    </row>
    <row r="160" spans="1:45" s="44" customFormat="1" ht="12.75" customHeight="1">
      <c r="A160" s="44" t="s">
        <v>189</v>
      </c>
      <c r="C160" s="44" t="s">
        <v>17</v>
      </c>
      <c r="E160" s="45">
        <v>6034750</v>
      </c>
      <c r="F160" s="48"/>
      <c r="G160" s="45">
        <v>10199689</v>
      </c>
      <c r="H160" s="48"/>
      <c r="I160" s="45">
        <v>1469339</v>
      </c>
      <c r="J160" s="48"/>
      <c r="K160" s="45">
        <v>407022</v>
      </c>
      <c r="L160" s="48"/>
      <c r="M160" s="45">
        <v>2370534</v>
      </c>
      <c r="N160" s="48"/>
      <c r="O160" s="45">
        <v>480346</v>
      </c>
      <c r="P160" s="48"/>
      <c r="Q160" s="45">
        <v>0</v>
      </c>
      <c r="R160" s="48"/>
      <c r="S160" s="45">
        <v>3677460</v>
      </c>
      <c r="T160" s="48"/>
      <c r="U160" s="45">
        <v>0</v>
      </c>
      <c r="V160" s="48"/>
      <c r="W160" s="48"/>
      <c r="X160" s="35"/>
      <c r="Z160" s="35"/>
      <c r="AA160" s="35"/>
      <c r="AB160" s="45">
        <v>1016177</v>
      </c>
      <c r="AC160" s="107"/>
      <c r="AD160" s="45">
        <v>303247</v>
      </c>
      <c r="AE160" s="107"/>
      <c r="AF160" s="45">
        <v>0</v>
      </c>
      <c r="AG160" s="107"/>
      <c r="AH160" s="48">
        <f t="shared" si="5"/>
        <v>25958564</v>
      </c>
      <c r="AI160" s="48"/>
      <c r="AJ160" s="48">
        <v>0</v>
      </c>
      <c r="AK160" s="48"/>
      <c r="AL160" s="45">
        <v>8800000</v>
      </c>
      <c r="AM160" s="45"/>
      <c r="AN160" s="45">
        <v>9008822</v>
      </c>
      <c r="AO160" s="45"/>
      <c r="AP160" s="45">
        <v>0</v>
      </c>
      <c r="AQ160" s="45"/>
      <c r="AR160" s="45">
        <f>+'GVFund Rev'!U160+'GVFund Rev'!W160-'GVFund Exp'!AH160-'GVFund Exp'!AL160+AJ160+AN160+AP160-'GV Fund BS'!S161</f>
        <v>0</v>
      </c>
      <c r="AS160" s="48"/>
    </row>
    <row r="161" spans="1:45" s="44" customFormat="1" ht="12.75" customHeight="1">
      <c r="A161" s="64" t="s">
        <v>188</v>
      </c>
      <c r="B161" s="46"/>
      <c r="C161" s="64" t="s">
        <v>27</v>
      </c>
      <c r="D161" s="46"/>
      <c r="E161" s="45">
        <v>2971429</v>
      </c>
      <c r="F161" s="48"/>
      <c r="G161" s="45">
        <v>11541423</v>
      </c>
      <c r="H161" s="48"/>
      <c r="I161" s="45">
        <v>812119</v>
      </c>
      <c r="J161" s="48"/>
      <c r="K161" s="45">
        <v>449953</v>
      </c>
      <c r="L161" s="48"/>
      <c r="M161" s="45">
        <v>2424622</v>
      </c>
      <c r="N161" s="48"/>
      <c r="O161" s="45">
        <v>468613</v>
      </c>
      <c r="P161" s="48"/>
      <c r="Q161" s="45">
        <v>2246063</v>
      </c>
      <c r="R161" s="48"/>
      <c r="S161" s="45">
        <v>2704836</v>
      </c>
      <c r="T161" s="48"/>
      <c r="U161" s="45">
        <v>0</v>
      </c>
      <c r="V161" s="48"/>
      <c r="W161" s="48"/>
      <c r="X161" s="35"/>
      <c r="Z161" s="35"/>
      <c r="AA161" s="35"/>
      <c r="AB161" s="45">
        <v>5949063</v>
      </c>
      <c r="AC161" s="107"/>
      <c r="AD161" s="45">
        <v>789012</v>
      </c>
      <c r="AE161" s="107"/>
      <c r="AF161" s="45">
        <v>0</v>
      </c>
      <c r="AG161" s="107"/>
      <c r="AH161" s="48">
        <f t="shared" si="5"/>
        <v>30357133</v>
      </c>
      <c r="AI161" s="48"/>
      <c r="AJ161" s="48">
        <v>0</v>
      </c>
      <c r="AK161" s="48"/>
      <c r="AL161" s="45">
        <v>2547480</v>
      </c>
      <c r="AM161" s="45"/>
      <c r="AN161" s="45">
        <v>17589568</v>
      </c>
      <c r="AO161" s="45"/>
      <c r="AP161" s="45">
        <v>0</v>
      </c>
      <c r="AQ161" s="45"/>
      <c r="AR161" s="45">
        <f>+'GVFund Rev'!U161+'GVFund Rev'!W161-'GVFund Exp'!AH161-'GVFund Exp'!AL161+AJ161+AN161+AP161-'GV Fund BS'!S162</f>
        <v>0</v>
      </c>
      <c r="AS161" s="48"/>
    </row>
    <row r="162" spans="1:45" s="44" customFormat="1" ht="12.75" customHeight="1">
      <c r="A162" s="35" t="s">
        <v>190</v>
      </c>
      <c r="C162" s="35" t="s">
        <v>47</v>
      </c>
      <c r="E162" s="45">
        <v>1558290</v>
      </c>
      <c r="F162" s="48"/>
      <c r="G162" s="45">
        <v>2763288</v>
      </c>
      <c r="H162" s="48"/>
      <c r="I162" s="45">
        <v>343722</v>
      </c>
      <c r="J162" s="48"/>
      <c r="K162" s="45">
        <v>8975</v>
      </c>
      <c r="L162" s="48"/>
      <c r="M162" s="45">
        <v>519477</v>
      </c>
      <c r="N162" s="48"/>
      <c r="O162" s="45">
        <v>65645</v>
      </c>
      <c r="P162" s="48"/>
      <c r="Q162" s="45">
        <v>521738</v>
      </c>
      <c r="R162" s="48"/>
      <c r="S162" s="45">
        <v>1338924</v>
      </c>
      <c r="T162" s="48"/>
      <c r="U162" s="45">
        <v>0</v>
      </c>
      <c r="V162" s="48"/>
      <c r="W162" s="48"/>
      <c r="X162" s="35"/>
      <c r="Z162" s="35"/>
      <c r="AA162" s="35"/>
      <c r="AB162" s="45">
        <v>84390</v>
      </c>
      <c r="AC162" s="107"/>
      <c r="AD162" s="45">
        <v>21620</v>
      </c>
      <c r="AE162" s="107"/>
      <c r="AF162" s="45">
        <v>0</v>
      </c>
      <c r="AG162" s="107"/>
      <c r="AH162" s="48">
        <f t="shared" ref="AH162:AH195" si="6">SUM(E162:AF162)</f>
        <v>7226069</v>
      </c>
      <c r="AI162" s="48"/>
      <c r="AJ162" s="48">
        <v>0</v>
      </c>
      <c r="AK162" s="48"/>
      <c r="AL162" s="45">
        <v>236833</v>
      </c>
      <c r="AM162" s="45"/>
      <c r="AN162" s="45">
        <v>4947739</v>
      </c>
      <c r="AO162" s="45"/>
      <c r="AP162" s="45">
        <v>29800</v>
      </c>
      <c r="AQ162" s="45"/>
      <c r="AR162" s="45">
        <f>+'GVFund Rev'!U162+'GVFund Rev'!W162-'GVFund Exp'!AH162-'GVFund Exp'!AL162+AJ162+AN162+AP162-'GV Fund BS'!S163</f>
        <v>0</v>
      </c>
      <c r="AS162" s="48"/>
    </row>
    <row r="163" spans="1:45" s="44" customFormat="1" ht="12.75" customHeight="1">
      <c r="A163" s="35" t="s">
        <v>191</v>
      </c>
      <c r="C163" s="35" t="s">
        <v>13</v>
      </c>
      <c r="E163" s="45">
        <v>2577602</v>
      </c>
      <c r="F163" s="48"/>
      <c r="G163" s="45">
        <v>3716697</v>
      </c>
      <c r="H163" s="48"/>
      <c r="I163" s="45">
        <v>221965</v>
      </c>
      <c r="J163" s="48"/>
      <c r="K163" s="45">
        <v>230224</v>
      </c>
      <c r="L163" s="48"/>
      <c r="M163" s="45">
        <v>1708913</v>
      </c>
      <c r="N163" s="48"/>
      <c r="O163" s="45">
        <v>251167</v>
      </c>
      <c r="P163" s="48"/>
      <c r="Q163" s="45">
        <v>0</v>
      </c>
      <c r="R163" s="48"/>
      <c r="S163" s="45">
        <v>1878003</v>
      </c>
      <c r="T163" s="48"/>
      <c r="U163" s="45">
        <v>0</v>
      </c>
      <c r="V163" s="48"/>
      <c r="W163" s="48"/>
      <c r="X163" s="35"/>
      <c r="Z163" s="35"/>
      <c r="AA163" s="35"/>
      <c r="AB163" s="45">
        <v>229364</v>
      </c>
      <c r="AC163" s="107"/>
      <c r="AD163" s="45">
        <v>219514</v>
      </c>
      <c r="AE163" s="107"/>
      <c r="AF163" s="45">
        <v>0</v>
      </c>
      <c r="AG163" s="107"/>
      <c r="AH163" s="48">
        <f t="shared" si="6"/>
        <v>11033449</v>
      </c>
      <c r="AI163" s="48"/>
      <c r="AJ163" s="48">
        <v>0</v>
      </c>
      <c r="AK163" s="48"/>
      <c r="AL163" s="45">
        <v>1043419</v>
      </c>
      <c r="AM163" s="45"/>
      <c r="AN163" s="45">
        <v>4033347</v>
      </c>
      <c r="AO163" s="45"/>
      <c r="AP163" s="45">
        <v>0</v>
      </c>
      <c r="AQ163" s="45"/>
      <c r="AR163" s="45">
        <f>+'GVFund Rev'!U163+'GVFund Rev'!W163-'GVFund Exp'!AH163-'GVFund Exp'!AL163+AJ163+AN163+AP163-'GV Fund BS'!S164</f>
        <v>0</v>
      </c>
      <c r="AS163" s="48"/>
    </row>
    <row r="164" spans="1:45" s="44" customFormat="1" ht="12.75" customHeight="1">
      <c r="A164" s="64" t="s">
        <v>192</v>
      </c>
      <c r="B164" s="46"/>
      <c r="C164" s="64" t="s">
        <v>38</v>
      </c>
      <c r="D164" s="46"/>
      <c r="E164" s="45">
        <v>2256080</v>
      </c>
      <c r="F164" s="48"/>
      <c r="G164" s="45">
        <v>4806318</v>
      </c>
      <c r="H164" s="48"/>
      <c r="I164" s="45">
        <v>270397</v>
      </c>
      <c r="J164" s="48"/>
      <c r="K164" s="45">
        <v>161384</v>
      </c>
      <c r="L164" s="48"/>
      <c r="M164" s="45">
        <v>1053419</v>
      </c>
      <c r="N164" s="48"/>
      <c r="O164" s="45">
        <v>1544099</v>
      </c>
      <c r="P164" s="48"/>
      <c r="Q164" s="45">
        <v>0</v>
      </c>
      <c r="R164" s="48"/>
      <c r="S164" s="45">
        <v>1022693</v>
      </c>
      <c r="T164" s="48"/>
      <c r="U164" s="45">
        <v>0</v>
      </c>
      <c r="V164" s="48"/>
      <c r="W164" s="48"/>
      <c r="X164" s="35"/>
      <c r="Z164" s="35"/>
      <c r="AA164" s="35"/>
      <c r="AB164" s="45">
        <v>170152</v>
      </c>
      <c r="AC164" s="107"/>
      <c r="AD164" s="45">
        <v>65735</v>
      </c>
      <c r="AE164" s="107"/>
      <c r="AF164" s="45">
        <v>0</v>
      </c>
      <c r="AG164" s="107"/>
      <c r="AH164" s="48">
        <f t="shared" si="6"/>
        <v>11350277</v>
      </c>
      <c r="AI164" s="48"/>
      <c r="AJ164" s="48">
        <v>0</v>
      </c>
      <c r="AK164" s="48"/>
      <c r="AL164" s="45">
        <v>948212</v>
      </c>
      <c r="AM164" s="45"/>
      <c r="AN164" s="45">
        <v>12288609</v>
      </c>
      <c r="AO164" s="45"/>
      <c r="AP164" s="45">
        <v>0</v>
      </c>
      <c r="AQ164" s="45"/>
      <c r="AR164" s="45">
        <f>+'GVFund Rev'!U164+'GVFund Rev'!W164-'GVFund Exp'!AH164-'GVFund Exp'!AL164+AJ164+AN164+AP164-'GV Fund BS'!S165</f>
        <v>0</v>
      </c>
      <c r="AS164" s="48"/>
    </row>
    <row r="165" spans="1:45" s="44" customFormat="1" ht="12.75" customHeight="1">
      <c r="A165" s="35" t="s">
        <v>193</v>
      </c>
      <c r="C165" s="35" t="s">
        <v>45</v>
      </c>
      <c r="E165" s="45">
        <f>4403037+116018</f>
        <v>4519055</v>
      </c>
      <c r="F165" s="48"/>
      <c r="G165" s="45">
        <f>7474541+7561824</f>
        <v>15036365</v>
      </c>
      <c r="H165" s="48"/>
      <c r="I165" s="45">
        <v>101996</v>
      </c>
      <c r="J165" s="48"/>
      <c r="K165" s="45">
        <v>1058252</v>
      </c>
      <c r="L165" s="48"/>
      <c r="M165" s="45">
        <v>1984602</v>
      </c>
      <c r="N165" s="48"/>
      <c r="O165" s="45">
        <v>469887</v>
      </c>
      <c r="P165" s="48"/>
      <c r="Q165" s="45">
        <v>14915</v>
      </c>
      <c r="R165" s="48"/>
      <c r="S165" s="45">
        <v>501983</v>
      </c>
      <c r="T165" s="48"/>
      <c r="U165" s="45">
        <v>420765</v>
      </c>
      <c r="V165" s="48"/>
      <c r="W165" s="48"/>
      <c r="X165" s="35"/>
      <c r="Z165" s="35"/>
      <c r="AA165" s="35"/>
      <c r="AB165" s="45">
        <v>1448132</v>
      </c>
      <c r="AC165" s="107"/>
      <c r="AD165" s="45">
        <v>1483860</v>
      </c>
      <c r="AE165" s="107"/>
      <c r="AF165" s="45">
        <v>0</v>
      </c>
      <c r="AG165" s="107"/>
      <c r="AH165" s="48">
        <f t="shared" si="6"/>
        <v>27039812</v>
      </c>
      <c r="AI165" s="48"/>
      <c r="AJ165" s="48">
        <v>0</v>
      </c>
      <c r="AK165" s="48"/>
      <c r="AL165" s="45">
        <v>1810772</v>
      </c>
      <c r="AM165" s="45"/>
      <c r="AN165" s="45">
        <v>8376147</v>
      </c>
      <c r="AO165" s="45"/>
      <c r="AP165" s="45">
        <v>0</v>
      </c>
      <c r="AQ165" s="45"/>
      <c r="AR165" s="45">
        <f>+'GVFund Rev'!U165+'GVFund Rev'!W165-'GVFund Exp'!AH165-'GVFund Exp'!AL165+AJ165+AN165+AP165-'GV Fund BS'!S166</f>
        <v>0</v>
      </c>
      <c r="AS165" s="65"/>
    </row>
    <row r="166" spans="1:45" s="44" customFormat="1" ht="12.75" customHeight="1">
      <c r="A166" s="35" t="s">
        <v>194</v>
      </c>
      <c r="C166" s="35" t="s">
        <v>66</v>
      </c>
      <c r="E166" s="45">
        <v>2346208</v>
      </c>
      <c r="F166" s="48"/>
      <c r="G166" s="45">
        <v>5114588</v>
      </c>
      <c r="H166" s="48"/>
      <c r="I166" s="45">
        <v>1885054</v>
      </c>
      <c r="J166" s="48"/>
      <c r="K166" s="45">
        <v>105272</v>
      </c>
      <c r="L166" s="48"/>
      <c r="M166" s="45">
        <v>941022</v>
      </c>
      <c r="N166" s="48"/>
      <c r="O166" s="45">
        <v>1135300</v>
      </c>
      <c r="P166" s="48"/>
      <c r="Q166" s="45">
        <v>0</v>
      </c>
      <c r="R166" s="48"/>
      <c r="S166" s="45">
        <v>1989851</v>
      </c>
      <c r="T166" s="48"/>
      <c r="U166" s="45">
        <v>0</v>
      </c>
      <c r="V166" s="48"/>
      <c r="W166" s="48"/>
      <c r="X166" s="35"/>
      <c r="Z166" s="35"/>
      <c r="AA166" s="35"/>
      <c r="AB166" s="45">
        <v>11940</v>
      </c>
      <c r="AC166" s="107"/>
      <c r="AD166" s="45">
        <v>83098</v>
      </c>
      <c r="AE166" s="107"/>
      <c r="AF166" s="45">
        <v>0</v>
      </c>
      <c r="AG166" s="107"/>
      <c r="AH166" s="48">
        <f t="shared" si="6"/>
        <v>13612333</v>
      </c>
      <c r="AI166" s="48"/>
      <c r="AJ166" s="48">
        <v>0</v>
      </c>
      <c r="AK166" s="48"/>
      <c r="AL166" s="45">
        <v>2792862</v>
      </c>
      <c r="AM166" s="45"/>
      <c r="AN166" s="45">
        <v>12460354</v>
      </c>
      <c r="AO166" s="45"/>
      <c r="AP166" s="45">
        <v>0</v>
      </c>
      <c r="AQ166" s="45"/>
      <c r="AR166" s="45">
        <f>+'GVFund Rev'!U166+'GVFund Rev'!W166-'GVFund Exp'!AH166-'GVFund Exp'!AL166+AJ166+AN166+AP166-'GV Fund BS'!S167</f>
        <v>0</v>
      </c>
      <c r="AS166" s="48"/>
    </row>
    <row r="167" spans="1:45" s="44" customFormat="1" ht="12.75" customHeight="1">
      <c r="A167" s="35" t="s">
        <v>195</v>
      </c>
      <c r="C167" s="35" t="s">
        <v>17</v>
      </c>
      <c r="E167" s="45">
        <v>3320391</v>
      </c>
      <c r="F167" s="48"/>
      <c r="G167" s="45">
        <v>3164715</v>
      </c>
      <c r="H167" s="48"/>
      <c r="I167" s="45">
        <v>991356</v>
      </c>
      <c r="J167" s="48"/>
      <c r="K167" s="45">
        <v>115793</v>
      </c>
      <c r="L167" s="48"/>
      <c r="M167" s="45">
        <v>733492</v>
      </c>
      <c r="N167" s="48"/>
      <c r="O167" s="45">
        <v>637920</v>
      </c>
      <c r="P167" s="48"/>
      <c r="Q167" s="45">
        <v>283644</v>
      </c>
      <c r="R167" s="48"/>
      <c r="S167" s="45">
        <v>2870689</v>
      </c>
      <c r="T167" s="48"/>
      <c r="U167" s="45">
        <v>0</v>
      </c>
      <c r="V167" s="48"/>
      <c r="W167" s="48"/>
      <c r="X167" s="35"/>
      <c r="Z167" s="35"/>
      <c r="AA167" s="35"/>
      <c r="AB167" s="45">
        <v>323686</v>
      </c>
      <c r="AC167" s="107"/>
      <c r="AD167" s="45">
        <v>231593</v>
      </c>
      <c r="AE167" s="107"/>
      <c r="AF167" s="45">
        <v>0</v>
      </c>
      <c r="AG167" s="107"/>
      <c r="AH167" s="48">
        <f t="shared" si="6"/>
        <v>12673279</v>
      </c>
      <c r="AI167" s="48"/>
      <c r="AJ167" s="48">
        <v>0</v>
      </c>
      <c r="AK167" s="48"/>
      <c r="AL167" s="45">
        <v>1332775</v>
      </c>
      <c r="AM167" s="45"/>
      <c r="AN167" s="45">
        <v>12978739</v>
      </c>
      <c r="AO167" s="45"/>
      <c r="AP167" s="45">
        <v>2740</v>
      </c>
      <c r="AQ167" s="45"/>
      <c r="AR167" s="45">
        <f>+'GVFund Rev'!U167+'GVFund Rev'!W167-'GVFund Exp'!AH167-'GVFund Exp'!AL167+AJ167+AN167+AP167-'GV Fund BS'!S168</f>
        <v>0</v>
      </c>
      <c r="AS167" s="48"/>
    </row>
    <row r="168" spans="1:45" s="46" customFormat="1" ht="12.75" hidden="1" customHeight="1">
      <c r="A168" s="64" t="s">
        <v>196</v>
      </c>
      <c r="C168" s="64" t="s">
        <v>27</v>
      </c>
      <c r="E168" s="45">
        <v>0</v>
      </c>
      <c r="F168" s="48"/>
      <c r="G168" s="45">
        <v>0</v>
      </c>
      <c r="H168" s="48"/>
      <c r="I168" s="45">
        <v>0</v>
      </c>
      <c r="J168" s="48"/>
      <c r="K168" s="45">
        <v>0</v>
      </c>
      <c r="L168" s="48"/>
      <c r="M168" s="45">
        <v>0</v>
      </c>
      <c r="N168" s="48"/>
      <c r="O168" s="45">
        <v>0</v>
      </c>
      <c r="P168" s="48"/>
      <c r="Q168" s="45">
        <v>0</v>
      </c>
      <c r="R168" s="48"/>
      <c r="S168" s="45">
        <v>0</v>
      </c>
      <c r="T168" s="48"/>
      <c r="U168" s="45">
        <v>0</v>
      </c>
      <c r="V168" s="48"/>
      <c r="W168" s="48"/>
      <c r="X168" s="35"/>
      <c r="Y168" s="44"/>
      <c r="Z168" s="35"/>
      <c r="AA168" s="35"/>
      <c r="AB168" s="45">
        <v>0</v>
      </c>
      <c r="AC168" s="107"/>
      <c r="AD168" s="45">
        <v>0</v>
      </c>
      <c r="AE168" s="107"/>
      <c r="AF168" s="45">
        <v>0</v>
      </c>
      <c r="AG168" s="107"/>
      <c r="AH168" s="48">
        <f t="shared" si="6"/>
        <v>0</v>
      </c>
      <c r="AI168" s="48"/>
      <c r="AJ168" s="48">
        <v>0</v>
      </c>
      <c r="AK168" s="48"/>
      <c r="AL168" s="45">
        <v>0</v>
      </c>
      <c r="AM168" s="45"/>
      <c r="AN168" s="45">
        <v>0</v>
      </c>
      <c r="AO168" s="45"/>
      <c r="AP168" s="45">
        <v>0</v>
      </c>
      <c r="AQ168" s="45"/>
      <c r="AR168" s="45">
        <f>+'GVFund Rev'!U168+'GVFund Rev'!W168-'GVFund Exp'!AH168-'GVFund Exp'!AL168+AJ168+AN168+AP168-'GV Fund BS'!S169</f>
        <v>0</v>
      </c>
      <c r="AS168" s="48"/>
    </row>
    <row r="169" spans="1:45" s="44" customFormat="1" ht="12.75" customHeight="1">
      <c r="A169" s="35" t="s">
        <v>386</v>
      </c>
      <c r="C169" s="35" t="s">
        <v>153</v>
      </c>
      <c r="E169" s="45">
        <v>1655257</v>
      </c>
      <c r="F169" s="48"/>
      <c r="G169" s="45">
        <v>2123502</v>
      </c>
      <c r="H169" s="48"/>
      <c r="I169" s="45">
        <v>31961</v>
      </c>
      <c r="J169" s="48"/>
      <c r="K169" s="45">
        <v>3227</v>
      </c>
      <c r="L169" s="48"/>
      <c r="M169" s="45">
        <v>1199349</v>
      </c>
      <c r="N169" s="48"/>
      <c r="O169" s="45">
        <v>128911</v>
      </c>
      <c r="P169" s="48"/>
      <c r="Q169" s="45">
        <v>0</v>
      </c>
      <c r="R169" s="48"/>
      <c r="S169" s="45">
        <v>3277377</v>
      </c>
      <c r="T169" s="48"/>
      <c r="U169" s="45">
        <v>0</v>
      </c>
      <c r="V169" s="48"/>
      <c r="W169" s="48"/>
      <c r="X169" s="35"/>
      <c r="Z169" s="35"/>
      <c r="AA169" s="35"/>
      <c r="AB169" s="45">
        <v>27502</v>
      </c>
      <c r="AC169" s="107"/>
      <c r="AD169" s="45">
        <v>5408</v>
      </c>
      <c r="AE169" s="107"/>
      <c r="AF169" s="45">
        <v>170156</v>
      </c>
      <c r="AG169" s="107"/>
      <c r="AH169" s="48">
        <f t="shared" si="6"/>
        <v>8622650</v>
      </c>
      <c r="AI169" s="48"/>
      <c r="AJ169" s="48">
        <v>0</v>
      </c>
      <c r="AK169" s="48"/>
      <c r="AL169" s="45">
        <f>15755+175333</f>
        <v>191088</v>
      </c>
      <c r="AM169" s="45"/>
      <c r="AN169" s="45">
        <v>6715444</v>
      </c>
      <c r="AO169" s="45"/>
      <c r="AP169" s="45">
        <v>0</v>
      </c>
      <c r="AQ169" s="45"/>
      <c r="AR169" s="45">
        <f>+'GVFund Rev'!U169+'GVFund Rev'!W169-'GVFund Exp'!AH169-'GVFund Exp'!AL169+AJ169+AN169+AP169-'GV Fund BS'!S170</f>
        <v>0</v>
      </c>
      <c r="AS169" s="48"/>
    </row>
    <row r="170" spans="1:45" s="44" customFormat="1" ht="12.75" customHeight="1">
      <c r="A170" s="35" t="s">
        <v>197</v>
      </c>
      <c r="C170" s="35" t="s">
        <v>163</v>
      </c>
      <c r="E170" s="45">
        <v>5257700</v>
      </c>
      <c r="F170" s="48"/>
      <c r="G170" s="45">
        <v>10393583</v>
      </c>
      <c r="H170" s="48"/>
      <c r="I170" s="45">
        <v>1034469</v>
      </c>
      <c r="J170" s="48"/>
      <c r="K170" s="45">
        <v>437091</v>
      </c>
      <c r="L170" s="48"/>
      <c r="M170" s="45">
        <v>3895404</v>
      </c>
      <c r="N170" s="48"/>
      <c r="O170" s="45">
        <v>763597</v>
      </c>
      <c r="P170" s="48"/>
      <c r="Q170" s="45">
        <v>618414</v>
      </c>
      <c r="R170" s="48"/>
      <c r="S170" s="45">
        <v>4278505</v>
      </c>
      <c r="T170" s="48"/>
      <c r="U170" s="45">
        <v>0</v>
      </c>
      <c r="V170" s="48"/>
      <c r="W170" s="48"/>
      <c r="X170" s="35"/>
      <c r="Z170" s="35"/>
      <c r="AA170" s="35"/>
      <c r="AB170" s="45">
        <v>1127665</v>
      </c>
      <c r="AC170" s="107"/>
      <c r="AD170" s="45">
        <v>523054</v>
      </c>
      <c r="AE170" s="107"/>
      <c r="AF170" s="45">
        <v>0</v>
      </c>
      <c r="AG170" s="107"/>
      <c r="AH170" s="48">
        <f t="shared" si="6"/>
        <v>28329482</v>
      </c>
      <c r="AI170" s="48"/>
      <c r="AJ170" s="48">
        <v>0</v>
      </c>
      <c r="AK170" s="48"/>
      <c r="AL170" s="45">
        <v>8295824</v>
      </c>
      <c r="AM170" s="45"/>
      <c r="AN170" s="45">
        <v>30046228</v>
      </c>
      <c r="AO170" s="45"/>
      <c r="AP170" s="45">
        <v>5899</v>
      </c>
      <c r="AQ170" s="45"/>
      <c r="AR170" s="45">
        <f>+'GVFund Rev'!U170+'GVFund Rev'!W170-'GVFund Exp'!AH170-'GVFund Exp'!AL170+AJ170+AN170+AP170-'GV Fund BS'!S171</f>
        <v>0</v>
      </c>
      <c r="AS170" s="48"/>
    </row>
    <row r="171" spans="1:45" s="46" customFormat="1" ht="12.75" customHeight="1">
      <c r="A171" s="35" t="s">
        <v>198</v>
      </c>
      <c r="B171" s="44"/>
      <c r="C171" s="35" t="s">
        <v>199</v>
      </c>
      <c r="D171" s="44"/>
      <c r="E171" s="45">
        <v>1156641</v>
      </c>
      <c r="F171" s="48"/>
      <c r="G171" s="45">
        <f>1660915+421343</f>
        <v>2082258</v>
      </c>
      <c r="H171" s="48"/>
      <c r="I171" s="45">
        <v>0</v>
      </c>
      <c r="J171" s="48"/>
      <c r="K171" s="45">
        <v>140300</v>
      </c>
      <c r="L171" s="48"/>
      <c r="M171" s="45">
        <v>1457344</v>
      </c>
      <c r="N171" s="48"/>
      <c r="O171" s="45">
        <v>318017</v>
      </c>
      <c r="P171" s="48"/>
      <c r="Q171" s="45">
        <v>444941</v>
      </c>
      <c r="R171" s="48"/>
      <c r="S171" s="45">
        <v>1421521</v>
      </c>
      <c r="T171" s="48"/>
      <c r="U171" s="45">
        <v>0</v>
      </c>
      <c r="V171" s="48"/>
      <c r="W171" s="48"/>
      <c r="X171" s="35"/>
      <c r="Y171" s="44"/>
      <c r="Z171" s="35"/>
      <c r="AA171" s="35"/>
      <c r="AB171" s="45">
        <v>14510</v>
      </c>
      <c r="AC171" s="107"/>
      <c r="AD171" s="45">
        <v>72180</v>
      </c>
      <c r="AE171" s="107"/>
      <c r="AF171" s="45">
        <v>0</v>
      </c>
      <c r="AG171" s="107"/>
      <c r="AH171" s="48">
        <f t="shared" si="6"/>
        <v>7107712</v>
      </c>
      <c r="AI171" s="48"/>
      <c r="AJ171" s="48">
        <v>0</v>
      </c>
      <c r="AK171" s="48"/>
      <c r="AL171" s="45">
        <v>1175217</v>
      </c>
      <c r="AM171" s="45"/>
      <c r="AN171" s="45">
        <v>4075216</v>
      </c>
      <c r="AO171" s="45"/>
      <c r="AP171" s="45">
        <v>0</v>
      </c>
      <c r="AQ171" s="45"/>
      <c r="AR171" s="45">
        <f>+'GVFund Rev'!U171+'GVFund Rev'!W171-'GVFund Exp'!AH171-'GVFund Exp'!AL171+AJ171+AN171+AP171-'GV Fund BS'!S172</f>
        <v>0</v>
      </c>
      <c r="AS171" s="48"/>
    </row>
    <row r="172" spans="1:45" s="44" customFormat="1" ht="12.75" customHeight="1">
      <c r="A172" s="35" t="s">
        <v>200</v>
      </c>
      <c r="C172" s="35" t="s">
        <v>103</v>
      </c>
      <c r="E172" s="45">
        <v>1660998</v>
      </c>
      <c r="F172" s="48"/>
      <c r="G172" s="45">
        <v>5464185</v>
      </c>
      <c r="H172" s="48"/>
      <c r="I172" s="45">
        <v>1012606</v>
      </c>
      <c r="J172" s="48"/>
      <c r="K172" s="45">
        <v>191009</v>
      </c>
      <c r="L172" s="48"/>
      <c r="M172" s="45">
        <v>1217026</v>
      </c>
      <c r="N172" s="48"/>
      <c r="O172" s="45">
        <v>1308926</v>
      </c>
      <c r="P172" s="48"/>
      <c r="Q172" s="45">
        <v>0</v>
      </c>
      <c r="R172" s="48"/>
      <c r="S172" s="45">
        <v>1599212</v>
      </c>
      <c r="T172" s="48"/>
      <c r="U172" s="45">
        <v>0</v>
      </c>
      <c r="V172" s="48"/>
      <c r="W172" s="48"/>
      <c r="X172" s="35"/>
      <c r="Z172" s="35"/>
      <c r="AA172" s="35"/>
      <c r="AB172" s="45">
        <v>680000</v>
      </c>
      <c r="AC172" s="107"/>
      <c r="AD172" s="45">
        <v>176495</v>
      </c>
      <c r="AE172" s="107"/>
      <c r="AF172" s="45">
        <v>44799</v>
      </c>
      <c r="AG172" s="107"/>
      <c r="AH172" s="48">
        <f t="shared" si="6"/>
        <v>13355256</v>
      </c>
      <c r="AI172" s="48"/>
      <c r="AJ172" s="48">
        <v>0</v>
      </c>
      <c r="AK172" s="48"/>
      <c r="AL172" s="45">
        <f>1792768+2569315</f>
        <v>4362083</v>
      </c>
      <c r="AM172" s="45"/>
      <c r="AN172" s="45">
        <v>13966522</v>
      </c>
      <c r="AO172" s="45"/>
      <c r="AP172" s="45">
        <v>0</v>
      </c>
      <c r="AQ172" s="45"/>
      <c r="AR172" s="45">
        <f>+'GVFund Rev'!U172+'GVFund Rev'!W172-'GVFund Exp'!AH172-'GVFund Exp'!AL172+AJ172+AN172+AP172-'GV Fund BS'!S173</f>
        <v>0</v>
      </c>
      <c r="AS172" s="48"/>
    </row>
    <row r="173" spans="1:45" s="44" customFormat="1" ht="12.75" customHeight="1">
      <c r="A173" s="35" t="s">
        <v>201</v>
      </c>
      <c r="C173" s="35" t="s">
        <v>92</v>
      </c>
      <c r="E173" s="45">
        <v>3968319</v>
      </c>
      <c r="F173" s="48"/>
      <c r="G173" s="45">
        <v>7481386</v>
      </c>
      <c r="H173" s="48"/>
      <c r="I173" s="45">
        <v>407805</v>
      </c>
      <c r="J173" s="48"/>
      <c r="K173" s="45">
        <v>659214</v>
      </c>
      <c r="L173" s="48"/>
      <c r="M173" s="45">
        <v>2670857</v>
      </c>
      <c r="N173" s="48"/>
      <c r="O173" s="45">
        <v>776750</v>
      </c>
      <c r="P173" s="48"/>
      <c r="Q173" s="45">
        <v>0</v>
      </c>
      <c r="R173" s="48"/>
      <c r="S173" s="45">
        <v>3521415</v>
      </c>
      <c r="T173" s="48"/>
      <c r="U173" s="45">
        <v>0</v>
      </c>
      <c r="V173" s="48"/>
      <c r="W173" s="48"/>
      <c r="X173" s="35"/>
      <c r="Z173" s="35"/>
      <c r="AA173" s="35"/>
      <c r="AB173" s="45">
        <v>488042</v>
      </c>
      <c r="AC173" s="107"/>
      <c r="AD173" s="45">
        <v>270945</v>
      </c>
      <c r="AE173" s="107"/>
      <c r="AF173" s="45">
        <v>0</v>
      </c>
      <c r="AG173" s="107"/>
      <c r="AH173" s="48">
        <f t="shared" si="6"/>
        <v>20244733</v>
      </c>
      <c r="AI173" s="48"/>
      <c r="AJ173" s="48">
        <v>0</v>
      </c>
      <c r="AK173" s="48"/>
      <c r="AL173" s="45">
        <v>1097503</v>
      </c>
      <c r="AM173" s="45"/>
      <c r="AN173" s="45">
        <v>14104609</v>
      </c>
      <c r="AO173" s="45"/>
      <c r="AP173" s="45">
        <v>-8569</v>
      </c>
      <c r="AQ173" s="45"/>
      <c r="AR173" s="45">
        <f>+'GVFund Rev'!U173+'GVFund Rev'!W173-'GVFund Exp'!AH173-'GVFund Exp'!AL173+AJ173+AN173+AP173-'GV Fund BS'!S174</f>
        <v>0</v>
      </c>
      <c r="AS173" s="48"/>
    </row>
    <row r="174" spans="1:45" s="44" customFormat="1" ht="12.75" customHeight="1">
      <c r="A174" s="35" t="s">
        <v>202</v>
      </c>
      <c r="C174" s="35" t="s">
        <v>27</v>
      </c>
      <c r="E174" s="45">
        <v>19230384</v>
      </c>
      <c r="F174" s="48"/>
      <c r="G174" s="45">
        <v>27433761</v>
      </c>
      <c r="H174" s="48"/>
      <c r="I174" s="45">
        <v>8634847</v>
      </c>
      <c r="J174" s="48"/>
      <c r="K174" s="45">
        <v>316924</v>
      </c>
      <c r="L174" s="48"/>
      <c r="M174" s="45">
        <v>4493859</v>
      </c>
      <c r="N174" s="48"/>
      <c r="O174" s="45">
        <v>2957323</v>
      </c>
      <c r="P174" s="48"/>
      <c r="Q174" s="45">
        <v>1997927</v>
      </c>
      <c r="R174" s="48"/>
      <c r="S174" s="45">
        <v>887394</v>
      </c>
      <c r="T174" s="48"/>
      <c r="U174" s="45">
        <v>0</v>
      </c>
      <c r="V174" s="48"/>
      <c r="W174" s="48"/>
      <c r="X174" s="35"/>
      <c r="Z174" s="35"/>
      <c r="AA174" s="35"/>
      <c r="AB174" s="45">
        <v>3517200</v>
      </c>
      <c r="AC174" s="107"/>
      <c r="AD174" s="45">
        <v>1406510</v>
      </c>
      <c r="AE174" s="107"/>
      <c r="AF174" s="45">
        <v>0</v>
      </c>
      <c r="AG174" s="107"/>
      <c r="AH174" s="48">
        <f t="shared" si="6"/>
        <v>70876129</v>
      </c>
      <c r="AI174" s="48"/>
      <c r="AJ174" s="48">
        <v>0</v>
      </c>
      <c r="AK174" s="48"/>
      <c r="AL174" s="45">
        <v>8717287</v>
      </c>
      <c r="AM174" s="45"/>
      <c r="AN174" s="45">
        <v>12225149</v>
      </c>
      <c r="AO174" s="45"/>
      <c r="AP174" s="45">
        <v>0</v>
      </c>
      <c r="AQ174" s="45"/>
      <c r="AR174" s="45">
        <f>+'GVFund Rev'!U174+'GVFund Rev'!W174-'GVFund Exp'!AH174-'GVFund Exp'!AL174+AJ174+AN174+AP174-'GV Fund BS'!S175</f>
        <v>0</v>
      </c>
      <c r="AS174" s="48"/>
    </row>
    <row r="175" spans="1:45" s="44" customFormat="1" ht="12.75" customHeight="1">
      <c r="A175" s="35" t="s">
        <v>203</v>
      </c>
      <c r="C175" s="35" t="s">
        <v>27</v>
      </c>
      <c r="E175" s="45">
        <v>1938985</v>
      </c>
      <c r="F175" s="48"/>
      <c r="G175" s="45">
        <v>8451079</v>
      </c>
      <c r="H175" s="48"/>
      <c r="I175" s="45">
        <v>2538193</v>
      </c>
      <c r="J175" s="48"/>
      <c r="K175" s="45">
        <v>791517</v>
      </c>
      <c r="L175" s="48"/>
      <c r="M175" s="45">
        <v>952525</v>
      </c>
      <c r="N175" s="48"/>
      <c r="O175" s="45">
        <v>481413</v>
      </c>
      <c r="P175" s="48"/>
      <c r="Q175" s="45">
        <v>223917</v>
      </c>
      <c r="R175" s="48"/>
      <c r="S175" s="45">
        <v>2854906</v>
      </c>
      <c r="T175" s="48"/>
      <c r="U175" s="45">
        <v>0</v>
      </c>
      <c r="V175" s="48"/>
      <c r="W175" s="48"/>
      <c r="X175" s="35"/>
      <c r="Z175" s="35"/>
      <c r="AA175" s="35"/>
      <c r="AB175" s="45">
        <f>3494568+198127</f>
        <v>3692695</v>
      </c>
      <c r="AC175" s="107"/>
      <c r="AD175" s="45">
        <v>379999</v>
      </c>
      <c r="AE175" s="107"/>
      <c r="AF175" s="45">
        <v>0</v>
      </c>
      <c r="AG175" s="107"/>
      <c r="AH175" s="48">
        <f t="shared" si="6"/>
        <v>22305229</v>
      </c>
      <c r="AI175" s="48"/>
      <c r="AJ175" s="48">
        <v>0</v>
      </c>
      <c r="AK175" s="48"/>
      <c r="AL175" s="45">
        <v>208850</v>
      </c>
      <c r="AM175" s="45"/>
      <c r="AN175" s="45">
        <v>864831</v>
      </c>
      <c r="AO175" s="45"/>
      <c r="AP175" s="45">
        <v>0</v>
      </c>
      <c r="AQ175" s="45"/>
      <c r="AR175" s="45">
        <f>+'GVFund Rev'!U175+'GVFund Rev'!W175-'GVFund Exp'!AH175-'GVFund Exp'!AL175+AJ175+AN175+AP175-'GV Fund BS'!S176</f>
        <v>0</v>
      </c>
      <c r="AS175" s="48"/>
    </row>
    <row r="176" spans="1:45" s="44" customFormat="1" ht="12.75" customHeight="1">
      <c r="A176" s="35" t="s">
        <v>204</v>
      </c>
      <c r="C176" s="35" t="s">
        <v>125</v>
      </c>
      <c r="E176" s="45">
        <v>817413</v>
      </c>
      <c r="F176" s="48"/>
      <c r="G176" s="45">
        <v>1380665</v>
      </c>
      <c r="H176" s="48"/>
      <c r="I176" s="45">
        <f>229192+9800</f>
        <v>238992</v>
      </c>
      <c r="J176" s="48"/>
      <c r="K176" s="45">
        <v>57500</v>
      </c>
      <c r="L176" s="48"/>
      <c r="M176" s="45">
        <v>821874</v>
      </c>
      <c r="N176" s="48"/>
      <c r="O176" s="45">
        <v>14340</v>
      </c>
      <c r="P176" s="48"/>
      <c r="Q176" s="45">
        <v>0</v>
      </c>
      <c r="R176" s="48"/>
      <c r="S176" s="45">
        <v>270420</v>
      </c>
      <c r="T176" s="48"/>
      <c r="U176" s="45">
        <v>0</v>
      </c>
      <c r="V176" s="48"/>
      <c r="W176" s="48"/>
      <c r="X176" s="35"/>
      <c r="Z176" s="35"/>
      <c r="AA176" s="35"/>
      <c r="AB176" s="45">
        <v>258810</v>
      </c>
      <c r="AC176" s="107"/>
      <c r="AD176" s="45">
        <v>77179</v>
      </c>
      <c r="AE176" s="107"/>
      <c r="AF176" s="45">
        <v>0</v>
      </c>
      <c r="AG176" s="107"/>
      <c r="AH176" s="48">
        <f t="shared" si="6"/>
        <v>3937193</v>
      </c>
      <c r="AI176" s="48"/>
      <c r="AJ176" s="48">
        <v>0</v>
      </c>
      <c r="AK176" s="48"/>
      <c r="AL176" s="45">
        <v>65657</v>
      </c>
      <c r="AM176" s="45"/>
      <c r="AN176" s="45">
        <v>1169485</v>
      </c>
      <c r="AO176" s="45"/>
      <c r="AP176" s="45">
        <v>0</v>
      </c>
      <c r="AQ176" s="45"/>
      <c r="AR176" s="45">
        <f>+'GVFund Rev'!U176+'GVFund Rev'!W176-'GVFund Exp'!AH176-'GVFund Exp'!AL176+AJ176+AN176+AP176-'GV Fund BS'!S177</f>
        <v>0</v>
      </c>
      <c r="AS176" s="48"/>
    </row>
    <row r="177" spans="1:45" s="44" customFormat="1" ht="12.75" customHeight="1">
      <c r="A177" s="35" t="s">
        <v>205</v>
      </c>
      <c r="C177" s="35" t="s">
        <v>27</v>
      </c>
      <c r="E177" s="45">
        <v>2150523</v>
      </c>
      <c r="F177" s="48"/>
      <c r="G177" s="45">
        <f>4254537+2030867</f>
        <v>6285404</v>
      </c>
      <c r="H177" s="48"/>
      <c r="I177" s="45">
        <v>302368</v>
      </c>
      <c r="J177" s="48"/>
      <c r="K177" s="45">
        <v>32048</v>
      </c>
      <c r="L177" s="48"/>
      <c r="M177" s="45">
        <v>2077072</v>
      </c>
      <c r="N177" s="48"/>
      <c r="O177" s="45">
        <v>0</v>
      </c>
      <c r="P177" s="48"/>
      <c r="Q177" s="45">
        <v>1823922</v>
      </c>
      <c r="R177" s="48"/>
      <c r="S177" s="45">
        <v>1124257</v>
      </c>
      <c r="T177" s="48"/>
      <c r="U177" s="45">
        <v>0</v>
      </c>
      <c r="V177" s="48"/>
      <c r="W177" s="48"/>
      <c r="X177" s="35"/>
      <c r="Z177" s="35"/>
      <c r="AA177" s="35"/>
      <c r="AB177" s="45">
        <v>568407</v>
      </c>
      <c r="AC177" s="107"/>
      <c r="AD177" s="45">
        <v>323350</v>
      </c>
      <c r="AE177" s="107"/>
      <c r="AF177" s="45">
        <v>0</v>
      </c>
      <c r="AG177" s="107"/>
      <c r="AH177" s="48">
        <f t="shared" si="6"/>
        <v>14687351</v>
      </c>
      <c r="AI177" s="48"/>
      <c r="AJ177" s="48">
        <v>0</v>
      </c>
      <c r="AK177" s="48"/>
      <c r="AL177" s="45">
        <v>1089191</v>
      </c>
      <c r="AM177" s="45"/>
      <c r="AN177" s="45">
        <v>2154506</v>
      </c>
      <c r="AO177" s="45"/>
      <c r="AP177" s="45">
        <v>0</v>
      </c>
      <c r="AQ177" s="45"/>
      <c r="AR177" s="45">
        <f>+'GVFund Rev'!U178+'GVFund Rev'!W178-'GVFund Exp'!AH177-'GVFund Exp'!AL177+AJ177+AN177+AP177-'GV Fund BS'!S178</f>
        <v>0</v>
      </c>
      <c r="AS177" s="48"/>
    </row>
    <row r="178" spans="1:45" s="44" customFormat="1" ht="12.75" customHeight="1">
      <c r="A178" s="35" t="s">
        <v>206</v>
      </c>
      <c r="C178" s="35" t="s">
        <v>47</v>
      </c>
      <c r="E178" s="45">
        <v>4373483</v>
      </c>
      <c r="F178" s="48"/>
      <c r="G178" s="45">
        <v>7153698</v>
      </c>
      <c r="H178" s="48"/>
      <c r="I178" s="45">
        <v>977676</v>
      </c>
      <c r="J178" s="48"/>
      <c r="K178" s="45">
        <v>37115</v>
      </c>
      <c r="L178" s="48"/>
      <c r="M178" s="45">
        <v>2181858</v>
      </c>
      <c r="N178" s="48"/>
      <c r="O178" s="45">
        <v>1128720</v>
      </c>
      <c r="P178" s="48"/>
      <c r="Q178" s="45">
        <v>1054573</v>
      </c>
      <c r="R178" s="48"/>
      <c r="S178" s="45">
        <v>6848697</v>
      </c>
      <c r="T178" s="48"/>
      <c r="U178" s="45">
        <v>0</v>
      </c>
      <c r="V178" s="48"/>
      <c r="W178" s="48"/>
      <c r="X178" s="35"/>
      <c r="Z178" s="35"/>
      <c r="AA178" s="35"/>
      <c r="AB178" s="45">
        <v>0</v>
      </c>
      <c r="AC178" s="107"/>
      <c r="AD178" s="45">
        <v>244595</v>
      </c>
      <c r="AE178" s="107"/>
      <c r="AF178" s="45">
        <v>0</v>
      </c>
      <c r="AG178" s="107"/>
      <c r="AH178" s="48">
        <f t="shared" si="6"/>
        <v>24000415</v>
      </c>
      <c r="AI178" s="48"/>
      <c r="AJ178" s="48">
        <v>0</v>
      </c>
      <c r="AK178" s="48"/>
      <c r="AL178" s="45">
        <v>4493435</v>
      </c>
      <c r="AM178" s="45"/>
      <c r="AN178" s="45">
        <v>4384496</v>
      </c>
      <c r="AO178" s="45"/>
      <c r="AP178" s="45">
        <v>55197</v>
      </c>
      <c r="AQ178" s="45"/>
      <c r="AR178" s="45">
        <f>+'GVFund Rev'!U179+'GVFund Rev'!W179-'GVFund Exp'!AH178-'GVFund Exp'!AL178+AJ178+AN178+AP178-'GV Fund BS'!S179</f>
        <v>0</v>
      </c>
      <c r="AS178" s="48"/>
    </row>
    <row r="179" spans="1:45" s="44" customFormat="1" ht="12.75" customHeight="1">
      <c r="A179" s="35" t="s">
        <v>207</v>
      </c>
      <c r="C179" s="35" t="s">
        <v>102</v>
      </c>
      <c r="E179" s="45">
        <v>2388797</v>
      </c>
      <c r="F179" s="48"/>
      <c r="G179" s="45">
        <v>4100220</v>
      </c>
      <c r="H179" s="48"/>
      <c r="I179" s="45">
        <v>585665</v>
      </c>
      <c r="J179" s="48"/>
      <c r="K179" s="45">
        <v>103446</v>
      </c>
      <c r="L179" s="48"/>
      <c r="M179" s="45">
        <v>732827</v>
      </c>
      <c r="N179" s="48"/>
      <c r="O179" s="45">
        <v>605402</v>
      </c>
      <c r="P179" s="48"/>
      <c r="Q179" s="45">
        <v>0</v>
      </c>
      <c r="R179" s="48"/>
      <c r="S179" s="45">
        <v>5801436</v>
      </c>
      <c r="T179" s="48"/>
      <c r="U179" s="45">
        <v>0</v>
      </c>
      <c r="V179" s="48"/>
      <c r="W179" s="48"/>
      <c r="X179" s="35"/>
      <c r="Z179" s="35"/>
      <c r="AA179" s="35"/>
      <c r="AB179" s="45">
        <f>695000+792868</f>
        <v>1487868</v>
      </c>
      <c r="AC179" s="107"/>
      <c r="AD179" s="45">
        <v>565608</v>
      </c>
      <c r="AE179" s="107"/>
      <c r="AF179" s="45">
        <v>0</v>
      </c>
      <c r="AG179" s="107"/>
      <c r="AH179" s="48">
        <f t="shared" si="6"/>
        <v>16371269</v>
      </c>
      <c r="AI179" s="48"/>
      <c r="AJ179" s="48">
        <v>0</v>
      </c>
      <c r="AK179" s="48"/>
      <c r="AL179" s="45">
        <f>2780000+4595165</f>
        <v>7375165</v>
      </c>
      <c r="AM179" s="45"/>
      <c r="AN179" s="45">
        <v>1984267</v>
      </c>
      <c r="AO179" s="45"/>
      <c r="AP179" s="45">
        <v>0</v>
      </c>
      <c r="AQ179" s="45"/>
      <c r="AR179" s="45">
        <f>+'GVFund Rev'!U180+'GVFund Rev'!W180-'GVFund Exp'!AH179-'GVFund Exp'!AL179+AJ179+AN179+AP179-'GV Fund BS'!S180</f>
        <v>0</v>
      </c>
      <c r="AS179" s="48"/>
    </row>
    <row r="180" spans="1:45" s="44" customFormat="1" ht="12.75" customHeight="1">
      <c r="A180" s="64"/>
      <c r="B180" s="46"/>
      <c r="C180" s="64"/>
      <c r="D180" s="46"/>
      <c r="E180" s="45"/>
      <c r="F180" s="48"/>
      <c r="G180" s="45"/>
      <c r="H180" s="48"/>
      <c r="I180" s="45"/>
      <c r="J180" s="48"/>
      <c r="K180" s="45"/>
      <c r="L180" s="48"/>
      <c r="M180" s="45"/>
      <c r="N180" s="48"/>
      <c r="O180" s="45"/>
      <c r="P180" s="48"/>
      <c r="Q180" s="45"/>
      <c r="R180" s="48"/>
      <c r="S180" s="45"/>
      <c r="T180" s="48"/>
      <c r="U180" s="45"/>
      <c r="V180" s="48"/>
      <c r="W180" s="48"/>
      <c r="X180" s="35"/>
      <c r="Z180" s="35"/>
      <c r="AA180" s="35"/>
      <c r="AB180" s="45"/>
      <c r="AC180" s="65"/>
      <c r="AD180" s="45"/>
      <c r="AE180" s="65"/>
      <c r="AF180" s="45"/>
      <c r="AG180" s="65"/>
      <c r="AH180" s="48"/>
      <c r="AI180" s="48"/>
      <c r="AJ180" s="48"/>
      <c r="AK180" s="48"/>
      <c r="AL180" s="48" t="s">
        <v>484</v>
      </c>
      <c r="AM180" s="45"/>
      <c r="AN180" s="45"/>
      <c r="AO180" s="45"/>
      <c r="AP180" s="45"/>
      <c r="AQ180" s="45"/>
      <c r="AR180" s="45"/>
      <c r="AS180" s="48"/>
    </row>
    <row r="181" spans="1:45" s="44" customFormat="1" ht="12.75" customHeight="1">
      <c r="A181" s="35" t="s">
        <v>208</v>
      </c>
      <c r="C181" s="35" t="s">
        <v>209</v>
      </c>
      <c r="E181" s="94">
        <v>1287163</v>
      </c>
      <c r="F181" s="68"/>
      <c r="G181" s="94">
        <v>7506391</v>
      </c>
      <c r="H181" s="68"/>
      <c r="I181" s="94">
        <v>321094</v>
      </c>
      <c r="J181" s="68"/>
      <c r="K181" s="94">
        <v>435469</v>
      </c>
      <c r="L181" s="68"/>
      <c r="M181" s="94">
        <v>2639292</v>
      </c>
      <c r="N181" s="68"/>
      <c r="O181" s="94">
        <v>609908</v>
      </c>
      <c r="P181" s="68"/>
      <c r="Q181" s="94">
        <v>0</v>
      </c>
      <c r="R181" s="68"/>
      <c r="S181" s="94">
        <v>2123232</v>
      </c>
      <c r="T181" s="68"/>
      <c r="U181" s="94">
        <v>0</v>
      </c>
      <c r="V181" s="68"/>
      <c r="W181" s="68"/>
      <c r="X181" s="64"/>
      <c r="Y181" s="46"/>
      <c r="Z181" s="64"/>
      <c r="AA181" s="64"/>
      <c r="AB181" s="94">
        <v>802604</v>
      </c>
      <c r="AC181" s="156"/>
      <c r="AD181" s="94">
        <v>273818</v>
      </c>
      <c r="AE181" s="156"/>
      <c r="AF181" s="94">
        <v>55521</v>
      </c>
      <c r="AG181" s="156"/>
      <c r="AH181" s="68">
        <f t="shared" si="6"/>
        <v>16054492</v>
      </c>
      <c r="AI181" s="68"/>
      <c r="AJ181" s="68">
        <v>0</v>
      </c>
      <c r="AK181" s="68"/>
      <c r="AL181" s="94">
        <v>1325518</v>
      </c>
      <c r="AM181" s="45"/>
      <c r="AN181" s="45">
        <v>22876441</v>
      </c>
      <c r="AO181" s="45"/>
      <c r="AP181" s="45">
        <v>0</v>
      </c>
      <c r="AQ181" s="45"/>
      <c r="AR181" s="45">
        <f>+'GVFund Rev'!U181+'GVFund Rev'!W181-'GVFund Exp'!AH181-'GVFund Exp'!AL181+AJ181+AN181+AP181-'GV Fund BS'!S181</f>
        <v>0</v>
      </c>
      <c r="AS181" s="48"/>
    </row>
    <row r="182" spans="1:45" s="44" customFormat="1" ht="12.75" customHeight="1">
      <c r="A182" s="44" t="s">
        <v>210</v>
      </c>
      <c r="C182" s="44" t="s">
        <v>211</v>
      </c>
      <c r="E182" s="45">
        <v>1493250</v>
      </c>
      <c r="F182" s="48"/>
      <c r="G182" s="45">
        <f>1749153+383118</f>
        <v>2132271</v>
      </c>
      <c r="H182" s="48"/>
      <c r="I182" s="45">
        <v>171400</v>
      </c>
      <c r="J182" s="48"/>
      <c r="K182" s="45">
        <v>133194</v>
      </c>
      <c r="L182" s="48"/>
      <c r="M182" s="45">
        <v>1105590</v>
      </c>
      <c r="N182" s="48"/>
      <c r="O182" s="45">
        <v>110406</v>
      </c>
      <c r="P182" s="48"/>
      <c r="Q182" s="45">
        <v>0</v>
      </c>
      <c r="R182" s="48"/>
      <c r="S182" s="45">
        <v>466028</v>
      </c>
      <c r="T182" s="48"/>
      <c r="U182" s="45">
        <v>0</v>
      </c>
      <c r="V182" s="48"/>
      <c r="W182" s="48"/>
      <c r="X182" s="35"/>
      <c r="Z182" s="35"/>
      <c r="AA182" s="35"/>
      <c r="AB182" s="45">
        <v>110809</v>
      </c>
      <c r="AC182" s="107"/>
      <c r="AD182" s="45">
        <v>32948</v>
      </c>
      <c r="AE182" s="107"/>
      <c r="AF182" s="45">
        <v>0</v>
      </c>
      <c r="AG182" s="107"/>
      <c r="AH182" s="48">
        <f t="shared" si="6"/>
        <v>5755896</v>
      </c>
      <c r="AI182" s="48"/>
      <c r="AJ182" s="48">
        <v>0</v>
      </c>
      <c r="AK182" s="48"/>
      <c r="AL182" s="45">
        <v>642418</v>
      </c>
      <c r="AM182" s="45"/>
      <c r="AN182" s="45">
        <v>2916151</v>
      </c>
      <c r="AO182" s="45"/>
      <c r="AP182" s="45">
        <v>0</v>
      </c>
      <c r="AQ182" s="45"/>
      <c r="AR182" s="45">
        <f>+'GVFund Rev'!U182+'GVFund Rev'!W182-'GVFund Exp'!AH182-'GVFund Exp'!AL182+AJ182+AN182+AP182-'GV Fund BS'!S182</f>
        <v>0</v>
      </c>
      <c r="AS182" s="48"/>
    </row>
    <row r="183" spans="1:45" s="44" customFormat="1" ht="12.75" customHeight="1">
      <c r="A183" s="44" t="s">
        <v>212</v>
      </c>
      <c r="C183" s="44" t="s">
        <v>213</v>
      </c>
      <c r="E183" s="45">
        <v>3215256</v>
      </c>
      <c r="F183" s="48"/>
      <c r="G183" s="45">
        <v>7696770</v>
      </c>
      <c r="H183" s="48"/>
      <c r="I183" s="45">
        <v>682718</v>
      </c>
      <c r="J183" s="48"/>
      <c r="K183" s="45">
        <v>2966839</v>
      </c>
      <c r="L183" s="48"/>
      <c r="M183" s="45">
        <v>1402940</v>
      </c>
      <c r="N183" s="48"/>
      <c r="O183" s="45">
        <v>52655</v>
      </c>
      <c r="P183" s="48"/>
      <c r="Q183" s="45">
        <v>0</v>
      </c>
      <c r="R183" s="48"/>
      <c r="S183" s="45">
        <v>1933349</v>
      </c>
      <c r="T183" s="48"/>
      <c r="U183" s="45">
        <v>0</v>
      </c>
      <c r="V183" s="48"/>
      <c r="W183" s="48"/>
      <c r="X183" s="35"/>
      <c r="Z183" s="35"/>
      <c r="AA183" s="35"/>
      <c r="AB183" s="45">
        <v>248519</v>
      </c>
      <c r="AC183" s="107"/>
      <c r="AD183" s="45">
        <v>159771</v>
      </c>
      <c r="AE183" s="107"/>
      <c r="AF183" s="45">
        <v>0</v>
      </c>
      <c r="AG183" s="107"/>
      <c r="AH183" s="48">
        <f t="shared" si="6"/>
        <v>18358817</v>
      </c>
      <c r="AI183" s="48"/>
      <c r="AJ183" s="48">
        <v>0</v>
      </c>
      <c r="AK183" s="48"/>
      <c r="AL183" s="45">
        <v>788362</v>
      </c>
      <c r="AM183" s="45"/>
      <c r="AN183" s="45">
        <v>4613679</v>
      </c>
      <c r="AO183" s="45"/>
      <c r="AP183" s="45">
        <v>17776</v>
      </c>
      <c r="AQ183" s="45"/>
      <c r="AR183" s="45">
        <f>+'GVFund Rev'!U183+'GVFund Rev'!W183-'GVFund Exp'!AH183-'GVFund Exp'!AL183+AJ183+AN183+AP183-'GV Fund BS'!S183</f>
        <v>0</v>
      </c>
      <c r="AS183" s="48"/>
    </row>
    <row r="184" spans="1:45" s="44" customFormat="1" ht="12.75" customHeight="1">
      <c r="A184" s="44" t="s">
        <v>214</v>
      </c>
      <c r="C184" s="44" t="s">
        <v>86</v>
      </c>
      <c r="E184" s="45">
        <v>1575066</v>
      </c>
      <c r="F184" s="48"/>
      <c r="G184" s="45">
        <v>2089772</v>
      </c>
      <c r="H184" s="48"/>
      <c r="I184" s="45">
        <v>982243</v>
      </c>
      <c r="J184" s="48"/>
      <c r="K184" s="45">
        <v>0</v>
      </c>
      <c r="L184" s="48"/>
      <c r="M184" s="45">
        <v>0</v>
      </c>
      <c r="N184" s="48"/>
      <c r="O184" s="45">
        <v>570742</v>
      </c>
      <c r="P184" s="48"/>
      <c r="Q184" s="45">
        <v>1187860</v>
      </c>
      <c r="R184" s="48"/>
      <c r="S184" s="45">
        <v>55032</v>
      </c>
      <c r="T184" s="48"/>
      <c r="U184" s="45">
        <v>0</v>
      </c>
      <c r="V184" s="48"/>
      <c r="W184" s="48"/>
      <c r="X184" s="35"/>
      <c r="Z184" s="35"/>
      <c r="AA184" s="35"/>
      <c r="AB184" s="45">
        <v>1440000</v>
      </c>
      <c r="AC184" s="107"/>
      <c r="AD184" s="45">
        <v>1184753</v>
      </c>
      <c r="AE184" s="107"/>
      <c r="AF184" s="45">
        <v>0</v>
      </c>
      <c r="AG184" s="107"/>
      <c r="AH184" s="48">
        <f t="shared" si="6"/>
        <v>9085468</v>
      </c>
      <c r="AI184" s="48"/>
      <c r="AJ184" s="48">
        <v>0</v>
      </c>
      <c r="AK184" s="48"/>
      <c r="AL184" s="45">
        <v>373100</v>
      </c>
      <c r="AM184" s="45"/>
      <c r="AN184" s="45">
        <v>8496399</v>
      </c>
      <c r="AO184" s="45"/>
      <c r="AP184" s="45">
        <v>0</v>
      </c>
      <c r="AQ184" s="45"/>
      <c r="AR184" s="45">
        <f>+'GVFund Rev'!U184+'GVFund Rev'!W184-'GVFund Exp'!AH184-'GVFund Exp'!AL184+AJ184+AN184+AP184-'GV Fund BS'!S184</f>
        <v>0</v>
      </c>
      <c r="AS184" s="48"/>
    </row>
    <row r="185" spans="1:45" s="44" customFormat="1" ht="12.75" customHeight="1">
      <c r="A185" s="35" t="s">
        <v>215</v>
      </c>
      <c r="C185" s="35" t="s">
        <v>22</v>
      </c>
      <c r="E185" s="45">
        <v>1703357</v>
      </c>
      <c r="F185" s="48"/>
      <c r="G185" s="45">
        <f>3339088+2128687</f>
        <v>5467775</v>
      </c>
      <c r="H185" s="48"/>
      <c r="I185" s="45">
        <f>668303+158350</f>
        <v>826653</v>
      </c>
      <c r="J185" s="48"/>
      <c r="K185" s="45">
        <v>313825</v>
      </c>
      <c r="L185" s="48"/>
      <c r="M185" s="45">
        <v>1180873</v>
      </c>
      <c r="N185" s="48"/>
      <c r="O185" s="45">
        <v>824167</v>
      </c>
      <c r="P185" s="48"/>
      <c r="Q185" s="45">
        <v>72200</v>
      </c>
      <c r="R185" s="48"/>
      <c r="S185" s="45">
        <v>795333</v>
      </c>
      <c r="T185" s="48"/>
      <c r="U185" s="45">
        <v>0</v>
      </c>
      <c r="V185" s="48"/>
      <c r="W185" s="48"/>
      <c r="X185" s="35"/>
      <c r="Z185" s="35"/>
      <c r="AA185" s="35"/>
      <c r="AB185" s="45">
        <v>361713</v>
      </c>
      <c r="AC185" s="107"/>
      <c r="AD185" s="45">
        <v>325332</v>
      </c>
      <c r="AE185" s="107"/>
      <c r="AF185" s="45">
        <v>0</v>
      </c>
      <c r="AG185" s="107"/>
      <c r="AH185" s="48">
        <f t="shared" si="6"/>
        <v>11871228</v>
      </c>
      <c r="AI185" s="48"/>
      <c r="AJ185" s="48">
        <v>0</v>
      </c>
      <c r="AK185" s="48"/>
      <c r="AL185" s="45">
        <v>1007762</v>
      </c>
      <c r="AM185" s="45"/>
      <c r="AN185" s="45">
        <v>14107512</v>
      </c>
      <c r="AO185" s="45"/>
      <c r="AP185" s="45">
        <v>0</v>
      </c>
      <c r="AQ185" s="45"/>
      <c r="AR185" s="45">
        <f>+'GVFund Rev'!U185+'GVFund Rev'!W185-'GVFund Exp'!AH185-'GVFund Exp'!AL185+AJ185+AN185+AP185-'GV Fund BS'!S185</f>
        <v>0</v>
      </c>
      <c r="AS185" s="48"/>
    </row>
    <row r="186" spans="1:45" s="44" customFormat="1" ht="12.75" customHeight="1">
      <c r="A186" s="35" t="s">
        <v>216</v>
      </c>
      <c r="C186" s="35" t="s">
        <v>45</v>
      </c>
      <c r="E186" s="45">
        <v>1953010</v>
      </c>
      <c r="F186" s="48"/>
      <c r="G186" s="45">
        <v>5463357</v>
      </c>
      <c r="H186" s="48"/>
      <c r="I186" s="45">
        <v>172574</v>
      </c>
      <c r="J186" s="48"/>
      <c r="K186" s="45">
        <v>10552</v>
      </c>
      <c r="L186" s="48"/>
      <c r="M186" s="45">
        <v>1902626</v>
      </c>
      <c r="N186" s="48"/>
      <c r="O186" s="45">
        <v>469888</v>
      </c>
      <c r="P186" s="48"/>
      <c r="Q186" s="45">
        <v>873428</v>
      </c>
      <c r="R186" s="48"/>
      <c r="S186" s="45">
        <v>264044</v>
      </c>
      <c r="T186" s="48"/>
      <c r="U186" s="45">
        <v>0</v>
      </c>
      <c r="V186" s="48"/>
      <c r="W186" s="48"/>
      <c r="X186" s="35"/>
      <c r="Z186" s="35"/>
      <c r="AA186" s="35"/>
      <c r="AB186" s="45">
        <v>175160</v>
      </c>
      <c r="AC186" s="107"/>
      <c r="AD186" s="45">
        <v>88236</v>
      </c>
      <c r="AE186" s="107"/>
      <c r="AF186" s="45">
        <v>0</v>
      </c>
      <c r="AG186" s="107"/>
      <c r="AH186" s="48">
        <f t="shared" si="6"/>
        <v>11372875</v>
      </c>
      <c r="AI186" s="48"/>
      <c r="AJ186" s="48">
        <v>0</v>
      </c>
      <c r="AK186" s="48"/>
      <c r="AL186" s="45">
        <v>648944</v>
      </c>
      <c r="AM186" s="45"/>
      <c r="AN186" s="45">
        <v>3477241</v>
      </c>
      <c r="AO186" s="45"/>
      <c r="AP186" s="45">
        <v>0</v>
      </c>
      <c r="AQ186" s="45"/>
      <c r="AR186" s="45">
        <f>+'GVFund Rev'!U186+'GVFund Rev'!W186-'GVFund Exp'!AH186-'GVFund Exp'!AL186+AJ186+AN186+AP186-'GV Fund BS'!S186</f>
        <v>0</v>
      </c>
      <c r="AS186" s="48"/>
    </row>
    <row r="187" spans="1:45" s="44" customFormat="1" ht="12.75" customHeight="1">
      <c r="A187" s="35" t="s">
        <v>217</v>
      </c>
      <c r="C187" s="35" t="s">
        <v>43</v>
      </c>
      <c r="E187" s="45">
        <v>4118690</v>
      </c>
      <c r="F187" s="48"/>
      <c r="G187" s="45">
        <v>7550268</v>
      </c>
      <c r="H187" s="48"/>
      <c r="I187" s="45">
        <v>1398091</v>
      </c>
      <c r="J187" s="48"/>
      <c r="K187" s="45">
        <v>202756</v>
      </c>
      <c r="L187" s="48"/>
      <c r="M187" s="45">
        <v>1424750</v>
      </c>
      <c r="N187" s="48"/>
      <c r="O187" s="45">
        <v>924048</v>
      </c>
      <c r="P187" s="48"/>
      <c r="Q187" s="45">
        <v>0</v>
      </c>
      <c r="R187" s="48"/>
      <c r="S187" s="45">
        <v>2073902</v>
      </c>
      <c r="T187" s="48"/>
      <c r="U187" s="45">
        <v>0</v>
      </c>
      <c r="V187" s="48"/>
      <c r="W187" s="48"/>
      <c r="X187" s="35"/>
      <c r="Z187" s="35"/>
      <c r="AA187" s="35"/>
      <c r="AB187" s="45">
        <v>1434906</v>
      </c>
      <c r="AC187" s="107"/>
      <c r="AD187" s="45">
        <v>1030649</v>
      </c>
      <c r="AE187" s="107"/>
      <c r="AF187" s="45">
        <v>0</v>
      </c>
      <c r="AG187" s="107"/>
      <c r="AH187" s="48">
        <f t="shared" si="6"/>
        <v>20158060</v>
      </c>
      <c r="AI187" s="48"/>
      <c r="AJ187" s="48">
        <v>0</v>
      </c>
      <c r="AK187" s="48"/>
      <c r="AL187" s="45">
        <v>822737</v>
      </c>
      <c r="AM187" s="45"/>
      <c r="AN187" s="45">
        <v>17752728</v>
      </c>
      <c r="AO187" s="45"/>
      <c r="AP187" s="45">
        <v>-39652</v>
      </c>
      <c r="AQ187" s="45"/>
      <c r="AR187" s="45">
        <f>+'GVFund Rev'!U187+'GVFund Rev'!W187-'GVFund Exp'!AH187-'GVFund Exp'!AL187+AJ187+AN187+AP187-'GV Fund BS'!S187</f>
        <v>0</v>
      </c>
      <c r="AS187" s="48"/>
    </row>
    <row r="188" spans="1:45" s="44" customFormat="1" ht="12.75" hidden="1" customHeight="1">
      <c r="A188" s="35" t="s">
        <v>218</v>
      </c>
      <c r="C188" s="35" t="s">
        <v>27</v>
      </c>
      <c r="E188" s="45">
        <v>0</v>
      </c>
      <c r="F188" s="48"/>
      <c r="G188" s="45">
        <v>0</v>
      </c>
      <c r="H188" s="48"/>
      <c r="I188" s="45">
        <v>0</v>
      </c>
      <c r="J188" s="48"/>
      <c r="K188" s="45">
        <v>0</v>
      </c>
      <c r="L188" s="48"/>
      <c r="M188" s="45">
        <v>0</v>
      </c>
      <c r="N188" s="48"/>
      <c r="O188" s="45">
        <v>0</v>
      </c>
      <c r="P188" s="48"/>
      <c r="Q188" s="45">
        <v>0</v>
      </c>
      <c r="R188" s="48"/>
      <c r="S188" s="45">
        <v>0</v>
      </c>
      <c r="T188" s="48"/>
      <c r="U188" s="45">
        <v>0</v>
      </c>
      <c r="V188" s="48"/>
      <c r="W188" s="48"/>
      <c r="X188" s="35"/>
      <c r="Z188" s="35"/>
      <c r="AA188" s="35"/>
      <c r="AB188" s="45">
        <v>0</v>
      </c>
      <c r="AC188" s="107"/>
      <c r="AD188" s="45">
        <v>0</v>
      </c>
      <c r="AE188" s="107"/>
      <c r="AF188" s="45">
        <v>0</v>
      </c>
      <c r="AG188" s="107"/>
      <c r="AH188" s="48">
        <f t="shared" si="6"/>
        <v>0</v>
      </c>
      <c r="AI188" s="48"/>
      <c r="AJ188" s="48">
        <v>0</v>
      </c>
      <c r="AK188" s="48"/>
      <c r="AL188" s="45">
        <v>0</v>
      </c>
      <c r="AM188" s="45"/>
      <c r="AN188" s="45">
        <v>0</v>
      </c>
      <c r="AO188" s="45"/>
      <c r="AP188" s="45">
        <v>0</v>
      </c>
      <c r="AQ188" s="45"/>
      <c r="AR188" s="45">
        <f>+'GVFund Rev'!U188+'GVFund Rev'!W188-'GVFund Exp'!AH188-'GVFund Exp'!AL188+AJ188+AN188+AP188-'GV Fund BS'!S188</f>
        <v>0</v>
      </c>
      <c r="AS188" s="48"/>
    </row>
    <row r="189" spans="1:45" s="44" customFormat="1" ht="12.75" customHeight="1">
      <c r="A189" s="35" t="s">
        <v>219</v>
      </c>
      <c r="C189" s="35" t="s">
        <v>199</v>
      </c>
      <c r="E189" s="45">
        <v>785901</v>
      </c>
      <c r="F189" s="48"/>
      <c r="G189" s="45">
        <v>1586936</v>
      </c>
      <c r="H189" s="48"/>
      <c r="I189" s="45">
        <v>0</v>
      </c>
      <c r="J189" s="48"/>
      <c r="K189" s="45">
        <v>109121</v>
      </c>
      <c r="L189" s="48"/>
      <c r="M189" s="45">
        <v>788185</v>
      </c>
      <c r="N189" s="48"/>
      <c r="O189" s="45">
        <v>501030</v>
      </c>
      <c r="P189" s="48"/>
      <c r="Q189" s="45">
        <v>384581</v>
      </c>
      <c r="R189" s="48"/>
      <c r="S189" s="45">
        <v>23615</v>
      </c>
      <c r="T189" s="48"/>
      <c r="U189" s="45">
        <v>0</v>
      </c>
      <c r="V189" s="48"/>
      <c r="W189" s="48"/>
      <c r="X189" s="35"/>
      <c r="Z189" s="35"/>
      <c r="AA189" s="35"/>
      <c r="AB189" s="45">
        <v>97559</v>
      </c>
      <c r="AC189" s="107"/>
      <c r="AD189" s="45">
        <v>47464</v>
      </c>
      <c r="AE189" s="107"/>
      <c r="AF189" s="45">
        <v>0</v>
      </c>
      <c r="AG189" s="107"/>
      <c r="AH189" s="48">
        <f t="shared" si="6"/>
        <v>4324392</v>
      </c>
      <c r="AI189" s="48"/>
      <c r="AJ189" s="48">
        <v>0</v>
      </c>
      <c r="AK189" s="48"/>
      <c r="AL189" s="45">
        <v>272070</v>
      </c>
      <c r="AM189" s="45"/>
      <c r="AN189" s="45">
        <v>1638378</v>
      </c>
      <c r="AO189" s="45"/>
      <c r="AP189" s="45">
        <v>0</v>
      </c>
      <c r="AQ189" s="45"/>
      <c r="AR189" s="45">
        <f>+'GVFund Rev'!U189+'GVFund Rev'!W189-'GVFund Exp'!AH189-'GVFund Exp'!AL189+AJ189+AN189+AP189-'GV Fund BS'!S189</f>
        <v>0</v>
      </c>
      <c r="AS189" s="48"/>
    </row>
    <row r="190" spans="1:45" s="44" customFormat="1" ht="12.75" customHeight="1">
      <c r="A190" s="35" t="s">
        <v>220</v>
      </c>
      <c r="C190" s="35" t="s">
        <v>66</v>
      </c>
      <c r="E190" s="45">
        <v>2232881</v>
      </c>
      <c r="F190" s="48"/>
      <c r="G190" s="45">
        <v>5927531</v>
      </c>
      <c r="H190" s="48"/>
      <c r="I190" s="45">
        <v>313835</v>
      </c>
      <c r="J190" s="48"/>
      <c r="K190" s="45">
        <v>7168</v>
      </c>
      <c r="L190" s="48"/>
      <c r="M190" s="45">
        <v>1364455</v>
      </c>
      <c r="N190" s="48"/>
      <c r="O190" s="45">
        <v>50258</v>
      </c>
      <c r="P190" s="48"/>
      <c r="Q190" s="45">
        <v>0</v>
      </c>
      <c r="R190" s="48"/>
      <c r="S190" s="45">
        <v>699298</v>
      </c>
      <c r="T190" s="48"/>
      <c r="U190" s="45">
        <v>0</v>
      </c>
      <c r="V190" s="48"/>
      <c r="W190" s="48"/>
      <c r="X190" s="35"/>
      <c r="Z190" s="35"/>
      <c r="AA190" s="35"/>
      <c r="AB190" s="45">
        <v>242377</v>
      </c>
      <c r="AC190" s="107"/>
      <c r="AD190" s="45">
        <v>120179</v>
      </c>
      <c r="AE190" s="107"/>
      <c r="AF190" s="45">
        <v>0</v>
      </c>
      <c r="AG190" s="107"/>
      <c r="AH190" s="48">
        <f t="shared" si="6"/>
        <v>10957982</v>
      </c>
      <c r="AI190" s="48"/>
      <c r="AJ190" s="48">
        <v>0</v>
      </c>
      <c r="AK190" s="48"/>
      <c r="AL190" s="45">
        <v>3755293</v>
      </c>
      <c r="AM190" s="45"/>
      <c r="AN190" s="45">
        <v>6056605</v>
      </c>
      <c r="AO190" s="45"/>
      <c r="AP190" s="45">
        <v>0</v>
      </c>
      <c r="AQ190" s="45"/>
      <c r="AR190" s="45">
        <f>+'GVFund Rev'!U190+'GVFund Rev'!W190-'GVFund Exp'!AH190-'GVFund Exp'!AL190+AJ190+AN190+AP190-'GV Fund BS'!S190</f>
        <v>0</v>
      </c>
      <c r="AS190" s="48"/>
    </row>
    <row r="191" spans="1:45" s="44" customFormat="1" ht="12.75" customHeight="1">
      <c r="A191" s="35" t="s">
        <v>221</v>
      </c>
      <c r="C191" s="35" t="s">
        <v>27</v>
      </c>
      <c r="E191" s="45">
        <v>4991465</v>
      </c>
      <c r="F191" s="48"/>
      <c r="G191" s="45">
        <v>9246320</v>
      </c>
      <c r="H191" s="48"/>
      <c r="I191" s="45">
        <v>917692</v>
      </c>
      <c r="J191" s="48"/>
      <c r="K191" s="45">
        <v>1173737</v>
      </c>
      <c r="L191" s="48"/>
      <c r="M191" s="45">
        <v>2268740</v>
      </c>
      <c r="N191" s="48"/>
      <c r="O191" s="45">
        <v>3641297</v>
      </c>
      <c r="P191" s="48"/>
      <c r="Q191" s="45">
        <v>2056568</v>
      </c>
      <c r="R191" s="48"/>
      <c r="S191" s="45">
        <v>3595408</v>
      </c>
      <c r="T191" s="48"/>
      <c r="U191" s="45">
        <v>0</v>
      </c>
      <c r="V191" s="48"/>
      <c r="W191" s="48"/>
      <c r="X191" s="35"/>
      <c r="Z191" s="35"/>
      <c r="AA191" s="35"/>
      <c r="AB191" s="45">
        <v>1116923</v>
      </c>
      <c r="AC191" s="107"/>
      <c r="AD191" s="45">
        <v>848319</v>
      </c>
      <c r="AE191" s="107"/>
      <c r="AF191" s="45">
        <v>0</v>
      </c>
      <c r="AG191" s="107"/>
      <c r="AH191" s="48">
        <f t="shared" si="6"/>
        <v>29856469</v>
      </c>
      <c r="AI191" s="48"/>
      <c r="AJ191" s="48">
        <v>0</v>
      </c>
      <c r="AK191" s="48"/>
      <c r="AL191" s="45">
        <v>5487764</v>
      </c>
      <c r="AM191" s="45"/>
      <c r="AN191" s="45">
        <v>13227196</v>
      </c>
      <c r="AO191" s="45"/>
      <c r="AP191" s="45">
        <v>0</v>
      </c>
      <c r="AQ191" s="45"/>
      <c r="AR191" s="45">
        <f>+'GVFund Rev'!U191+'GVFund Rev'!W191-'GVFund Exp'!AH191-'GVFund Exp'!AL191+AJ191+AN191+AP191-'GV Fund BS'!S191</f>
        <v>0</v>
      </c>
      <c r="AS191" s="48"/>
    </row>
    <row r="192" spans="1:45" s="44" customFormat="1" ht="12.75" customHeight="1">
      <c r="A192" s="35" t="s">
        <v>222</v>
      </c>
      <c r="C192" s="35" t="s">
        <v>47</v>
      </c>
      <c r="E192" s="45">
        <v>972246</v>
      </c>
      <c r="F192" s="48"/>
      <c r="G192" s="45">
        <v>2057923</v>
      </c>
      <c r="H192" s="48"/>
      <c r="I192" s="45">
        <v>0</v>
      </c>
      <c r="J192" s="48"/>
      <c r="K192" s="45">
        <v>0</v>
      </c>
      <c r="L192" s="48"/>
      <c r="M192" s="45">
        <v>993284</v>
      </c>
      <c r="N192" s="48"/>
      <c r="O192" s="45">
        <v>262758</v>
      </c>
      <c r="P192" s="48"/>
      <c r="Q192" s="45">
        <v>256064</v>
      </c>
      <c r="R192" s="48"/>
      <c r="S192" s="45">
        <v>841999</v>
      </c>
      <c r="T192" s="48"/>
      <c r="U192" s="45">
        <v>0</v>
      </c>
      <c r="V192" s="48"/>
      <c r="W192" s="48"/>
      <c r="X192" s="35"/>
      <c r="Z192" s="35"/>
      <c r="AA192" s="35"/>
      <c r="AB192" s="45">
        <v>175000</v>
      </c>
      <c r="AC192" s="107"/>
      <c r="AD192" s="45">
        <v>185144</v>
      </c>
      <c r="AE192" s="107"/>
      <c r="AF192" s="45">
        <v>0</v>
      </c>
      <c r="AG192" s="107"/>
      <c r="AH192" s="48">
        <f t="shared" si="6"/>
        <v>5744418</v>
      </c>
      <c r="AI192" s="48"/>
      <c r="AJ192" s="48">
        <v>0</v>
      </c>
      <c r="AK192" s="48"/>
      <c r="AL192" s="45">
        <v>752120</v>
      </c>
      <c r="AM192" s="45"/>
      <c r="AN192" s="45">
        <v>3865856</v>
      </c>
      <c r="AO192" s="45"/>
      <c r="AP192" s="45">
        <v>0</v>
      </c>
      <c r="AQ192" s="45"/>
      <c r="AR192" s="45">
        <f>+'GVFund Rev'!U192+'GVFund Rev'!W192-'GVFund Exp'!AH192-'GVFund Exp'!AL192+AJ192+AN192+AP192-'GV Fund BS'!S192</f>
        <v>0</v>
      </c>
      <c r="AS192" s="48"/>
    </row>
    <row r="193" spans="1:46" s="44" customFormat="1" ht="12.75" customHeight="1">
      <c r="A193" s="35" t="s">
        <v>223</v>
      </c>
      <c r="C193" s="35" t="s">
        <v>94</v>
      </c>
      <c r="E193" s="45">
        <v>4050334</v>
      </c>
      <c r="F193" s="48"/>
      <c r="G193" s="45">
        <v>4830902</v>
      </c>
      <c r="H193" s="48"/>
      <c r="I193" s="45">
        <v>313672</v>
      </c>
      <c r="J193" s="48"/>
      <c r="K193" s="45">
        <v>99653</v>
      </c>
      <c r="L193" s="48"/>
      <c r="M193" s="45">
        <v>466358</v>
      </c>
      <c r="N193" s="48"/>
      <c r="O193" s="45">
        <v>307402</v>
      </c>
      <c r="P193" s="48"/>
      <c r="Q193" s="45">
        <f>2159+1645136</f>
        <v>1647295</v>
      </c>
      <c r="R193" s="48"/>
      <c r="S193" s="45">
        <v>1873193</v>
      </c>
      <c r="T193" s="48"/>
      <c r="U193" s="45">
        <v>0</v>
      </c>
      <c r="V193" s="48"/>
      <c r="W193" s="48"/>
      <c r="X193" s="35"/>
      <c r="Z193" s="35"/>
      <c r="AA193" s="35"/>
      <c r="AB193" s="45">
        <v>127104</v>
      </c>
      <c r="AC193" s="107"/>
      <c r="AD193" s="45">
        <v>131150</v>
      </c>
      <c r="AE193" s="107"/>
      <c r="AF193" s="45">
        <v>0</v>
      </c>
      <c r="AG193" s="107"/>
      <c r="AH193" s="48">
        <f t="shared" si="6"/>
        <v>13847063</v>
      </c>
      <c r="AI193" s="48"/>
      <c r="AJ193" s="48">
        <v>0</v>
      </c>
      <c r="AK193" s="48"/>
      <c r="AL193" s="45">
        <v>4456166</v>
      </c>
      <c r="AM193" s="45"/>
      <c r="AN193" s="45">
        <v>9981993</v>
      </c>
      <c r="AO193" s="45"/>
      <c r="AP193" s="45">
        <v>-3229</v>
      </c>
      <c r="AQ193" s="45"/>
      <c r="AR193" s="45">
        <f>+'GVFund Rev'!U193+'GVFund Rev'!W193-'GVFund Exp'!AH193-'GVFund Exp'!AL193+AJ193+AN193+AP193-'GV Fund BS'!S193</f>
        <v>0</v>
      </c>
      <c r="AS193" s="48"/>
    </row>
    <row r="194" spans="1:46" s="46" customFormat="1" ht="12.75" customHeight="1">
      <c r="A194" s="35" t="s">
        <v>76</v>
      </c>
      <c r="B194" s="44"/>
      <c r="C194" s="35" t="s">
        <v>132</v>
      </c>
      <c r="D194" s="44"/>
      <c r="E194" s="45">
        <f>923365+3179119</f>
        <v>4102484</v>
      </c>
      <c r="F194" s="48"/>
      <c r="G194" s="45">
        <f>5524466+5369175+258171</f>
        <v>11151812</v>
      </c>
      <c r="H194" s="48"/>
      <c r="I194" s="45">
        <v>4712280</v>
      </c>
      <c r="J194" s="48"/>
      <c r="K194" s="45">
        <v>289282</v>
      </c>
      <c r="L194" s="48"/>
      <c r="M194" s="45">
        <v>2810287</v>
      </c>
      <c r="N194" s="48"/>
      <c r="O194" s="45">
        <v>375479</v>
      </c>
      <c r="P194" s="48"/>
      <c r="Q194" s="45">
        <v>112205</v>
      </c>
      <c r="R194" s="48"/>
      <c r="S194" s="45">
        <v>3404107</v>
      </c>
      <c r="T194" s="48"/>
      <c r="U194" s="45">
        <v>0</v>
      </c>
      <c r="V194" s="48"/>
      <c r="W194" s="48"/>
      <c r="X194" s="35"/>
      <c r="Y194" s="44"/>
      <c r="Z194" s="35"/>
      <c r="AA194" s="35"/>
      <c r="AB194" s="45">
        <v>1118512</v>
      </c>
      <c r="AC194" s="107"/>
      <c r="AD194" s="45">
        <v>1472318</v>
      </c>
      <c r="AE194" s="107"/>
      <c r="AF194" s="45">
        <v>0</v>
      </c>
      <c r="AG194" s="107"/>
      <c r="AH194" s="48">
        <f t="shared" si="6"/>
        <v>29548766</v>
      </c>
      <c r="AI194" s="48"/>
      <c r="AJ194" s="48">
        <v>0</v>
      </c>
      <c r="AK194" s="48"/>
      <c r="AL194" s="45">
        <v>2584152</v>
      </c>
      <c r="AM194" s="45"/>
      <c r="AN194" s="45">
        <v>9858842</v>
      </c>
      <c r="AO194" s="45"/>
      <c r="AP194" s="45">
        <v>0</v>
      </c>
      <c r="AQ194" s="45"/>
      <c r="AR194" s="45">
        <f>+'GVFund Rev'!U194+'GVFund Rev'!W194-'GVFund Exp'!AH194-'GVFund Exp'!AL194+AJ194+AN194+AP194-'GV Fund BS'!S194</f>
        <v>0</v>
      </c>
      <c r="AS194" s="48"/>
    </row>
    <row r="195" spans="1:46" s="44" customFormat="1" ht="12.75" customHeight="1">
      <c r="A195" s="64" t="s">
        <v>224</v>
      </c>
      <c r="B195" s="46"/>
      <c r="C195" s="64" t="s">
        <v>27</v>
      </c>
      <c r="D195" s="46"/>
      <c r="E195" s="45">
        <v>1676626</v>
      </c>
      <c r="F195" s="48"/>
      <c r="G195" s="45">
        <v>3583860</v>
      </c>
      <c r="H195" s="48"/>
      <c r="I195" s="45">
        <v>659022</v>
      </c>
      <c r="J195" s="48"/>
      <c r="K195" s="45">
        <v>944311</v>
      </c>
      <c r="L195" s="48"/>
      <c r="M195" s="45">
        <v>2546389</v>
      </c>
      <c r="N195" s="48"/>
      <c r="O195" s="45">
        <v>1407566</v>
      </c>
      <c r="P195" s="48"/>
      <c r="Q195" s="45">
        <v>39964</v>
      </c>
      <c r="R195" s="48"/>
      <c r="S195" s="45">
        <v>1038822</v>
      </c>
      <c r="T195" s="48"/>
      <c r="U195" s="45">
        <v>0</v>
      </c>
      <c r="V195" s="48"/>
      <c r="W195" s="48"/>
      <c r="X195" s="35"/>
      <c r="Z195" s="35"/>
      <c r="AA195" s="35"/>
      <c r="AB195" s="45">
        <v>6527606</v>
      </c>
      <c r="AC195" s="107"/>
      <c r="AD195" s="45">
        <v>1045425</v>
      </c>
      <c r="AE195" s="107"/>
      <c r="AF195" s="45">
        <v>0</v>
      </c>
      <c r="AG195" s="107"/>
      <c r="AH195" s="48">
        <f t="shared" si="6"/>
        <v>19469591</v>
      </c>
      <c r="AI195" s="48"/>
      <c r="AJ195" s="48">
        <v>0</v>
      </c>
      <c r="AK195" s="48"/>
      <c r="AL195" s="45">
        <v>2154407</v>
      </c>
      <c r="AM195" s="45"/>
      <c r="AN195" s="45">
        <v>9652293</v>
      </c>
      <c r="AO195" s="45"/>
      <c r="AP195" s="45">
        <v>0</v>
      </c>
      <c r="AQ195" s="45"/>
      <c r="AR195" s="45">
        <f>+'GVFund Rev'!U195+'GVFund Rev'!W195-'GVFund Exp'!AH195-'GVFund Exp'!AL195+AJ195+AN195+AP195-'GV Fund BS'!S195</f>
        <v>0</v>
      </c>
      <c r="AS195" s="48"/>
    </row>
    <row r="196" spans="1:46" s="44" customFormat="1" ht="12.75" customHeight="1">
      <c r="A196" s="35" t="s">
        <v>225</v>
      </c>
      <c r="C196" s="35" t="s">
        <v>27</v>
      </c>
      <c r="E196" s="45">
        <f>4053869+2346816</f>
        <v>6400685</v>
      </c>
      <c r="F196" s="48"/>
      <c r="G196" s="45">
        <f>14618738+8211716+746933</f>
        <v>23577387</v>
      </c>
      <c r="H196" s="48"/>
      <c r="I196" s="45">
        <v>7555641</v>
      </c>
      <c r="J196" s="48"/>
      <c r="K196" s="45">
        <v>572755</v>
      </c>
      <c r="L196" s="48"/>
      <c r="M196" s="45">
        <v>3345052</v>
      </c>
      <c r="N196" s="48"/>
      <c r="O196" s="45">
        <f>2611172+1022907</f>
        <v>3634079</v>
      </c>
      <c r="P196" s="48"/>
      <c r="Q196" s="45">
        <f>5031160+2692495</f>
        <v>7723655</v>
      </c>
      <c r="R196" s="48"/>
      <c r="S196" s="45">
        <v>0</v>
      </c>
      <c r="T196" s="48"/>
      <c r="U196" s="45">
        <v>0</v>
      </c>
      <c r="V196" s="48"/>
      <c r="W196" s="48"/>
      <c r="X196" s="35"/>
      <c r="Z196" s="35"/>
      <c r="AA196" s="35"/>
      <c r="AB196" s="45">
        <v>9239281</v>
      </c>
      <c r="AC196" s="65"/>
      <c r="AD196" s="45">
        <v>990355</v>
      </c>
      <c r="AE196" s="65"/>
      <c r="AF196" s="45">
        <v>107854</v>
      </c>
      <c r="AG196" s="65"/>
      <c r="AH196" s="48">
        <f t="shared" ref="AH196:AH208" si="7">SUM(E196:AF196)</f>
        <v>63146744</v>
      </c>
      <c r="AI196" s="48"/>
      <c r="AJ196" s="48">
        <v>0</v>
      </c>
      <c r="AK196" s="48"/>
      <c r="AL196" s="45">
        <v>10151044</v>
      </c>
      <c r="AM196" s="94"/>
      <c r="AN196" s="94">
        <v>44340042</v>
      </c>
      <c r="AO196" s="94"/>
      <c r="AP196" s="94">
        <v>0</v>
      </c>
      <c r="AQ196" s="94"/>
      <c r="AR196" s="94">
        <f>+'GVFund Rev'!U196+'GVFund Rev'!W196-'GVFund Exp'!AH196-'GVFund Exp'!AL196+AJ196+AN196+AP196-'GV Fund BS'!S196</f>
        <v>0</v>
      </c>
      <c r="AS196" s="68">
        <f>40735+2113672</f>
        <v>2154407</v>
      </c>
      <c r="AT196" s="46"/>
    </row>
    <row r="197" spans="1:46" s="44" customFormat="1" ht="12.75" customHeight="1">
      <c r="A197" s="35" t="s">
        <v>226</v>
      </c>
      <c r="C197" s="35" t="s">
        <v>45</v>
      </c>
      <c r="E197" s="45">
        <v>3423205</v>
      </c>
      <c r="F197" s="48"/>
      <c r="G197" s="45">
        <v>11249572</v>
      </c>
      <c r="H197" s="48"/>
      <c r="I197" s="45">
        <v>557096</v>
      </c>
      <c r="J197" s="48"/>
      <c r="K197" s="45">
        <v>345561</v>
      </c>
      <c r="L197" s="48"/>
      <c r="M197" s="45">
        <v>1578400</v>
      </c>
      <c r="N197" s="48"/>
      <c r="O197" s="45">
        <v>2824218</v>
      </c>
      <c r="P197" s="48"/>
      <c r="Q197" s="45">
        <v>560329</v>
      </c>
      <c r="R197" s="48"/>
      <c r="S197" s="45">
        <v>2472773</v>
      </c>
      <c r="T197" s="48"/>
      <c r="U197" s="45">
        <v>0</v>
      </c>
      <c r="V197" s="48"/>
      <c r="W197" s="48"/>
      <c r="X197" s="35"/>
      <c r="Z197" s="35"/>
      <c r="AA197" s="35"/>
      <c r="AB197" s="45">
        <v>1335000</v>
      </c>
      <c r="AC197" s="107"/>
      <c r="AD197" s="45">
        <v>751029</v>
      </c>
      <c r="AE197" s="107"/>
      <c r="AF197" s="45">
        <v>0</v>
      </c>
      <c r="AG197" s="107"/>
      <c r="AH197" s="48">
        <f t="shared" si="7"/>
        <v>25097183</v>
      </c>
      <c r="AI197" s="48"/>
      <c r="AJ197" s="48">
        <v>0</v>
      </c>
      <c r="AK197" s="48"/>
      <c r="AL197" s="45">
        <f>2463571+3491022</f>
        <v>5954593</v>
      </c>
      <c r="AM197" s="45"/>
      <c r="AN197" s="45">
        <v>8475735</v>
      </c>
      <c r="AO197" s="45"/>
      <c r="AP197" s="45">
        <v>30126</v>
      </c>
      <c r="AQ197" s="45"/>
      <c r="AR197" s="45">
        <f>+'GVFund Rev'!U197+'GVFund Rev'!W197-'GVFund Exp'!AH197-'GVFund Exp'!AL197+AJ197+AN197+AP197-'GV Fund BS'!S197</f>
        <v>0</v>
      </c>
      <c r="AS197" s="48"/>
    </row>
    <row r="198" spans="1:46" s="46" customFormat="1" ht="12.75" customHeight="1">
      <c r="A198" s="64" t="s">
        <v>227</v>
      </c>
      <c r="C198" s="64" t="s">
        <v>17</v>
      </c>
      <c r="E198" s="45">
        <v>1301810</v>
      </c>
      <c r="F198" s="48"/>
      <c r="G198" s="45">
        <v>2807252</v>
      </c>
      <c r="H198" s="48"/>
      <c r="I198" s="45">
        <v>523673</v>
      </c>
      <c r="J198" s="48"/>
      <c r="K198" s="45">
        <v>37171</v>
      </c>
      <c r="L198" s="48"/>
      <c r="M198" s="45">
        <v>1305335</v>
      </c>
      <c r="N198" s="48"/>
      <c r="O198" s="45">
        <v>98698</v>
      </c>
      <c r="P198" s="48"/>
      <c r="Q198" s="45">
        <v>662065</v>
      </c>
      <c r="R198" s="48"/>
      <c r="S198" s="45">
        <v>66644</v>
      </c>
      <c r="T198" s="48"/>
      <c r="U198" s="45">
        <v>0</v>
      </c>
      <c r="V198" s="48"/>
      <c r="W198" s="48"/>
      <c r="X198" s="35"/>
      <c r="Y198" s="44"/>
      <c r="Z198" s="35"/>
      <c r="AA198" s="35"/>
      <c r="AB198" s="45">
        <f>582000+105000+12152+23058</f>
        <v>722210</v>
      </c>
      <c r="AC198" s="107"/>
      <c r="AD198" s="45">
        <v>133471</v>
      </c>
      <c r="AE198" s="107"/>
      <c r="AF198" s="45">
        <v>0</v>
      </c>
      <c r="AG198" s="107"/>
      <c r="AH198" s="48">
        <f t="shared" si="7"/>
        <v>7658329</v>
      </c>
      <c r="AI198" s="48"/>
      <c r="AJ198" s="48">
        <v>0</v>
      </c>
      <c r="AK198" s="48"/>
      <c r="AL198" s="45">
        <v>269026</v>
      </c>
      <c r="AM198" s="45"/>
      <c r="AN198" s="45">
        <v>2055968</v>
      </c>
      <c r="AO198" s="45"/>
      <c r="AP198" s="45">
        <v>0</v>
      </c>
      <c r="AQ198" s="45"/>
      <c r="AR198" s="45">
        <f>+'GVFund Rev'!U198+'GVFund Rev'!W198-'GVFund Exp'!AH198-'GVFund Exp'!AL198+AJ198+AN198+AP198-'GV Fund BS'!S198</f>
        <v>0</v>
      </c>
      <c r="AS198" s="68"/>
    </row>
    <row r="199" spans="1:46" s="46" customFormat="1" ht="12.75" customHeight="1">
      <c r="A199" s="35" t="s">
        <v>228</v>
      </c>
      <c r="B199" s="44"/>
      <c r="C199" s="35" t="s">
        <v>153</v>
      </c>
      <c r="D199" s="44"/>
      <c r="E199" s="45">
        <v>1129729</v>
      </c>
      <c r="F199" s="48"/>
      <c r="G199" s="45">
        <v>3110401</v>
      </c>
      <c r="H199" s="48"/>
      <c r="I199" s="45">
        <v>2244006</v>
      </c>
      <c r="J199" s="48"/>
      <c r="K199" s="45">
        <v>325136</v>
      </c>
      <c r="L199" s="48"/>
      <c r="M199" s="45">
        <v>712659</v>
      </c>
      <c r="N199" s="48"/>
      <c r="O199" s="45">
        <v>65756</v>
      </c>
      <c r="P199" s="48"/>
      <c r="Q199" s="45">
        <v>29725</v>
      </c>
      <c r="R199" s="48"/>
      <c r="S199" s="45">
        <v>722056</v>
      </c>
      <c r="T199" s="48"/>
      <c r="U199" s="45">
        <v>0</v>
      </c>
      <c r="V199" s="48"/>
      <c r="W199" s="48"/>
      <c r="X199" s="35"/>
      <c r="Y199" s="44"/>
      <c r="Z199" s="35"/>
      <c r="AA199" s="35"/>
      <c r="AB199" s="45">
        <v>181750</v>
      </c>
      <c r="AC199" s="107"/>
      <c r="AD199" s="45">
        <v>48823</v>
      </c>
      <c r="AE199" s="107"/>
      <c r="AF199" s="45">
        <v>0</v>
      </c>
      <c r="AG199" s="107"/>
      <c r="AH199" s="48">
        <f t="shared" si="7"/>
        <v>8570041</v>
      </c>
      <c r="AI199" s="48"/>
      <c r="AJ199" s="48">
        <v>0</v>
      </c>
      <c r="AK199" s="48"/>
      <c r="AL199" s="45">
        <v>205325</v>
      </c>
      <c r="AM199" s="45"/>
      <c r="AN199" s="45">
        <v>4759859</v>
      </c>
      <c r="AO199" s="45"/>
      <c r="AP199" s="45">
        <v>0</v>
      </c>
      <c r="AQ199" s="45"/>
      <c r="AR199" s="45">
        <f>+'GVFund Rev'!U199+'GVFund Rev'!W199-'GVFund Exp'!AH199-'GVFund Exp'!AL199+AJ199+AN199+AP199-'GV Fund BS'!S199</f>
        <v>0</v>
      </c>
      <c r="AS199" s="68"/>
    </row>
    <row r="200" spans="1:46" s="44" customFormat="1" ht="12.75" customHeight="1">
      <c r="A200" s="35" t="s">
        <v>229</v>
      </c>
      <c r="C200" s="35" t="s">
        <v>228</v>
      </c>
      <c r="E200" s="45">
        <v>1241283</v>
      </c>
      <c r="F200" s="48"/>
      <c r="G200" s="45">
        <f>5726015+4309081+1487055</f>
        <v>11522151</v>
      </c>
      <c r="H200" s="48"/>
      <c r="I200" s="45">
        <f>289206+1117688</f>
        <v>1406894</v>
      </c>
      <c r="J200" s="48"/>
      <c r="K200" s="45">
        <v>358851</v>
      </c>
      <c r="L200" s="48"/>
      <c r="M200" s="45">
        <v>1359318</v>
      </c>
      <c r="N200" s="48"/>
      <c r="O200" s="45">
        <v>1273062</v>
      </c>
      <c r="P200" s="48"/>
      <c r="Q200" s="45">
        <v>44872</v>
      </c>
      <c r="R200" s="48"/>
      <c r="S200" s="45">
        <v>4602232</v>
      </c>
      <c r="T200" s="48"/>
      <c r="U200" s="45">
        <v>0</v>
      </c>
      <c r="V200" s="48"/>
      <c r="W200" s="48"/>
      <c r="X200" s="35"/>
      <c r="Z200" s="35"/>
      <c r="AA200" s="35"/>
      <c r="AB200" s="45">
        <v>445000</v>
      </c>
      <c r="AC200" s="107"/>
      <c r="AD200" s="45">
        <v>378930</v>
      </c>
      <c r="AE200" s="107"/>
      <c r="AF200" s="45">
        <v>0</v>
      </c>
      <c r="AG200" s="107"/>
      <c r="AH200" s="48">
        <f t="shared" si="7"/>
        <v>22632593</v>
      </c>
      <c r="AI200" s="48"/>
      <c r="AJ200" s="48">
        <v>0</v>
      </c>
      <c r="AK200" s="48"/>
      <c r="AL200" s="45">
        <v>2650782</v>
      </c>
      <c r="AM200" s="45"/>
      <c r="AN200" s="45">
        <v>10333236</v>
      </c>
      <c r="AO200" s="45"/>
      <c r="AP200" s="45">
        <v>0</v>
      </c>
      <c r="AQ200" s="45"/>
      <c r="AR200" s="45">
        <f>+'GVFund Rev'!U200+'GVFund Rev'!W200-'GVFund Exp'!AH200-'GVFund Exp'!AL200+AJ200+AN200+AP200-'GV Fund BS'!S200</f>
        <v>0</v>
      </c>
      <c r="AS200" s="48"/>
    </row>
    <row r="201" spans="1:46" s="44" customFormat="1" ht="12.75" customHeight="1">
      <c r="A201" s="35" t="s">
        <v>230</v>
      </c>
      <c r="C201" s="35" t="s">
        <v>45</v>
      </c>
      <c r="E201" s="45">
        <v>762745</v>
      </c>
      <c r="F201" s="48"/>
      <c r="G201" s="45">
        <v>1367109</v>
      </c>
      <c r="H201" s="48"/>
      <c r="I201" s="45">
        <v>343157</v>
      </c>
      <c r="J201" s="48"/>
      <c r="K201" s="45">
        <v>4892</v>
      </c>
      <c r="L201" s="48"/>
      <c r="M201" s="45">
        <v>304483</v>
      </c>
      <c r="N201" s="48"/>
      <c r="O201" s="45">
        <v>18095</v>
      </c>
      <c r="P201" s="48"/>
      <c r="Q201" s="45">
        <v>1448798</v>
      </c>
      <c r="R201" s="48"/>
      <c r="S201" s="45">
        <v>172822</v>
      </c>
      <c r="T201" s="48"/>
      <c r="U201" s="45">
        <v>0</v>
      </c>
      <c r="V201" s="48"/>
      <c r="W201" s="48"/>
      <c r="X201" s="35"/>
      <c r="Z201" s="35"/>
      <c r="AA201" s="35"/>
      <c r="AB201" s="45">
        <v>134767</v>
      </c>
      <c r="AC201" s="107"/>
      <c r="AD201" s="45">
        <v>15989</v>
      </c>
      <c r="AE201" s="107"/>
      <c r="AF201" s="45">
        <v>0</v>
      </c>
      <c r="AG201" s="107"/>
      <c r="AH201" s="48">
        <f t="shared" si="7"/>
        <v>4572857</v>
      </c>
      <c r="AI201" s="48"/>
      <c r="AJ201" s="48">
        <v>0</v>
      </c>
      <c r="AK201" s="48"/>
      <c r="AL201" s="45">
        <v>854002</v>
      </c>
      <c r="AM201" s="45"/>
      <c r="AN201" s="45">
        <v>2736290</v>
      </c>
      <c r="AO201" s="45"/>
      <c r="AP201" s="45">
        <v>0</v>
      </c>
      <c r="AQ201" s="45"/>
      <c r="AR201" s="45">
        <f>+'GVFund Rev'!U201+'GVFund Rev'!W201-'GVFund Exp'!AH201-'GVFund Exp'!AL201+AJ201+AN201+AP201-'GV Fund BS'!S201</f>
        <v>0</v>
      </c>
      <c r="AS201" s="48"/>
    </row>
    <row r="202" spans="1:46" s="44" customFormat="1" ht="12.75" customHeight="1">
      <c r="A202" s="35" t="s">
        <v>231</v>
      </c>
      <c r="C202" s="35" t="s">
        <v>27</v>
      </c>
      <c r="E202" s="45">
        <v>4061450</v>
      </c>
      <c r="F202" s="48"/>
      <c r="G202" s="45">
        <f>8078371+7574187+297440</f>
        <v>15949998</v>
      </c>
      <c r="H202" s="48"/>
      <c r="I202" s="45">
        <v>2801923</v>
      </c>
      <c r="J202" s="48"/>
      <c r="K202" s="45">
        <v>84955</v>
      </c>
      <c r="L202" s="48"/>
      <c r="M202" s="45">
        <v>6491425</v>
      </c>
      <c r="N202" s="48"/>
      <c r="O202" s="45">
        <v>5793337</v>
      </c>
      <c r="P202" s="48"/>
      <c r="Q202" s="45">
        <v>1641022</v>
      </c>
      <c r="R202" s="48"/>
      <c r="S202" s="45">
        <v>22775769</v>
      </c>
      <c r="T202" s="48"/>
      <c r="U202" s="45">
        <v>0</v>
      </c>
      <c r="V202" s="48"/>
      <c r="W202" s="48"/>
      <c r="X202" s="35"/>
      <c r="Z202" s="35"/>
      <c r="AA202" s="35"/>
      <c r="AB202" s="45">
        <v>3271373</v>
      </c>
      <c r="AC202" s="107"/>
      <c r="AD202" s="45">
        <v>879836</v>
      </c>
      <c r="AE202" s="107"/>
      <c r="AF202" s="45">
        <v>0</v>
      </c>
      <c r="AG202" s="107"/>
      <c r="AH202" s="48">
        <f t="shared" si="7"/>
        <v>63751088</v>
      </c>
      <c r="AI202" s="48"/>
      <c r="AJ202" s="48">
        <v>0</v>
      </c>
      <c r="AK202" s="48"/>
      <c r="AL202" s="45">
        <v>5647424</v>
      </c>
      <c r="AM202" s="45"/>
      <c r="AN202" s="45">
        <v>46138366</v>
      </c>
      <c r="AO202" s="45"/>
      <c r="AP202" s="45">
        <v>0</v>
      </c>
      <c r="AQ202" s="45"/>
      <c r="AR202" s="45">
        <f>+'GVFund Rev'!U202+'GVFund Rev'!W202-'GVFund Exp'!AH202-'GVFund Exp'!AL202+AJ202+AN202+AP202-'GV Fund BS'!S202</f>
        <v>0</v>
      </c>
      <c r="AS202" s="48"/>
    </row>
    <row r="203" spans="1:46" s="44" customFormat="1" ht="12.75" customHeight="1">
      <c r="A203" s="64" t="s">
        <v>232</v>
      </c>
      <c r="B203" s="46"/>
      <c r="C203" s="64" t="s">
        <v>27</v>
      </c>
      <c r="D203" s="46"/>
      <c r="E203" s="45">
        <f>2631006+541010</f>
        <v>3172016</v>
      </c>
      <c r="F203" s="48"/>
      <c r="G203" s="45">
        <f>5482855+4298797</f>
        <v>9781652</v>
      </c>
      <c r="H203" s="48"/>
      <c r="I203" s="45">
        <v>244319</v>
      </c>
      <c r="J203" s="48"/>
      <c r="K203" s="45">
        <v>129249</v>
      </c>
      <c r="L203" s="48"/>
      <c r="M203" s="45">
        <v>2089754</v>
      </c>
      <c r="N203" s="48"/>
      <c r="O203" s="45">
        <v>351427</v>
      </c>
      <c r="P203" s="48"/>
      <c r="Q203" s="45">
        <f>716900+318555+2282521</f>
        <v>3317976</v>
      </c>
      <c r="R203" s="48"/>
      <c r="S203" s="45">
        <v>2654497</v>
      </c>
      <c r="T203" s="48"/>
      <c r="U203" s="45">
        <v>0</v>
      </c>
      <c r="V203" s="48"/>
      <c r="W203" s="48"/>
      <c r="X203" s="35"/>
      <c r="Z203" s="35"/>
      <c r="AA203" s="35"/>
      <c r="AB203" s="45">
        <v>19466247</v>
      </c>
      <c r="AC203" s="107"/>
      <c r="AD203" s="45">
        <v>1252209</v>
      </c>
      <c r="AE203" s="107"/>
      <c r="AF203" s="45">
        <v>0</v>
      </c>
      <c r="AG203" s="107"/>
      <c r="AH203" s="48">
        <f t="shared" si="7"/>
        <v>42459346</v>
      </c>
      <c r="AI203" s="48"/>
      <c r="AJ203" s="48">
        <v>0</v>
      </c>
      <c r="AK203" s="48"/>
      <c r="AL203" s="45">
        <v>1110000</v>
      </c>
      <c r="AM203" s="45"/>
      <c r="AN203" s="45">
        <v>26635949</v>
      </c>
      <c r="AO203" s="45"/>
      <c r="AP203" s="45">
        <v>0</v>
      </c>
      <c r="AQ203" s="45"/>
      <c r="AR203" s="45">
        <f>+'GVFund Rev'!U203+'GVFund Rev'!W203-'GVFund Exp'!AH203-'GVFund Exp'!AL203+AJ203+AN203+AP203-'GV Fund BS'!S203</f>
        <v>0</v>
      </c>
      <c r="AS203" s="48"/>
    </row>
    <row r="204" spans="1:46" s="44" customFormat="1" ht="12.75" customHeight="1">
      <c r="A204" s="35" t="s">
        <v>233</v>
      </c>
      <c r="C204" s="35" t="s">
        <v>111</v>
      </c>
      <c r="E204" s="45">
        <v>8552889</v>
      </c>
      <c r="F204" s="48"/>
      <c r="G204" s="45">
        <v>2902211</v>
      </c>
      <c r="H204" s="48"/>
      <c r="I204" s="45">
        <v>629695</v>
      </c>
      <c r="J204" s="48"/>
      <c r="K204" s="45">
        <v>15274</v>
      </c>
      <c r="L204" s="48"/>
      <c r="M204" s="45">
        <v>1032978</v>
      </c>
      <c r="N204" s="48"/>
      <c r="O204" s="45">
        <v>463693</v>
      </c>
      <c r="P204" s="48"/>
      <c r="Q204" s="45">
        <v>0</v>
      </c>
      <c r="R204" s="48"/>
      <c r="S204" s="45">
        <v>10288484</v>
      </c>
      <c r="T204" s="48"/>
      <c r="U204" s="45">
        <v>0</v>
      </c>
      <c r="V204" s="48"/>
      <c r="W204" s="48"/>
      <c r="X204" s="35"/>
      <c r="Z204" s="35"/>
      <c r="AA204" s="35"/>
      <c r="AB204" s="45">
        <v>1146115</v>
      </c>
      <c r="AC204" s="107"/>
      <c r="AD204" s="45">
        <v>766936</v>
      </c>
      <c r="AE204" s="107"/>
      <c r="AF204" s="45">
        <v>0</v>
      </c>
      <c r="AG204" s="107"/>
      <c r="AH204" s="48">
        <f t="shared" si="7"/>
        <v>25798275</v>
      </c>
      <c r="AI204" s="48"/>
      <c r="AJ204" s="48">
        <v>0</v>
      </c>
      <c r="AK204" s="48"/>
      <c r="AL204" s="45">
        <v>5446592</v>
      </c>
      <c r="AM204" s="45"/>
      <c r="AN204" s="45">
        <v>20725912</v>
      </c>
      <c r="AO204" s="45"/>
      <c r="AP204" s="45">
        <v>32878</v>
      </c>
      <c r="AQ204" s="45"/>
      <c r="AR204" s="45">
        <f>+'GVFund Rev'!U204+'GVFund Rev'!W204-'GVFund Exp'!AH204-'GVFund Exp'!AL204+AJ204+AN204+AP204-'GV Fund BS'!S204</f>
        <v>0</v>
      </c>
      <c r="AS204" s="48"/>
    </row>
    <row r="205" spans="1:46" s="44" customFormat="1" ht="12.75" customHeight="1">
      <c r="A205" s="35" t="s">
        <v>234</v>
      </c>
      <c r="C205" s="35" t="s">
        <v>45</v>
      </c>
      <c r="E205" s="45">
        <v>5721202</v>
      </c>
      <c r="F205" s="48"/>
      <c r="G205" s="45">
        <v>8017532</v>
      </c>
      <c r="H205" s="48"/>
      <c r="I205" s="45">
        <v>634854</v>
      </c>
      <c r="J205" s="48"/>
      <c r="K205" s="45">
        <v>324026</v>
      </c>
      <c r="L205" s="48"/>
      <c r="M205" s="45">
        <v>1436394</v>
      </c>
      <c r="N205" s="48"/>
      <c r="O205" s="45">
        <v>1664188</v>
      </c>
      <c r="P205" s="48"/>
      <c r="Q205" s="45">
        <v>0</v>
      </c>
      <c r="R205" s="48"/>
      <c r="S205" s="45">
        <v>3734444</v>
      </c>
      <c r="T205" s="48"/>
      <c r="U205" s="45">
        <v>0</v>
      </c>
      <c r="V205" s="48"/>
      <c r="W205" s="48"/>
      <c r="X205" s="35"/>
      <c r="Z205" s="35"/>
      <c r="AA205" s="35"/>
      <c r="AB205" s="45">
        <v>469626</v>
      </c>
      <c r="AC205" s="107"/>
      <c r="AD205" s="45">
        <v>309391</v>
      </c>
      <c r="AE205" s="107"/>
      <c r="AF205" s="45">
        <v>0</v>
      </c>
      <c r="AG205" s="107"/>
      <c r="AH205" s="48">
        <f t="shared" si="7"/>
        <v>22311657</v>
      </c>
      <c r="AI205" s="48"/>
      <c r="AJ205" s="48">
        <v>0</v>
      </c>
      <c r="AK205" s="48"/>
      <c r="AL205" s="45">
        <v>865400</v>
      </c>
      <c r="AM205" s="45"/>
      <c r="AN205" s="45">
        <v>8080364</v>
      </c>
      <c r="AO205" s="45"/>
      <c r="AP205" s="45">
        <v>0</v>
      </c>
      <c r="AQ205" s="45"/>
      <c r="AR205" s="45">
        <f>+'GVFund Rev'!U205+'GVFund Rev'!W205-'GVFund Exp'!AH205-'GVFund Exp'!AL205+AJ205+AN205+AP205-'GV Fund BS'!S205</f>
        <v>0</v>
      </c>
      <c r="AS205" s="48"/>
    </row>
    <row r="206" spans="1:46" s="44" customFormat="1" ht="12.75" customHeight="1">
      <c r="A206" s="35" t="s">
        <v>235</v>
      </c>
      <c r="C206" s="35" t="s">
        <v>183</v>
      </c>
      <c r="E206" s="45">
        <v>11550852</v>
      </c>
      <c r="F206" s="48"/>
      <c r="G206" s="45">
        <v>29175580</v>
      </c>
      <c r="H206" s="48"/>
      <c r="I206" s="45">
        <v>4876349</v>
      </c>
      <c r="J206" s="48"/>
      <c r="K206" s="45">
        <v>178853</v>
      </c>
      <c r="L206" s="48"/>
      <c r="M206" s="45">
        <v>4322281</v>
      </c>
      <c r="N206" s="48"/>
      <c r="O206" s="45">
        <v>2038010</v>
      </c>
      <c r="P206" s="48"/>
      <c r="Q206" s="45">
        <v>213188</v>
      </c>
      <c r="R206" s="48"/>
      <c r="S206" s="45">
        <v>8372167</v>
      </c>
      <c r="T206" s="48"/>
      <c r="U206" s="45">
        <v>0</v>
      </c>
      <c r="V206" s="48"/>
      <c r="W206" s="48"/>
      <c r="X206" s="35"/>
      <c r="Z206" s="35"/>
      <c r="AA206" s="35"/>
      <c r="AB206" s="45">
        <v>2184281</v>
      </c>
      <c r="AC206" s="107"/>
      <c r="AD206" s="45">
        <v>718820</v>
      </c>
      <c r="AE206" s="107"/>
      <c r="AF206" s="45">
        <v>156887</v>
      </c>
      <c r="AG206" s="107"/>
      <c r="AH206" s="48">
        <f t="shared" si="7"/>
        <v>63787268</v>
      </c>
      <c r="AI206" s="48"/>
      <c r="AJ206" s="48">
        <v>0</v>
      </c>
      <c r="AK206" s="48"/>
      <c r="AL206" s="45">
        <f>5487210+7913+3160270</f>
        <v>8655393</v>
      </c>
      <c r="AM206" s="45"/>
      <c r="AN206" s="45">
        <v>37522890</v>
      </c>
      <c r="AO206" s="45"/>
      <c r="AP206" s="45">
        <v>0</v>
      </c>
      <c r="AQ206" s="45"/>
      <c r="AR206" s="45">
        <f>+'GVFund Rev'!U206+'GVFund Rev'!W206-'GVFund Exp'!AH206-'GVFund Exp'!AL206+AJ206+AN206+AP206-'GV Fund BS'!S206</f>
        <v>0</v>
      </c>
      <c r="AS206" s="48"/>
    </row>
    <row r="207" spans="1:46" s="44" customFormat="1" ht="12.75" customHeight="1">
      <c r="A207" s="35" t="s">
        <v>236</v>
      </c>
      <c r="C207" s="35" t="s">
        <v>45</v>
      </c>
      <c r="E207" s="45">
        <v>4050334</v>
      </c>
      <c r="F207" s="48"/>
      <c r="G207" s="45">
        <v>4830902</v>
      </c>
      <c r="H207" s="48"/>
      <c r="I207" s="45">
        <v>313672</v>
      </c>
      <c r="J207" s="48"/>
      <c r="K207" s="45">
        <v>99653</v>
      </c>
      <c r="L207" s="48"/>
      <c r="M207" s="45">
        <v>466358</v>
      </c>
      <c r="N207" s="48"/>
      <c r="O207" s="45">
        <v>307402</v>
      </c>
      <c r="P207" s="48"/>
      <c r="Q207" s="45">
        <f>2159+1645136</f>
        <v>1647295</v>
      </c>
      <c r="R207" s="48"/>
      <c r="S207" s="45">
        <v>1873193</v>
      </c>
      <c r="T207" s="48"/>
      <c r="U207" s="45">
        <v>0</v>
      </c>
      <c r="V207" s="48"/>
      <c r="W207" s="48"/>
      <c r="X207" s="35"/>
      <c r="Z207" s="35"/>
      <c r="AA207" s="35"/>
      <c r="AB207" s="45">
        <v>127104</v>
      </c>
      <c r="AC207" s="107"/>
      <c r="AD207" s="45">
        <v>131150</v>
      </c>
      <c r="AE207" s="107"/>
      <c r="AF207" s="45">
        <v>0</v>
      </c>
      <c r="AG207" s="107"/>
      <c r="AH207" s="48">
        <f t="shared" si="7"/>
        <v>13847063</v>
      </c>
      <c r="AI207" s="48"/>
      <c r="AJ207" s="48">
        <v>0</v>
      </c>
      <c r="AK207" s="48"/>
      <c r="AL207" s="45">
        <v>4456166</v>
      </c>
      <c r="AM207" s="45"/>
      <c r="AN207" s="45">
        <v>9981993</v>
      </c>
      <c r="AO207" s="45"/>
      <c r="AP207" s="45">
        <v>-3229</v>
      </c>
      <c r="AQ207" s="45"/>
      <c r="AR207" s="45">
        <f>+'GVFund Rev'!U207+'GVFund Rev'!W207-'GVFund Exp'!AH207-'GVFund Exp'!AL207+AJ207+AN207+AP207-'GV Fund BS'!S207</f>
        <v>0</v>
      </c>
      <c r="AS207" s="48"/>
    </row>
    <row r="208" spans="1:46" s="44" customFormat="1" ht="12.75" customHeight="1">
      <c r="A208" s="35" t="s">
        <v>237</v>
      </c>
      <c r="C208" s="35" t="s">
        <v>33</v>
      </c>
      <c r="E208" s="45">
        <v>345778</v>
      </c>
      <c r="F208" s="48"/>
      <c r="G208" s="45">
        <v>1069582</v>
      </c>
      <c r="H208" s="48"/>
      <c r="I208" s="45">
        <v>577563</v>
      </c>
      <c r="J208" s="48"/>
      <c r="K208" s="45">
        <v>32527</v>
      </c>
      <c r="L208" s="48"/>
      <c r="M208" s="45">
        <v>431091</v>
      </c>
      <c r="N208" s="48"/>
      <c r="O208" s="45">
        <v>424009</v>
      </c>
      <c r="P208" s="48"/>
      <c r="Q208" s="45">
        <v>0</v>
      </c>
      <c r="R208" s="48"/>
      <c r="S208" s="45">
        <v>2662809</v>
      </c>
      <c r="T208" s="48"/>
      <c r="U208" s="45">
        <v>0</v>
      </c>
      <c r="V208" s="48"/>
      <c r="W208" s="48"/>
      <c r="X208" s="35"/>
      <c r="Z208" s="35"/>
      <c r="AA208" s="35"/>
      <c r="AB208" s="45">
        <v>95679</v>
      </c>
      <c r="AC208" s="107"/>
      <c r="AD208" s="45">
        <v>50032</v>
      </c>
      <c r="AE208" s="107"/>
      <c r="AF208" s="45">
        <v>0</v>
      </c>
      <c r="AG208" s="107"/>
      <c r="AH208" s="48">
        <f t="shared" si="7"/>
        <v>5689070</v>
      </c>
      <c r="AI208" s="48"/>
      <c r="AJ208" s="48">
        <v>0</v>
      </c>
      <c r="AK208" s="48"/>
      <c r="AL208" s="45">
        <v>1399700</v>
      </c>
      <c r="AM208" s="45"/>
      <c r="AN208" s="45">
        <v>1379032</v>
      </c>
      <c r="AO208" s="45"/>
      <c r="AP208" s="45">
        <v>0</v>
      </c>
      <c r="AQ208" s="45"/>
      <c r="AR208" s="45">
        <f>+'GVFund Rev'!U208+'GVFund Rev'!W208-'GVFund Exp'!AH208-'GVFund Exp'!AL208+AJ208+AN208+AP208-'GV Fund BS'!S208</f>
        <v>0</v>
      </c>
      <c r="AS208" s="48"/>
    </row>
    <row r="209" spans="1:45" s="44" customFormat="1" ht="12.75" customHeight="1">
      <c r="A209" s="35" t="s">
        <v>238</v>
      </c>
      <c r="C209" s="35" t="s">
        <v>239</v>
      </c>
      <c r="E209" s="45">
        <v>807888</v>
      </c>
      <c r="F209" s="48"/>
      <c r="G209" s="45">
        <v>2962975</v>
      </c>
      <c r="H209" s="48"/>
      <c r="I209" s="45">
        <v>30148</v>
      </c>
      <c r="J209" s="48"/>
      <c r="K209" s="45">
        <v>27528</v>
      </c>
      <c r="L209" s="48"/>
      <c r="M209" s="45">
        <v>801578</v>
      </c>
      <c r="N209" s="48"/>
      <c r="O209" s="45">
        <v>261413</v>
      </c>
      <c r="P209" s="48"/>
      <c r="Q209" s="45">
        <v>0</v>
      </c>
      <c r="R209" s="48"/>
      <c r="S209" s="45">
        <v>1910750</v>
      </c>
      <c r="T209" s="48"/>
      <c r="U209" s="45">
        <v>0</v>
      </c>
      <c r="V209" s="48"/>
      <c r="W209" s="48"/>
      <c r="X209" s="35"/>
      <c r="Z209" s="35"/>
      <c r="AA209" s="35"/>
      <c r="AB209" s="45">
        <v>0</v>
      </c>
      <c r="AC209" s="107"/>
      <c r="AD209" s="45">
        <v>16904</v>
      </c>
      <c r="AE209" s="107"/>
      <c r="AF209" s="45">
        <v>0</v>
      </c>
      <c r="AG209" s="107"/>
      <c r="AH209" s="48">
        <f t="shared" ref="AH209:AH256" si="8">SUM(E209:AF209)</f>
        <v>6819184</v>
      </c>
      <c r="AI209" s="48"/>
      <c r="AJ209" s="48">
        <v>0</v>
      </c>
      <c r="AK209" s="48"/>
      <c r="AL209" s="45">
        <v>1139124</v>
      </c>
      <c r="AM209" s="45"/>
      <c r="AN209" s="45">
        <v>13891752</v>
      </c>
      <c r="AO209" s="45"/>
      <c r="AP209" s="45">
        <v>-5869</v>
      </c>
      <c r="AQ209" s="45"/>
      <c r="AR209" s="45">
        <f>+'GVFund Rev'!U209+'GVFund Rev'!W209-'GVFund Exp'!AH209-'GVFund Exp'!AL209+AJ209+AN209+AP209-'GV Fund BS'!S210</f>
        <v>0</v>
      </c>
      <c r="AS209" s="48"/>
    </row>
    <row r="210" spans="1:45" s="44" customFormat="1" ht="12.75" customHeight="1">
      <c r="A210" s="35" t="s">
        <v>486</v>
      </c>
      <c r="C210" s="35" t="s">
        <v>249</v>
      </c>
      <c r="E210" s="45">
        <v>3082262</v>
      </c>
      <c r="F210" s="48"/>
      <c r="G210" s="45">
        <v>7739712</v>
      </c>
      <c r="H210" s="48"/>
      <c r="I210" s="45">
        <v>1365997</v>
      </c>
      <c r="J210" s="48"/>
      <c r="K210" s="45">
        <v>654942</v>
      </c>
      <c r="L210" s="48"/>
      <c r="M210" s="45">
        <v>3836690</v>
      </c>
      <c r="N210" s="48"/>
      <c r="O210" s="45">
        <v>4143221</v>
      </c>
      <c r="P210" s="48"/>
      <c r="Q210" s="45">
        <v>0</v>
      </c>
      <c r="R210" s="48"/>
      <c r="S210" s="45">
        <v>1968845</v>
      </c>
      <c r="T210" s="48"/>
      <c r="U210" s="45">
        <v>0</v>
      </c>
      <c r="V210" s="48"/>
      <c r="W210" s="48"/>
      <c r="X210" s="35"/>
      <c r="Z210" s="35"/>
      <c r="AA210" s="35"/>
      <c r="AB210" s="45">
        <v>804310</v>
      </c>
      <c r="AC210" s="107"/>
      <c r="AD210" s="45">
        <v>148056</v>
      </c>
      <c r="AE210" s="107"/>
      <c r="AF210" s="45">
        <v>0</v>
      </c>
      <c r="AG210" s="107"/>
      <c r="AH210" s="48">
        <f t="shared" si="8"/>
        <v>23744035</v>
      </c>
      <c r="AI210" s="48"/>
      <c r="AJ210" s="48">
        <v>0</v>
      </c>
      <c r="AK210" s="48"/>
      <c r="AL210" s="45">
        <v>150000</v>
      </c>
      <c r="AM210" s="45"/>
      <c r="AN210" s="45">
        <v>8267386</v>
      </c>
      <c r="AO210" s="45"/>
      <c r="AP210" s="45">
        <v>0</v>
      </c>
      <c r="AQ210" s="45"/>
      <c r="AR210" s="45">
        <f>+'GVFund Rev'!U210+'GVFund Rev'!W210-'GVFund Exp'!AH210-'GVFund Exp'!AL210+AJ210+AN210+AP210-'GV Fund BS'!S211</f>
        <v>0</v>
      </c>
      <c r="AS210" s="48"/>
    </row>
    <row r="211" spans="1:45" s="44" customFormat="1" ht="12.75" customHeight="1">
      <c r="A211" s="35" t="s">
        <v>240</v>
      </c>
      <c r="C211" s="35" t="s">
        <v>13</v>
      </c>
      <c r="E211" s="45">
        <v>9327006</v>
      </c>
      <c r="F211" s="48"/>
      <c r="G211" s="45">
        <v>13342694</v>
      </c>
      <c r="H211" s="48"/>
      <c r="I211" s="45">
        <v>1321055</v>
      </c>
      <c r="J211" s="48"/>
      <c r="K211" s="45">
        <v>423408</v>
      </c>
      <c r="L211" s="48"/>
      <c r="M211" s="45">
        <v>2561137</v>
      </c>
      <c r="N211" s="48"/>
      <c r="O211" s="45">
        <v>2057269</v>
      </c>
      <c r="P211" s="48"/>
      <c r="Q211" s="45">
        <v>0</v>
      </c>
      <c r="R211" s="48"/>
      <c r="S211" s="45">
        <v>9551359</v>
      </c>
      <c r="T211" s="48"/>
      <c r="U211" s="45">
        <v>0</v>
      </c>
      <c r="V211" s="48"/>
      <c r="W211" s="48"/>
      <c r="X211" s="35"/>
      <c r="Z211" s="35"/>
      <c r="AA211" s="35"/>
      <c r="AB211" s="45">
        <v>10217348</v>
      </c>
      <c r="AC211" s="107"/>
      <c r="AD211" s="45">
        <v>1059124</v>
      </c>
      <c r="AE211" s="107"/>
      <c r="AF211" s="45">
        <v>48478</v>
      </c>
      <c r="AG211" s="107"/>
      <c r="AH211" s="48">
        <f t="shared" si="8"/>
        <v>49908878</v>
      </c>
      <c r="AI211" s="48"/>
      <c r="AJ211" s="48">
        <v>0</v>
      </c>
      <c r="AK211" s="48"/>
      <c r="AL211" s="45">
        <v>1771307</v>
      </c>
      <c r="AM211" s="45"/>
      <c r="AN211" s="45">
        <v>16090685</v>
      </c>
      <c r="AO211" s="45"/>
      <c r="AP211" s="45">
        <v>0</v>
      </c>
      <c r="AQ211" s="45"/>
      <c r="AR211" s="45">
        <f>+'GVFund Rev'!U211+'GVFund Rev'!W211-'GVFund Exp'!AH211-'GVFund Exp'!AL211+AJ211+AN211+AP211-'GV Fund BS'!S212</f>
        <v>0</v>
      </c>
      <c r="AS211" s="48"/>
    </row>
    <row r="212" spans="1:45" s="44" customFormat="1" ht="12.75" customHeight="1">
      <c r="A212" s="35" t="s">
        <v>241</v>
      </c>
      <c r="C212" s="35" t="s">
        <v>22</v>
      </c>
      <c r="E212" s="45">
        <v>2521817</v>
      </c>
      <c r="F212" s="48"/>
      <c r="G212" s="45">
        <v>5600768</v>
      </c>
      <c r="H212" s="48"/>
      <c r="I212" s="45">
        <f>827682+300</f>
        <v>827982</v>
      </c>
      <c r="J212" s="48"/>
      <c r="K212" s="45">
        <v>24221</v>
      </c>
      <c r="L212" s="48"/>
      <c r="M212" s="45">
        <v>735632</v>
      </c>
      <c r="N212" s="48"/>
      <c r="O212" s="45">
        <v>489188</v>
      </c>
      <c r="P212" s="48"/>
      <c r="Q212" s="45">
        <v>680444</v>
      </c>
      <c r="R212" s="48"/>
      <c r="S212" s="45">
        <v>1035114</v>
      </c>
      <c r="T212" s="48"/>
      <c r="U212" s="45">
        <v>0</v>
      </c>
      <c r="V212" s="48"/>
      <c r="W212" s="48"/>
      <c r="X212" s="35"/>
      <c r="Z212" s="35"/>
      <c r="AA212" s="35"/>
      <c r="AB212" s="45">
        <v>652388</v>
      </c>
      <c r="AC212" s="107"/>
      <c r="AD212" s="45">
        <v>185885</v>
      </c>
      <c r="AE212" s="107"/>
      <c r="AF212" s="45">
        <v>0</v>
      </c>
      <c r="AG212" s="107"/>
      <c r="AH212" s="48">
        <f t="shared" si="8"/>
        <v>12753439</v>
      </c>
      <c r="AI212" s="48"/>
      <c r="AJ212" s="48">
        <v>0</v>
      </c>
      <c r="AK212" s="48"/>
      <c r="AL212" s="45">
        <v>204765</v>
      </c>
      <c r="AM212" s="45"/>
      <c r="AN212" s="45">
        <v>3669991</v>
      </c>
      <c r="AO212" s="45"/>
      <c r="AP212" s="45">
        <v>0</v>
      </c>
      <c r="AQ212" s="45"/>
      <c r="AR212" s="45">
        <f>+'GVFund Rev'!U212+'GVFund Rev'!W212-'GVFund Exp'!AH212-'GVFund Exp'!AL212+AJ212+AN212+AP212-'GV Fund BS'!S213</f>
        <v>0</v>
      </c>
      <c r="AS212" s="48"/>
    </row>
    <row r="213" spans="1:45" s="44" customFormat="1" ht="12.75" customHeight="1">
      <c r="A213" s="35" t="s">
        <v>242</v>
      </c>
      <c r="C213" s="35" t="s">
        <v>27</v>
      </c>
      <c r="E213" s="45">
        <v>6384644</v>
      </c>
      <c r="F213" s="48"/>
      <c r="G213" s="45">
        <v>18400681</v>
      </c>
      <c r="H213" s="48"/>
      <c r="I213" s="45">
        <v>1334368</v>
      </c>
      <c r="J213" s="48"/>
      <c r="K213" s="45">
        <v>653054</v>
      </c>
      <c r="L213" s="48"/>
      <c r="M213" s="45">
        <v>8758272</v>
      </c>
      <c r="N213" s="48"/>
      <c r="O213" s="45">
        <v>5084001</v>
      </c>
      <c r="P213" s="48"/>
      <c r="Q213" s="45">
        <v>2527962</v>
      </c>
      <c r="R213" s="48"/>
      <c r="S213" s="45">
        <v>12387291</v>
      </c>
      <c r="T213" s="48"/>
      <c r="U213" s="45">
        <v>0</v>
      </c>
      <c r="V213" s="48"/>
      <c r="W213" s="48"/>
      <c r="X213" s="35"/>
      <c r="Z213" s="35"/>
      <c r="AA213" s="35"/>
      <c r="AB213" s="45">
        <v>19234457</v>
      </c>
      <c r="AC213" s="107"/>
      <c r="AD213" s="45">
        <v>2870106</v>
      </c>
      <c r="AE213" s="107"/>
      <c r="AF213" s="45">
        <v>0</v>
      </c>
      <c r="AG213" s="107"/>
      <c r="AH213" s="48">
        <f t="shared" si="8"/>
        <v>77634836</v>
      </c>
      <c r="AI213" s="48"/>
      <c r="AJ213" s="48">
        <v>0</v>
      </c>
      <c r="AK213" s="48"/>
      <c r="AL213" s="45">
        <f>10324632+1535000</f>
        <v>11859632</v>
      </c>
      <c r="AM213" s="45"/>
      <c r="AN213" s="45">
        <v>34979214</v>
      </c>
      <c r="AO213" s="45"/>
      <c r="AP213" s="45">
        <v>0</v>
      </c>
      <c r="AQ213" s="45"/>
      <c r="AR213" s="45">
        <f>+'GVFund Rev'!U213+'GVFund Rev'!W213-'GVFund Exp'!AH213-'GVFund Exp'!AL213+AJ213+AN213+AP213-'GV Fund BS'!S214</f>
        <v>0</v>
      </c>
      <c r="AS213" s="48"/>
    </row>
    <row r="214" spans="1:45" s="44" customFormat="1" ht="12.75" customHeight="1">
      <c r="A214" s="35" t="s">
        <v>243</v>
      </c>
      <c r="C214" s="35" t="s">
        <v>163</v>
      </c>
      <c r="E214" s="45">
        <v>4359325</v>
      </c>
      <c r="F214" s="48"/>
      <c r="G214" s="45">
        <v>5539386</v>
      </c>
      <c r="H214" s="48"/>
      <c r="I214" s="45">
        <v>633987</v>
      </c>
      <c r="J214" s="48"/>
      <c r="K214" s="45">
        <v>164842</v>
      </c>
      <c r="L214" s="48"/>
      <c r="M214" s="45">
        <v>1891714</v>
      </c>
      <c r="N214" s="48"/>
      <c r="O214" s="45">
        <v>876721</v>
      </c>
      <c r="P214" s="48"/>
      <c r="Q214" s="45">
        <v>1038727</v>
      </c>
      <c r="R214" s="48"/>
      <c r="S214" s="45">
        <v>6601746</v>
      </c>
      <c r="T214" s="48"/>
      <c r="U214" s="45">
        <v>0</v>
      </c>
      <c r="V214" s="48"/>
      <c r="W214" s="48"/>
      <c r="X214" s="35"/>
      <c r="Z214" s="35"/>
      <c r="AA214" s="35"/>
      <c r="AB214" s="45">
        <v>760071</v>
      </c>
      <c r="AC214" s="107"/>
      <c r="AD214" s="45">
        <v>608252</v>
      </c>
      <c r="AE214" s="107"/>
      <c r="AF214" s="45">
        <v>0</v>
      </c>
      <c r="AG214" s="107"/>
      <c r="AH214" s="48">
        <f t="shared" si="8"/>
        <v>22474771</v>
      </c>
      <c r="AI214" s="48"/>
      <c r="AJ214" s="48">
        <v>0</v>
      </c>
      <c r="AK214" s="48"/>
      <c r="AL214" s="45">
        <v>11260549</v>
      </c>
      <c r="AM214" s="45"/>
      <c r="AN214" s="45">
        <v>27020434</v>
      </c>
      <c r="AO214" s="45"/>
      <c r="AP214" s="45">
        <v>-81223</v>
      </c>
      <c r="AQ214" s="45"/>
      <c r="AR214" s="45">
        <f>+'GVFund Rev'!U214+'GVFund Rev'!W214-'GVFund Exp'!AH214-'GVFund Exp'!AL214+AJ214+AN214+AP214-'GV Fund BS'!S215</f>
        <v>0</v>
      </c>
      <c r="AS214" s="48"/>
    </row>
    <row r="215" spans="1:45" s="44" customFormat="1" ht="12.75" customHeight="1">
      <c r="A215" s="35" t="s">
        <v>244</v>
      </c>
      <c r="C215" s="35" t="s">
        <v>13</v>
      </c>
      <c r="E215" s="45">
        <v>3062640</v>
      </c>
      <c r="F215" s="48"/>
      <c r="G215" s="45">
        <f>3808963+28469+2644911</f>
        <v>6482343</v>
      </c>
      <c r="H215" s="48"/>
      <c r="I215" s="45">
        <v>355637</v>
      </c>
      <c r="J215" s="48"/>
      <c r="K215" s="45">
        <v>48878</v>
      </c>
      <c r="L215" s="48"/>
      <c r="M215" s="45">
        <v>1847529</v>
      </c>
      <c r="N215" s="48"/>
      <c r="O215" s="45">
        <v>1726060</v>
      </c>
      <c r="P215" s="48"/>
      <c r="Q215" s="45">
        <v>0</v>
      </c>
      <c r="R215" s="48"/>
      <c r="S215" s="45">
        <v>1068156</v>
      </c>
      <c r="T215" s="48"/>
      <c r="U215" s="45">
        <v>0</v>
      </c>
      <c r="V215" s="48"/>
      <c r="W215" s="48"/>
      <c r="X215" s="35"/>
      <c r="Z215" s="35"/>
      <c r="AA215" s="35"/>
      <c r="AB215" s="45">
        <v>4396214</v>
      </c>
      <c r="AC215" s="107"/>
      <c r="AD215" s="45">
        <v>515389</v>
      </c>
      <c r="AE215" s="107"/>
      <c r="AF215" s="45">
        <v>0</v>
      </c>
      <c r="AG215" s="107"/>
      <c r="AH215" s="48">
        <f t="shared" si="8"/>
        <v>19502846</v>
      </c>
      <c r="AI215" s="48"/>
      <c r="AJ215" s="48">
        <v>0</v>
      </c>
      <c r="AK215" s="48"/>
      <c r="AL215" s="45">
        <v>2618165</v>
      </c>
      <c r="AM215" s="45"/>
      <c r="AN215" s="45">
        <v>4733454</v>
      </c>
      <c r="AO215" s="45"/>
      <c r="AP215" s="45">
        <v>0</v>
      </c>
      <c r="AQ215" s="45"/>
      <c r="AR215" s="45">
        <f>+'GVFund Rev'!U215+'GVFund Rev'!W215-'GVFund Exp'!AH215-'GVFund Exp'!AL215+AJ215+AN215+AP215-'GV Fund BS'!S216</f>
        <v>0</v>
      </c>
      <c r="AS215" s="48"/>
    </row>
    <row r="216" spans="1:45" s="44" customFormat="1" ht="12.75" customHeight="1">
      <c r="A216" s="35" t="s">
        <v>245</v>
      </c>
      <c r="C216" s="35" t="s">
        <v>110</v>
      </c>
      <c r="E216" s="45">
        <v>4226187</v>
      </c>
      <c r="F216" s="48"/>
      <c r="G216" s="45">
        <v>6894728</v>
      </c>
      <c r="H216" s="48"/>
      <c r="I216" s="45">
        <v>433998</v>
      </c>
      <c r="J216" s="48"/>
      <c r="K216" s="45">
        <v>6618</v>
      </c>
      <c r="L216" s="48"/>
      <c r="M216" s="45">
        <v>1834258</v>
      </c>
      <c r="N216" s="48"/>
      <c r="O216" s="45">
        <v>419031</v>
      </c>
      <c r="P216" s="48"/>
      <c r="Q216" s="45">
        <f>5426+59260</f>
        <v>64686</v>
      </c>
      <c r="R216" s="48"/>
      <c r="S216" s="45">
        <v>1886524</v>
      </c>
      <c r="T216" s="48"/>
      <c r="U216" s="45">
        <v>0</v>
      </c>
      <c r="V216" s="48"/>
      <c r="W216" s="48"/>
      <c r="X216" s="35"/>
      <c r="Z216" s="35"/>
      <c r="AA216" s="35"/>
      <c r="AB216" s="45">
        <v>1605457</v>
      </c>
      <c r="AC216" s="107"/>
      <c r="AD216" s="45">
        <v>119902</v>
      </c>
      <c r="AE216" s="107"/>
      <c r="AF216" s="45">
        <v>0</v>
      </c>
      <c r="AG216" s="107"/>
      <c r="AH216" s="48">
        <f t="shared" si="8"/>
        <v>17491389</v>
      </c>
      <c r="AI216" s="48"/>
      <c r="AJ216" s="48">
        <v>0</v>
      </c>
      <c r="AK216" s="48"/>
      <c r="AL216" s="45">
        <v>1398620</v>
      </c>
      <c r="AM216" s="45"/>
      <c r="AN216" s="45">
        <v>4443900</v>
      </c>
      <c r="AO216" s="45"/>
      <c r="AP216" s="45">
        <v>18230</v>
      </c>
      <c r="AQ216" s="45"/>
      <c r="AR216" s="45">
        <f>+'GVFund Rev'!U216+'GVFund Rev'!W216-'GVFund Exp'!AH216-'GVFund Exp'!AL216+AJ216+AN216+AP216-'GV Fund BS'!S217</f>
        <v>0</v>
      </c>
      <c r="AS216" s="48"/>
    </row>
    <row r="217" spans="1:45" s="44" customFormat="1" ht="12.75" customHeight="1">
      <c r="A217" s="35" t="s">
        <v>246</v>
      </c>
      <c r="C217" s="35" t="s">
        <v>209</v>
      </c>
      <c r="E217" s="45">
        <v>1433994</v>
      </c>
      <c r="F217" s="48"/>
      <c r="G217" s="45">
        <v>2968982</v>
      </c>
      <c r="H217" s="48"/>
      <c r="I217" s="45">
        <v>246653</v>
      </c>
      <c r="J217" s="48"/>
      <c r="K217" s="45">
        <v>0</v>
      </c>
      <c r="L217" s="48"/>
      <c r="M217" s="45">
        <v>646218</v>
      </c>
      <c r="N217" s="48"/>
      <c r="O217" s="45">
        <v>851403</v>
      </c>
      <c r="P217" s="48"/>
      <c r="Q217" s="45">
        <v>234230</v>
      </c>
      <c r="R217" s="48"/>
      <c r="S217" s="45">
        <v>1928432</v>
      </c>
      <c r="T217" s="48"/>
      <c r="U217" s="45">
        <v>0</v>
      </c>
      <c r="V217" s="48"/>
      <c r="W217" s="48"/>
      <c r="X217" s="35"/>
      <c r="Z217" s="35"/>
      <c r="AA217" s="35"/>
      <c r="AB217" s="45">
        <v>857972</v>
      </c>
      <c r="AC217" s="107"/>
      <c r="AD217" s="45">
        <v>245371</v>
      </c>
      <c r="AE217" s="107"/>
      <c r="AF217" s="45">
        <v>0</v>
      </c>
      <c r="AG217" s="107"/>
      <c r="AH217" s="48">
        <f t="shared" si="8"/>
        <v>9413255</v>
      </c>
      <c r="AI217" s="48"/>
      <c r="AJ217" s="48">
        <v>0</v>
      </c>
      <c r="AK217" s="48"/>
      <c r="AL217" s="45">
        <v>1131342</v>
      </c>
      <c r="AM217" s="45"/>
      <c r="AN217" s="45">
        <v>4440860</v>
      </c>
      <c r="AO217" s="45"/>
      <c r="AP217" s="45">
        <v>46348</v>
      </c>
      <c r="AQ217" s="45"/>
      <c r="AR217" s="45">
        <f>+'GVFund Rev'!U217+'GVFund Rev'!W217-'GVFund Exp'!AH217-'GVFund Exp'!AL217+AJ217+AN217+AP217-'GV Fund BS'!S218</f>
        <v>0</v>
      </c>
      <c r="AS217" s="48"/>
    </row>
    <row r="218" spans="1:45" s="44" customFormat="1" ht="12.75" customHeight="1">
      <c r="A218" s="35" t="s">
        <v>247</v>
      </c>
      <c r="C218" s="35" t="s">
        <v>163</v>
      </c>
      <c r="E218" s="45">
        <v>18024000</v>
      </c>
      <c r="F218" s="48"/>
      <c r="G218" s="45">
        <v>155040000</v>
      </c>
      <c r="H218" s="48"/>
      <c r="I218" s="45">
        <v>18017000</v>
      </c>
      <c r="J218" s="48"/>
      <c r="K218" s="45">
        <v>16473000</v>
      </c>
      <c r="L218" s="48"/>
      <c r="M218" s="45">
        <v>35432000</v>
      </c>
      <c r="N218" s="48"/>
      <c r="O218" s="45">
        <v>2742000</v>
      </c>
      <c r="P218" s="48"/>
      <c r="Q218" s="45">
        <v>115000</v>
      </c>
      <c r="R218" s="48"/>
      <c r="S218" s="45">
        <v>50835000</v>
      </c>
      <c r="T218" s="48"/>
      <c r="U218" s="45">
        <v>0</v>
      </c>
      <c r="V218" s="48"/>
      <c r="W218" s="48"/>
      <c r="X218" s="35"/>
      <c r="Z218" s="35"/>
      <c r="AA218" s="35"/>
      <c r="AB218" s="45">
        <v>18903000</v>
      </c>
      <c r="AC218" s="107"/>
      <c r="AD218" s="45">
        <v>9620000</v>
      </c>
      <c r="AE218" s="107"/>
      <c r="AF218" s="45">
        <v>0</v>
      </c>
      <c r="AG218" s="107"/>
      <c r="AH218" s="48">
        <f t="shared" si="8"/>
        <v>325201000</v>
      </c>
      <c r="AI218" s="48"/>
      <c r="AJ218" s="48">
        <v>0</v>
      </c>
      <c r="AK218" s="48"/>
      <c r="AL218" s="45">
        <v>65903000</v>
      </c>
      <c r="AM218" s="45"/>
      <c r="AN218" s="45">
        <v>4876000</v>
      </c>
      <c r="AO218" s="45"/>
      <c r="AP218" s="45">
        <v>-10000</v>
      </c>
      <c r="AQ218" s="45"/>
      <c r="AR218" s="45">
        <f>+'GVFund Rev'!U218+'GVFund Rev'!W218-'GVFund Exp'!AH218-'GVFund Exp'!AL218+AJ218+AN218+AP218-'GV Fund BS'!S219</f>
        <v>0</v>
      </c>
      <c r="AS218" s="48"/>
    </row>
    <row r="219" spans="1:45" s="44" customFormat="1" ht="12.75" customHeight="1">
      <c r="A219" s="35" t="s">
        <v>248</v>
      </c>
      <c r="C219" s="35" t="s">
        <v>249</v>
      </c>
      <c r="E219" s="45">
        <v>467051</v>
      </c>
      <c r="F219" s="48"/>
      <c r="G219" s="45">
        <v>1657132</v>
      </c>
      <c r="H219" s="48"/>
      <c r="I219" s="45">
        <v>421240</v>
      </c>
      <c r="J219" s="48"/>
      <c r="K219" s="45">
        <v>18338</v>
      </c>
      <c r="L219" s="48"/>
      <c r="M219" s="45">
        <v>475122</v>
      </c>
      <c r="N219" s="48"/>
      <c r="O219" s="45">
        <v>134103</v>
      </c>
      <c r="P219" s="48"/>
      <c r="Q219" s="45">
        <v>0</v>
      </c>
      <c r="R219" s="48"/>
      <c r="S219" s="45">
        <v>828228</v>
      </c>
      <c r="T219" s="48"/>
      <c r="U219" s="45">
        <v>0</v>
      </c>
      <c r="V219" s="48"/>
      <c r="W219" s="48"/>
      <c r="X219" s="35"/>
      <c r="Z219" s="35"/>
      <c r="AA219" s="35"/>
      <c r="AB219" s="45">
        <v>96781</v>
      </c>
      <c r="AC219" s="107"/>
      <c r="AD219" s="45">
        <v>45493</v>
      </c>
      <c r="AE219" s="107"/>
      <c r="AF219" s="45">
        <v>0</v>
      </c>
      <c r="AG219" s="107"/>
      <c r="AH219" s="48">
        <f t="shared" si="8"/>
        <v>4143488</v>
      </c>
      <c r="AI219" s="48"/>
      <c r="AJ219" s="48">
        <v>0</v>
      </c>
      <c r="AK219" s="48"/>
      <c r="AL219" s="45">
        <v>1751896</v>
      </c>
      <c r="AM219" s="45"/>
      <c r="AN219" s="45">
        <v>2153525</v>
      </c>
      <c r="AO219" s="45"/>
      <c r="AP219" s="45">
        <v>0</v>
      </c>
      <c r="AQ219" s="45"/>
      <c r="AR219" s="45">
        <f>+'GVFund Rev'!U219+'GVFund Rev'!W219-'GVFund Exp'!AH219-'GVFund Exp'!AL219+AJ219+AN219+AP219-'GV Fund BS'!S220</f>
        <v>0</v>
      </c>
      <c r="AS219" s="48"/>
    </row>
    <row r="220" spans="1:45" s="46" customFormat="1" ht="12.75" customHeight="1">
      <c r="A220" s="35" t="s">
        <v>250</v>
      </c>
      <c r="B220" s="44"/>
      <c r="C220" s="35" t="s">
        <v>103</v>
      </c>
      <c r="D220" s="44"/>
      <c r="E220" s="45">
        <v>338571</v>
      </c>
      <c r="F220" s="48"/>
      <c r="G220" s="45">
        <v>2461131</v>
      </c>
      <c r="H220" s="48"/>
      <c r="I220" s="45">
        <v>158125</v>
      </c>
      <c r="J220" s="48"/>
      <c r="K220" s="45">
        <v>64535</v>
      </c>
      <c r="L220" s="48"/>
      <c r="M220" s="45">
        <v>446598</v>
      </c>
      <c r="N220" s="48"/>
      <c r="O220" s="45">
        <v>70289</v>
      </c>
      <c r="P220" s="48"/>
      <c r="Q220" s="45">
        <v>62082</v>
      </c>
      <c r="R220" s="48"/>
      <c r="S220" s="45">
        <v>295301</v>
      </c>
      <c r="T220" s="48"/>
      <c r="U220" s="45">
        <v>0</v>
      </c>
      <c r="V220" s="48"/>
      <c r="W220" s="48"/>
      <c r="X220" s="35"/>
      <c r="Y220" s="44"/>
      <c r="Z220" s="35"/>
      <c r="AA220" s="35"/>
      <c r="AB220" s="45">
        <v>97729</v>
      </c>
      <c r="AC220" s="107"/>
      <c r="AD220" s="45">
        <v>21358</v>
      </c>
      <c r="AE220" s="107"/>
      <c r="AF220" s="45">
        <v>0</v>
      </c>
      <c r="AG220" s="107"/>
      <c r="AH220" s="48">
        <f t="shared" si="8"/>
        <v>4015719</v>
      </c>
      <c r="AI220" s="48"/>
      <c r="AJ220" s="48">
        <v>0</v>
      </c>
      <c r="AK220" s="48"/>
      <c r="AL220" s="45">
        <v>571053</v>
      </c>
      <c r="AM220" s="45"/>
      <c r="AN220" s="45">
        <v>3002243</v>
      </c>
      <c r="AO220" s="45"/>
      <c r="AP220" s="45">
        <v>0</v>
      </c>
      <c r="AQ220" s="45"/>
      <c r="AR220" s="45">
        <f>+'GVFund Rev'!U220+'GVFund Rev'!W220-'GVFund Exp'!AH220-'GVFund Exp'!AL220+AJ220+AN220+AP220-'GV Fund BS'!S221</f>
        <v>0</v>
      </c>
      <c r="AS220" s="48"/>
    </row>
    <row r="221" spans="1:45" s="44" customFormat="1" ht="12.75" customHeight="1">
      <c r="A221" s="35" t="s">
        <v>251</v>
      </c>
      <c r="C221" s="35" t="s">
        <v>66</v>
      </c>
      <c r="E221" s="45">
        <v>2768203</v>
      </c>
      <c r="F221" s="48"/>
      <c r="G221" s="45">
        <v>9656271</v>
      </c>
      <c r="H221" s="48"/>
      <c r="I221" s="45">
        <v>1598660</v>
      </c>
      <c r="J221" s="48"/>
      <c r="K221" s="45">
        <v>0</v>
      </c>
      <c r="L221" s="48"/>
      <c r="M221" s="45">
        <v>1775955</v>
      </c>
      <c r="N221" s="48"/>
      <c r="O221" s="45">
        <v>396378</v>
      </c>
      <c r="P221" s="48"/>
      <c r="Q221" s="45">
        <v>0</v>
      </c>
      <c r="R221" s="48"/>
      <c r="S221" s="45">
        <v>3508994</v>
      </c>
      <c r="T221" s="48"/>
      <c r="U221" s="45">
        <v>0</v>
      </c>
      <c r="V221" s="48"/>
      <c r="W221" s="48"/>
      <c r="X221" s="35"/>
      <c r="Z221" s="35"/>
      <c r="AA221" s="35"/>
      <c r="AB221" s="45">
        <v>492860</v>
      </c>
      <c r="AC221" s="107"/>
      <c r="AD221" s="45">
        <v>858384</v>
      </c>
      <c r="AE221" s="107"/>
      <c r="AF221" s="45">
        <v>0</v>
      </c>
      <c r="AG221" s="107"/>
      <c r="AH221" s="48">
        <f t="shared" si="8"/>
        <v>21055705</v>
      </c>
      <c r="AI221" s="48"/>
      <c r="AJ221" s="48">
        <v>0</v>
      </c>
      <c r="AK221" s="48"/>
      <c r="AL221" s="45">
        <v>1067590</v>
      </c>
      <c r="AM221" s="45"/>
      <c r="AN221" s="45">
        <v>-6260552</v>
      </c>
      <c r="AO221" s="45"/>
      <c r="AP221" s="45">
        <v>0</v>
      </c>
      <c r="AQ221" s="45"/>
      <c r="AR221" s="45">
        <f>+'GVFund Rev'!U221+'GVFund Rev'!W221-'GVFund Exp'!AH221-'GVFund Exp'!AL221+AJ221+AN221+AP221-'GV Fund BS'!S222</f>
        <v>0</v>
      </c>
      <c r="AS221" s="48"/>
    </row>
    <row r="222" spans="1:45" s="44" customFormat="1" ht="12.75" customHeight="1">
      <c r="A222" s="35" t="s">
        <v>252</v>
      </c>
      <c r="C222" s="35" t="s">
        <v>209</v>
      </c>
      <c r="E222" s="45">
        <v>4159322</v>
      </c>
      <c r="F222" s="48"/>
      <c r="G222" s="45">
        <v>9140317</v>
      </c>
      <c r="H222" s="48"/>
      <c r="I222" s="45">
        <v>712348</v>
      </c>
      <c r="J222" s="48"/>
      <c r="K222" s="45">
        <v>432254</v>
      </c>
      <c r="L222" s="48"/>
      <c r="M222" s="45">
        <v>1834053</v>
      </c>
      <c r="N222" s="48"/>
      <c r="O222" s="45">
        <v>1508342</v>
      </c>
      <c r="P222" s="48"/>
      <c r="Q222" s="45">
        <v>1225369</v>
      </c>
      <c r="R222" s="48"/>
      <c r="S222" s="45">
        <v>887499</v>
      </c>
      <c r="T222" s="48"/>
      <c r="U222" s="45">
        <v>0</v>
      </c>
      <c r="V222" s="48"/>
      <c r="W222" s="48"/>
      <c r="X222" s="35"/>
      <c r="Z222" s="35"/>
      <c r="AA222" s="35"/>
      <c r="AB222" s="45">
        <v>510000</v>
      </c>
      <c r="AC222" s="107"/>
      <c r="AD222" s="45">
        <v>492630</v>
      </c>
      <c r="AE222" s="107"/>
      <c r="AF222" s="45">
        <v>0</v>
      </c>
      <c r="AG222" s="107"/>
      <c r="AH222" s="48">
        <f t="shared" si="8"/>
        <v>20902134</v>
      </c>
      <c r="AI222" s="48"/>
      <c r="AJ222" s="48">
        <v>0</v>
      </c>
      <c r="AK222" s="48"/>
      <c r="AL222" s="45">
        <v>4264304</v>
      </c>
      <c r="AM222" s="45"/>
      <c r="AN222" s="45">
        <v>48874613</v>
      </c>
      <c r="AO222" s="45"/>
      <c r="AP222" s="45">
        <v>0</v>
      </c>
      <c r="AQ222" s="45"/>
      <c r="AR222" s="45">
        <f>+'GVFund Rev'!U222+'GVFund Rev'!W222-'GVFund Exp'!AH222-'GVFund Exp'!AL222+AJ222+AN222+AP222-'GV Fund BS'!S223</f>
        <v>0</v>
      </c>
      <c r="AS222" s="48"/>
    </row>
    <row r="223" spans="1:45" s="44" customFormat="1" ht="12.75" customHeight="1">
      <c r="A223" s="35" t="s">
        <v>253</v>
      </c>
      <c r="C223" s="35" t="s">
        <v>13</v>
      </c>
      <c r="E223" s="45">
        <v>5217644</v>
      </c>
      <c r="F223" s="48"/>
      <c r="G223" s="45">
        <v>7280761</v>
      </c>
      <c r="H223" s="48"/>
      <c r="I223" s="45">
        <v>1085479</v>
      </c>
      <c r="J223" s="48"/>
      <c r="K223" s="45">
        <v>0</v>
      </c>
      <c r="L223" s="48"/>
      <c r="M223" s="45">
        <v>4386000</v>
      </c>
      <c r="N223" s="48"/>
      <c r="O223" s="45">
        <v>2172889</v>
      </c>
      <c r="P223" s="48"/>
      <c r="Q223" s="45">
        <v>166432</v>
      </c>
      <c r="R223" s="48"/>
      <c r="S223" s="45">
        <v>4206470</v>
      </c>
      <c r="T223" s="48"/>
      <c r="U223" s="45">
        <v>0</v>
      </c>
      <c r="V223" s="48"/>
      <c r="W223" s="48"/>
      <c r="X223" s="35"/>
      <c r="Z223" s="35"/>
      <c r="AA223" s="35"/>
      <c r="AB223" s="45">
        <v>981327</v>
      </c>
      <c r="AC223" s="107"/>
      <c r="AD223" s="45">
        <v>657110</v>
      </c>
      <c r="AE223" s="107"/>
      <c r="AF223" s="45">
        <v>0</v>
      </c>
      <c r="AG223" s="107"/>
      <c r="AH223" s="48">
        <f t="shared" si="8"/>
        <v>26154112</v>
      </c>
      <c r="AI223" s="48"/>
      <c r="AJ223" s="48">
        <v>0</v>
      </c>
      <c r="AK223" s="48"/>
      <c r="AL223" s="45">
        <v>1423145</v>
      </c>
      <c r="AM223" s="45"/>
      <c r="AN223" s="45">
        <v>19947458</v>
      </c>
      <c r="AO223" s="45"/>
      <c r="AP223" s="45">
        <v>0</v>
      </c>
      <c r="AQ223" s="45"/>
      <c r="AR223" s="45">
        <f>+'GVFund Rev'!U223+'GVFund Rev'!W223-'GVFund Exp'!AH223-'GVFund Exp'!AL223+AJ223+AN223+AP223-'GV Fund BS'!S224</f>
        <v>0</v>
      </c>
      <c r="AS223" s="48"/>
    </row>
    <row r="224" spans="1:45" s="46" customFormat="1" ht="12.75" customHeight="1">
      <c r="A224" s="35" t="s">
        <v>254</v>
      </c>
      <c r="B224" s="44"/>
      <c r="C224" s="35" t="s">
        <v>89</v>
      </c>
      <c r="D224" s="44"/>
      <c r="E224" s="45">
        <v>640983</v>
      </c>
      <c r="F224" s="48"/>
      <c r="G224" s="45">
        <v>1296798</v>
      </c>
      <c r="H224" s="48"/>
      <c r="I224" s="45">
        <v>328793</v>
      </c>
      <c r="J224" s="48"/>
      <c r="K224" s="45">
        <v>162146</v>
      </c>
      <c r="L224" s="48"/>
      <c r="M224" s="45">
        <v>323172</v>
      </c>
      <c r="N224" s="48"/>
      <c r="O224" s="45">
        <v>15604</v>
      </c>
      <c r="P224" s="48"/>
      <c r="Q224" s="45">
        <v>0</v>
      </c>
      <c r="R224" s="48"/>
      <c r="S224" s="45">
        <v>950991</v>
      </c>
      <c r="T224" s="48"/>
      <c r="U224" s="45">
        <v>0</v>
      </c>
      <c r="V224" s="48"/>
      <c r="W224" s="48"/>
      <c r="X224" s="35"/>
      <c r="Y224" s="44"/>
      <c r="Z224" s="35"/>
      <c r="AA224" s="35"/>
      <c r="AB224" s="45">
        <v>61505</v>
      </c>
      <c r="AC224" s="107"/>
      <c r="AD224" s="45">
        <v>117041</v>
      </c>
      <c r="AE224" s="107"/>
      <c r="AF224" s="45">
        <v>0</v>
      </c>
      <c r="AG224" s="107"/>
      <c r="AH224" s="48">
        <f t="shared" si="8"/>
        <v>3897033</v>
      </c>
      <c r="AI224" s="48"/>
      <c r="AJ224" s="48">
        <v>0</v>
      </c>
      <c r="AK224" s="48"/>
      <c r="AL224" s="45">
        <v>164830</v>
      </c>
      <c r="AM224" s="45"/>
      <c r="AN224" s="45">
        <v>2446354</v>
      </c>
      <c r="AO224" s="45"/>
      <c r="AP224" s="45">
        <v>0</v>
      </c>
      <c r="AQ224" s="45"/>
      <c r="AR224" s="45">
        <f>+'GVFund Rev'!U224+'GVFund Rev'!W224-'GVFund Exp'!AH224-'GVFund Exp'!AL224+AJ224+AN224+AP224-'GV Fund BS'!S225</f>
        <v>0</v>
      </c>
      <c r="AS224" s="48"/>
    </row>
    <row r="225" spans="1:46" s="44" customFormat="1" ht="12.75" customHeight="1">
      <c r="A225" s="35" t="s">
        <v>159</v>
      </c>
      <c r="C225" s="35" t="s">
        <v>66</v>
      </c>
      <c r="E225" s="45">
        <v>642066</v>
      </c>
      <c r="F225" s="48"/>
      <c r="G225" s="45">
        <v>1694249</v>
      </c>
      <c r="H225" s="48"/>
      <c r="I225" s="45">
        <v>402397</v>
      </c>
      <c r="J225" s="48"/>
      <c r="K225" s="45">
        <v>14402</v>
      </c>
      <c r="L225" s="48"/>
      <c r="M225" s="45">
        <v>577857</v>
      </c>
      <c r="N225" s="48"/>
      <c r="O225" s="45">
        <v>67146</v>
      </c>
      <c r="P225" s="48"/>
      <c r="Q225" s="45">
        <v>0</v>
      </c>
      <c r="R225" s="48"/>
      <c r="S225" s="45">
        <v>1106526</v>
      </c>
      <c r="T225" s="48"/>
      <c r="U225" s="45">
        <v>0</v>
      </c>
      <c r="V225" s="48"/>
      <c r="W225" s="48"/>
      <c r="X225" s="35"/>
      <c r="Z225" s="35"/>
      <c r="AA225" s="35"/>
      <c r="AB225" s="45">
        <v>131387</v>
      </c>
      <c r="AC225" s="107"/>
      <c r="AD225" s="45">
        <v>67376</v>
      </c>
      <c r="AE225" s="107"/>
      <c r="AF225" s="45">
        <v>0</v>
      </c>
      <c r="AG225" s="107"/>
      <c r="AH225" s="48">
        <f t="shared" si="8"/>
        <v>4703406</v>
      </c>
      <c r="AI225" s="48"/>
      <c r="AJ225" s="48">
        <v>0</v>
      </c>
      <c r="AK225" s="48"/>
      <c r="AL225" s="45">
        <v>177677</v>
      </c>
      <c r="AM225" s="45"/>
      <c r="AN225" s="45">
        <v>1837598</v>
      </c>
      <c r="AO225" s="45"/>
      <c r="AP225" s="45">
        <v>0</v>
      </c>
      <c r="AQ225" s="45"/>
      <c r="AR225" s="45">
        <f>+'GVFund Rev'!U225+'GVFund Rev'!W225-'GVFund Exp'!AH225-'GVFund Exp'!AL225+AJ225+AN225+AP225-'GV Fund BS'!S226</f>
        <v>0</v>
      </c>
      <c r="AS225" s="48"/>
    </row>
    <row r="226" spans="1:46" s="44" customFormat="1" ht="12.75" customHeight="1">
      <c r="A226" s="35" t="s">
        <v>255</v>
      </c>
      <c r="C226" s="35" t="s">
        <v>27</v>
      </c>
      <c r="E226" s="45">
        <v>1553090</v>
      </c>
      <c r="F226" s="48"/>
      <c r="G226" s="45">
        <v>7496769</v>
      </c>
      <c r="H226" s="48"/>
      <c r="I226" s="45">
        <v>5074600</v>
      </c>
      <c r="J226" s="48"/>
      <c r="K226" s="45">
        <v>52340</v>
      </c>
      <c r="L226" s="48"/>
      <c r="M226" s="45">
        <v>1385671</v>
      </c>
      <c r="N226" s="48"/>
      <c r="O226" s="45">
        <v>372523</v>
      </c>
      <c r="P226" s="48"/>
      <c r="Q226" s="45">
        <v>4072125</v>
      </c>
      <c r="R226" s="48"/>
      <c r="S226" s="45">
        <v>154070</v>
      </c>
      <c r="T226" s="48"/>
      <c r="U226" s="45">
        <v>0</v>
      </c>
      <c r="V226" s="48"/>
      <c r="W226" s="48"/>
      <c r="X226" s="35"/>
      <c r="Z226" s="35"/>
      <c r="AA226" s="35"/>
      <c r="AB226" s="45">
        <v>3250112</v>
      </c>
      <c r="AC226" s="107"/>
      <c r="AD226" s="45">
        <v>146635</v>
      </c>
      <c r="AE226" s="107"/>
      <c r="AF226" s="45">
        <v>0</v>
      </c>
      <c r="AG226" s="107"/>
      <c r="AH226" s="48">
        <f t="shared" si="8"/>
        <v>23557935</v>
      </c>
      <c r="AI226" s="48"/>
      <c r="AJ226" s="48">
        <v>0</v>
      </c>
      <c r="AK226" s="48"/>
      <c r="AL226" s="45">
        <v>4401917</v>
      </c>
      <c r="AM226" s="45"/>
      <c r="AN226" s="45">
        <v>2781940</v>
      </c>
      <c r="AO226" s="45"/>
      <c r="AP226" s="45">
        <v>0</v>
      </c>
      <c r="AQ226" s="45"/>
      <c r="AR226" s="45">
        <f>+'GVFund Rev'!U226+'GVFund Rev'!W226-'GVFund Exp'!AH226-'GVFund Exp'!AL226+AJ226+AN226+AP226-'GV Fund BS'!S227</f>
        <v>0</v>
      </c>
      <c r="AS226" s="159"/>
      <c r="AT226" s="159"/>
    </row>
    <row r="227" spans="1:46" s="44" customFormat="1" ht="12.75" customHeight="1">
      <c r="A227" s="35" t="s">
        <v>256</v>
      </c>
      <c r="C227" s="35" t="s">
        <v>43</v>
      </c>
      <c r="E227" s="45">
        <v>7938975</v>
      </c>
      <c r="F227" s="48"/>
      <c r="G227" s="45">
        <v>16251743</v>
      </c>
      <c r="H227" s="48"/>
      <c r="I227" s="45">
        <v>975685</v>
      </c>
      <c r="J227" s="48"/>
      <c r="K227" s="45">
        <v>0</v>
      </c>
      <c r="L227" s="48"/>
      <c r="M227" s="45">
        <v>2892438</v>
      </c>
      <c r="N227" s="48"/>
      <c r="O227" s="45">
        <v>3149290</v>
      </c>
      <c r="P227" s="48"/>
      <c r="Q227" s="45">
        <v>0</v>
      </c>
      <c r="R227" s="48"/>
      <c r="S227" s="45">
        <v>13600815</v>
      </c>
      <c r="T227" s="48"/>
      <c r="U227" s="45">
        <v>0</v>
      </c>
      <c r="V227" s="48"/>
      <c r="W227" s="48"/>
      <c r="X227" s="35"/>
      <c r="Z227" s="35"/>
      <c r="AA227" s="35"/>
      <c r="AB227" s="45">
        <v>1486846</v>
      </c>
      <c r="AC227" s="107"/>
      <c r="AD227" s="45">
        <v>1176753</v>
      </c>
      <c r="AE227" s="107"/>
      <c r="AF227" s="45">
        <v>234635</v>
      </c>
      <c r="AG227" s="107"/>
      <c r="AH227" s="48">
        <f t="shared" si="8"/>
        <v>47707180</v>
      </c>
      <c r="AI227" s="48"/>
      <c r="AJ227" s="48">
        <v>0</v>
      </c>
      <c r="AK227" s="48"/>
      <c r="AL227" s="45">
        <f>5983089+7058022</f>
        <v>13041111</v>
      </c>
      <c r="AM227" s="45"/>
      <c r="AN227" s="45">
        <v>49359769</v>
      </c>
      <c r="AO227" s="45"/>
      <c r="AP227" s="45">
        <v>0</v>
      </c>
      <c r="AQ227" s="45"/>
      <c r="AR227" s="45">
        <f>+'GVFund Rev'!U227+'GVFund Rev'!W227-'GVFund Exp'!AH227-'GVFund Exp'!AL227+AJ227+AN227+AP227-'GV Fund BS'!S228</f>
        <v>0</v>
      </c>
      <c r="AS227" s="48"/>
    </row>
    <row r="228" spans="1:46" s="44" customFormat="1" ht="12.75" customHeight="1">
      <c r="A228" s="35" t="s">
        <v>257</v>
      </c>
      <c r="C228" s="35" t="s">
        <v>258</v>
      </c>
      <c r="E228" s="45">
        <f>494481+698280</f>
        <v>1192761</v>
      </c>
      <c r="F228" s="48"/>
      <c r="G228" s="45">
        <v>1709772</v>
      </c>
      <c r="H228" s="48"/>
      <c r="I228" s="45">
        <v>105272</v>
      </c>
      <c r="J228" s="48"/>
      <c r="K228" s="45">
        <v>41819</v>
      </c>
      <c r="L228" s="48"/>
      <c r="M228" s="45">
        <v>825575</v>
      </c>
      <c r="N228" s="48"/>
      <c r="O228" s="45">
        <v>355820</v>
      </c>
      <c r="P228" s="48"/>
      <c r="Q228" s="45">
        <v>8029</v>
      </c>
      <c r="R228" s="48"/>
      <c r="S228" s="45">
        <v>0</v>
      </c>
      <c r="T228" s="48"/>
      <c r="U228" s="45">
        <v>0</v>
      </c>
      <c r="V228" s="48"/>
      <c r="W228" s="48"/>
      <c r="X228" s="35"/>
      <c r="Z228" s="35"/>
      <c r="AA228" s="35"/>
      <c r="AB228" s="45">
        <v>486160</v>
      </c>
      <c r="AC228" s="107"/>
      <c r="AD228" s="45">
        <v>275823</v>
      </c>
      <c r="AE228" s="107"/>
      <c r="AF228" s="45">
        <v>0</v>
      </c>
      <c r="AG228" s="107"/>
      <c r="AH228" s="48">
        <f t="shared" si="8"/>
        <v>5001031</v>
      </c>
      <c r="AI228" s="48"/>
      <c r="AJ228" s="48">
        <v>0</v>
      </c>
      <c r="AK228" s="48"/>
      <c r="AL228" s="45">
        <v>882410</v>
      </c>
      <c r="AM228" s="45"/>
      <c r="AN228" s="45">
        <v>1027393</v>
      </c>
      <c r="AO228" s="45"/>
      <c r="AP228" s="45">
        <v>10188</v>
      </c>
      <c r="AQ228" s="45"/>
      <c r="AR228" s="45">
        <f>+'GVFund Rev'!U228+'GVFund Rev'!W228-'GVFund Exp'!AH228-'GVFund Exp'!AL228+AJ228+AN228+AP228-'GV Fund BS'!S229</f>
        <v>0</v>
      </c>
      <c r="AS228" s="48"/>
    </row>
    <row r="229" spans="1:46" s="44" customFormat="1" ht="12.75" customHeight="1">
      <c r="A229" s="35" t="s">
        <v>259</v>
      </c>
      <c r="C229" s="35" t="s">
        <v>346</v>
      </c>
      <c r="E229" s="45">
        <v>1983213</v>
      </c>
      <c r="F229" s="48"/>
      <c r="G229" s="45">
        <v>4963361</v>
      </c>
      <c r="H229" s="48"/>
      <c r="I229" s="45">
        <v>365117</v>
      </c>
      <c r="J229" s="48"/>
      <c r="K229" s="45">
        <v>239202</v>
      </c>
      <c r="L229" s="48"/>
      <c r="M229" s="45">
        <v>1234030</v>
      </c>
      <c r="N229" s="48"/>
      <c r="O229" s="45">
        <v>346525</v>
      </c>
      <c r="P229" s="48"/>
      <c r="Q229" s="45">
        <v>0</v>
      </c>
      <c r="R229" s="48"/>
      <c r="S229" s="45">
        <v>3129412</v>
      </c>
      <c r="T229" s="48"/>
      <c r="U229" s="45">
        <v>0</v>
      </c>
      <c r="V229" s="48"/>
      <c r="W229" s="48"/>
      <c r="X229" s="35"/>
      <c r="Z229" s="35"/>
      <c r="AA229" s="35"/>
      <c r="AB229" s="45">
        <v>444635</v>
      </c>
      <c r="AC229" s="107"/>
      <c r="AD229" s="45">
        <v>138800</v>
      </c>
      <c r="AE229" s="107"/>
      <c r="AF229" s="45">
        <v>0</v>
      </c>
      <c r="AG229" s="107"/>
      <c r="AH229" s="48">
        <f t="shared" si="8"/>
        <v>12844295</v>
      </c>
      <c r="AI229" s="48"/>
      <c r="AJ229" s="48">
        <v>0</v>
      </c>
      <c r="AK229" s="48"/>
      <c r="AL229" s="45">
        <v>293870</v>
      </c>
      <c r="AM229" s="45"/>
      <c r="AN229" s="45">
        <v>4794726</v>
      </c>
      <c r="AO229" s="45"/>
      <c r="AP229" s="45">
        <v>0</v>
      </c>
      <c r="AQ229" s="45"/>
      <c r="AR229" s="45">
        <f>+'GVFund Rev'!U229+'GVFund Rev'!W229-'GVFund Exp'!AH229-'GVFund Exp'!AL229+AJ229+AN229+AP229-'GV Fund BS'!S230</f>
        <v>0</v>
      </c>
      <c r="AS229" s="48"/>
    </row>
    <row r="230" spans="1:46" s="44" customFormat="1" ht="12.75" customHeight="1">
      <c r="A230" s="35" t="s">
        <v>261</v>
      </c>
      <c r="C230" s="35" t="s">
        <v>66</v>
      </c>
      <c r="E230" s="45">
        <f>5343394+2038238</f>
        <v>7381632</v>
      </c>
      <c r="F230" s="48"/>
      <c r="G230" s="45">
        <f>4274320+1831590</f>
        <v>6105910</v>
      </c>
      <c r="H230" s="48"/>
      <c r="I230" s="45">
        <v>0</v>
      </c>
      <c r="J230" s="48"/>
      <c r="K230" s="45">
        <v>866058</v>
      </c>
      <c r="L230" s="48"/>
      <c r="M230" s="45">
        <f>1238476+2773415</f>
        <v>4011891</v>
      </c>
      <c r="N230" s="48"/>
      <c r="O230" s="45">
        <v>3558865</v>
      </c>
      <c r="P230" s="48"/>
      <c r="Q230" s="45">
        <v>0</v>
      </c>
      <c r="R230" s="48"/>
      <c r="S230" s="45">
        <v>4477252</v>
      </c>
      <c r="T230" s="48"/>
      <c r="U230" s="45">
        <v>0</v>
      </c>
      <c r="V230" s="48"/>
      <c r="W230" s="48"/>
      <c r="X230" s="35"/>
      <c r="Z230" s="35"/>
      <c r="AA230" s="35"/>
      <c r="AB230" s="45">
        <v>1011352</v>
      </c>
      <c r="AC230" s="107"/>
      <c r="AD230" s="45">
        <v>635638</v>
      </c>
      <c r="AE230" s="107"/>
      <c r="AF230" s="45">
        <v>97735</v>
      </c>
      <c r="AG230" s="107"/>
      <c r="AH230" s="48">
        <f t="shared" si="8"/>
        <v>28146333</v>
      </c>
      <c r="AI230" s="48"/>
      <c r="AJ230" s="48">
        <v>0</v>
      </c>
      <c r="AK230" s="48"/>
      <c r="AL230" s="45">
        <v>6841691</v>
      </c>
      <c r="AM230" s="45"/>
      <c r="AN230" s="45">
        <v>24868990</v>
      </c>
      <c r="AO230" s="45"/>
      <c r="AP230" s="45">
        <v>0</v>
      </c>
      <c r="AQ230" s="45"/>
      <c r="AR230" s="45">
        <f>+'GVFund Rev'!U230+'GVFund Rev'!W230-'GVFund Exp'!AH230-'GVFund Exp'!AL230+AJ230+AN230+AP230-'GV Fund BS'!S231</f>
        <v>0</v>
      </c>
      <c r="AS230" s="48"/>
    </row>
    <row r="231" spans="1:46" s="44" customFormat="1" ht="12.75" customHeight="1">
      <c r="A231" s="35" t="s">
        <v>262</v>
      </c>
      <c r="C231" s="35" t="s">
        <v>132</v>
      </c>
      <c r="E231" s="45">
        <v>2328562</v>
      </c>
      <c r="F231" s="48"/>
      <c r="G231" s="45">
        <f>2253255+368661</f>
        <v>2621916</v>
      </c>
      <c r="H231" s="48"/>
      <c r="I231" s="45">
        <v>220403</v>
      </c>
      <c r="J231" s="48"/>
      <c r="K231" s="45">
        <v>111270</v>
      </c>
      <c r="L231" s="48"/>
      <c r="M231" s="45">
        <v>2113069</v>
      </c>
      <c r="N231" s="48"/>
      <c r="O231" s="45">
        <v>267524</v>
      </c>
      <c r="P231" s="48"/>
      <c r="Q231" s="45">
        <v>1255845</v>
      </c>
      <c r="R231" s="48"/>
      <c r="S231" s="45">
        <v>696941</v>
      </c>
      <c r="T231" s="48"/>
      <c r="U231" s="45">
        <v>0</v>
      </c>
      <c r="V231" s="48"/>
      <c r="W231" s="48"/>
      <c r="X231" s="35"/>
      <c r="Z231" s="35"/>
      <c r="AA231" s="35"/>
      <c r="AB231" s="45">
        <v>2500976</v>
      </c>
      <c r="AC231" s="107"/>
      <c r="AD231" s="45">
        <v>213601</v>
      </c>
      <c r="AE231" s="107"/>
      <c r="AF231" s="45">
        <v>12233</v>
      </c>
      <c r="AG231" s="107"/>
      <c r="AH231" s="48">
        <f t="shared" si="8"/>
        <v>12342340</v>
      </c>
      <c r="AI231" s="48"/>
      <c r="AJ231" s="48">
        <v>0</v>
      </c>
      <c r="AK231" s="48"/>
      <c r="AL231" s="45">
        <v>1580700</v>
      </c>
      <c r="AM231" s="45"/>
      <c r="AN231" s="45">
        <v>5374509</v>
      </c>
      <c r="AO231" s="45"/>
      <c r="AP231" s="45">
        <v>0</v>
      </c>
      <c r="AQ231" s="45"/>
      <c r="AR231" s="45">
        <f>+'GVFund Rev'!U231+'GVFund Rev'!W231-'GVFund Exp'!AH231-'GVFund Exp'!AL231+AJ231+AN231+AP231-'GV Fund BS'!S232</f>
        <v>0</v>
      </c>
      <c r="AS231" s="48"/>
    </row>
    <row r="232" spans="1:46" s="44" customFormat="1" ht="12.75" customHeight="1">
      <c r="A232" s="35" t="s">
        <v>263</v>
      </c>
      <c r="C232" s="35" t="s">
        <v>53</v>
      </c>
      <c r="E232" s="45">
        <v>5215166</v>
      </c>
      <c r="F232" s="48"/>
      <c r="G232" s="45">
        <v>5418631</v>
      </c>
      <c r="H232" s="48"/>
      <c r="I232" s="45">
        <v>606807</v>
      </c>
      <c r="J232" s="48"/>
      <c r="K232" s="45">
        <v>83021</v>
      </c>
      <c r="L232" s="48"/>
      <c r="M232" s="45">
        <v>2000080</v>
      </c>
      <c r="N232" s="48"/>
      <c r="O232" s="45">
        <v>1855581</v>
      </c>
      <c r="P232" s="48"/>
      <c r="Q232" s="45">
        <v>4636</v>
      </c>
      <c r="R232" s="48"/>
      <c r="S232" s="45">
        <v>2417711</v>
      </c>
      <c r="T232" s="48"/>
      <c r="U232" s="45">
        <v>0</v>
      </c>
      <c r="V232" s="48"/>
      <c r="W232" s="48"/>
      <c r="X232" s="35"/>
      <c r="Z232" s="35"/>
      <c r="AA232" s="35"/>
      <c r="AB232" s="45">
        <v>372072</v>
      </c>
      <c r="AC232" s="107"/>
      <c r="AD232" s="45">
        <v>137073</v>
      </c>
      <c r="AE232" s="107"/>
      <c r="AF232" s="45">
        <v>53149</v>
      </c>
      <c r="AG232" s="107"/>
      <c r="AH232" s="48">
        <f t="shared" si="8"/>
        <v>18163927</v>
      </c>
      <c r="AI232" s="48"/>
      <c r="AJ232" s="48">
        <v>0</v>
      </c>
      <c r="AK232" s="48"/>
      <c r="AL232" s="45">
        <v>7339800</v>
      </c>
      <c r="AM232" s="45"/>
      <c r="AN232" s="45">
        <v>13237587</v>
      </c>
      <c r="AO232" s="45"/>
      <c r="AP232" s="45">
        <v>0</v>
      </c>
      <c r="AQ232" s="45"/>
      <c r="AR232" s="45">
        <f>+'GVFund Rev'!U232+'GVFund Rev'!W232-'GVFund Exp'!AH232-'GVFund Exp'!AL232+AJ232+AN232+AP232-'GV Fund BS'!S233</f>
        <v>0</v>
      </c>
      <c r="AS232" s="48"/>
    </row>
    <row r="233" spans="1:46" s="44" customFormat="1" ht="12.75" customHeight="1">
      <c r="A233" s="35" t="s">
        <v>264</v>
      </c>
      <c r="C233" s="35" t="s">
        <v>239</v>
      </c>
      <c r="E233" s="45">
        <v>679793</v>
      </c>
      <c r="F233" s="48"/>
      <c r="G233" s="45">
        <f>1498398+1771274+14842</f>
        <v>3284514</v>
      </c>
      <c r="H233" s="48"/>
      <c r="I233" s="45">
        <v>136721</v>
      </c>
      <c r="J233" s="48"/>
      <c r="K233" s="45">
        <v>171546</v>
      </c>
      <c r="L233" s="48"/>
      <c r="M233" s="45">
        <v>1651528</v>
      </c>
      <c r="N233" s="48"/>
      <c r="O233" s="45">
        <v>425862</v>
      </c>
      <c r="P233" s="48"/>
      <c r="Q233" s="45">
        <v>0</v>
      </c>
      <c r="R233" s="48"/>
      <c r="S233" s="45">
        <v>0</v>
      </c>
      <c r="T233" s="48"/>
      <c r="U233" s="45">
        <v>0</v>
      </c>
      <c r="V233" s="48"/>
      <c r="W233" s="48"/>
      <c r="X233" s="35"/>
      <c r="Z233" s="35"/>
      <c r="AA233" s="35"/>
      <c r="AB233" s="45">
        <v>358346</v>
      </c>
      <c r="AC233" s="107"/>
      <c r="AD233" s="45">
        <v>74109</v>
      </c>
      <c r="AE233" s="107"/>
      <c r="AF233" s="45">
        <v>0</v>
      </c>
      <c r="AG233" s="107"/>
      <c r="AH233" s="48">
        <f t="shared" si="8"/>
        <v>6782419</v>
      </c>
      <c r="AI233" s="48"/>
      <c r="AJ233" s="48">
        <v>0</v>
      </c>
      <c r="AK233" s="48"/>
      <c r="AL233" s="45">
        <v>1325000</v>
      </c>
      <c r="AM233" s="45"/>
      <c r="AN233" s="45">
        <v>7414084</v>
      </c>
      <c r="AO233" s="45"/>
      <c r="AP233" s="45">
        <v>0</v>
      </c>
      <c r="AQ233" s="45"/>
      <c r="AR233" s="45">
        <f>+'GVFund Rev'!U233+'GVFund Rev'!W233-'GVFund Exp'!AH233-'GVFund Exp'!AL233+AJ233+AN233+AP233-'GV Fund BS'!S234</f>
        <v>0</v>
      </c>
      <c r="AS233" s="48"/>
    </row>
    <row r="234" spans="1:46" s="44" customFormat="1" ht="12.75" customHeight="1">
      <c r="A234" s="35" t="s">
        <v>111</v>
      </c>
      <c r="C234" s="44" t="s">
        <v>80</v>
      </c>
      <c r="E234" s="45">
        <v>7313305</v>
      </c>
      <c r="F234" s="48"/>
      <c r="G234" s="45">
        <v>15187309</v>
      </c>
      <c r="H234" s="48"/>
      <c r="I234" s="45">
        <f>1761935+3082605</f>
        <v>4844540</v>
      </c>
      <c r="J234" s="48"/>
      <c r="K234" s="45">
        <v>585216</v>
      </c>
      <c r="L234" s="48"/>
      <c r="M234" s="45">
        <v>1640909</v>
      </c>
      <c r="N234" s="48"/>
      <c r="O234" s="45">
        <v>491804</v>
      </c>
      <c r="P234" s="48"/>
      <c r="Q234" s="45">
        <v>0</v>
      </c>
      <c r="R234" s="48"/>
      <c r="S234" s="45">
        <v>3920919</v>
      </c>
      <c r="T234" s="48"/>
      <c r="U234" s="45">
        <v>0</v>
      </c>
      <c r="V234" s="48"/>
      <c r="W234" s="48"/>
      <c r="X234" s="35"/>
      <c r="Z234" s="35"/>
      <c r="AA234" s="35"/>
      <c r="AB234" s="45">
        <v>1530310</v>
      </c>
      <c r="AC234" s="107"/>
      <c r="AD234" s="45">
        <v>534299</v>
      </c>
      <c r="AE234" s="107"/>
      <c r="AF234" s="45">
        <v>0</v>
      </c>
      <c r="AG234" s="107"/>
      <c r="AH234" s="48">
        <f t="shared" si="8"/>
        <v>36048611</v>
      </c>
      <c r="AI234" s="48"/>
      <c r="AJ234" s="48">
        <v>0</v>
      </c>
      <c r="AK234" s="48"/>
      <c r="AL234" s="45">
        <v>1525959</v>
      </c>
      <c r="AM234" s="45"/>
      <c r="AN234" s="45">
        <v>13718730</v>
      </c>
      <c r="AO234" s="45"/>
      <c r="AP234" s="45">
        <v>0</v>
      </c>
      <c r="AQ234" s="45"/>
      <c r="AR234" s="45">
        <f>+'GVFund Rev'!U235+'GVFund Rev'!W235-'GVFund Exp'!AH234-'GVFund Exp'!AL234+AJ234+AN234+AP234-'GV Fund BS'!S235</f>
        <v>0</v>
      </c>
      <c r="AS234" s="48"/>
    </row>
    <row r="235" spans="1:46" s="44" customFormat="1" ht="12.75" customHeight="1">
      <c r="A235" s="35" t="s">
        <v>265</v>
      </c>
      <c r="C235" s="44" t="s">
        <v>27</v>
      </c>
      <c r="E235" s="45">
        <v>2781768</v>
      </c>
      <c r="F235" s="48"/>
      <c r="G235" s="45">
        <f>5021806+4171519</f>
        <v>9193325</v>
      </c>
      <c r="H235" s="48"/>
      <c r="I235" s="45">
        <v>952870</v>
      </c>
      <c r="J235" s="48"/>
      <c r="K235" s="45">
        <v>55903</v>
      </c>
      <c r="L235" s="48"/>
      <c r="M235" s="45">
        <v>1924261</v>
      </c>
      <c r="N235" s="48"/>
      <c r="O235" s="45">
        <v>288646</v>
      </c>
      <c r="P235" s="48"/>
      <c r="Q235" s="45">
        <v>1310451</v>
      </c>
      <c r="R235" s="48"/>
      <c r="S235" s="45">
        <v>392590</v>
      </c>
      <c r="T235" s="48"/>
      <c r="U235" s="45">
        <v>0</v>
      </c>
      <c r="V235" s="48"/>
      <c r="W235" s="48"/>
      <c r="X235" s="35"/>
      <c r="Z235" s="35"/>
      <c r="AA235" s="35"/>
      <c r="AB235" s="45">
        <v>740000</v>
      </c>
      <c r="AC235" s="107"/>
      <c r="AD235" s="45">
        <v>508062</v>
      </c>
      <c r="AE235" s="107"/>
      <c r="AF235" s="45">
        <v>0</v>
      </c>
      <c r="AG235" s="107"/>
      <c r="AH235" s="48">
        <f t="shared" si="8"/>
        <v>18147876</v>
      </c>
      <c r="AI235" s="48"/>
      <c r="AJ235" s="48">
        <v>0</v>
      </c>
      <c r="AK235" s="48"/>
      <c r="AL235" s="45">
        <f>8818000+173704</f>
        <v>8991704</v>
      </c>
      <c r="AM235" s="45"/>
      <c r="AN235" s="45">
        <v>-3341784</v>
      </c>
      <c r="AO235" s="45"/>
      <c r="AP235" s="45">
        <v>0</v>
      </c>
      <c r="AQ235" s="45"/>
      <c r="AR235" s="45">
        <f>+'GVFund Rev'!U236+'GVFund Rev'!W236-'GVFund Exp'!AH235-'GVFund Exp'!AL235+AJ235+AN235+AP235-'GV Fund BS'!S236</f>
        <v>0</v>
      </c>
      <c r="AS235" s="48"/>
    </row>
    <row r="236" spans="1:46" s="44" customFormat="1" ht="12.75" customHeight="1">
      <c r="A236" s="35" t="s">
        <v>40</v>
      </c>
      <c r="C236" s="47" t="s">
        <v>451</v>
      </c>
      <c r="E236" s="45">
        <v>2818769</v>
      </c>
      <c r="F236" s="48"/>
      <c r="G236" s="45">
        <v>4014987</v>
      </c>
      <c r="H236" s="48"/>
      <c r="I236" s="45">
        <v>1506198</v>
      </c>
      <c r="J236" s="48"/>
      <c r="K236" s="45">
        <v>293937</v>
      </c>
      <c r="L236" s="48"/>
      <c r="M236" s="45">
        <v>891104</v>
      </c>
      <c r="N236" s="48"/>
      <c r="O236" s="45">
        <v>65096</v>
      </c>
      <c r="P236" s="48"/>
      <c r="Q236" s="45">
        <v>0</v>
      </c>
      <c r="R236" s="48"/>
      <c r="S236" s="45">
        <v>5402958</v>
      </c>
      <c r="T236" s="48"/>
      <c r="U236" s="45">
        <v>0</v>
      </c>
      <c r="V236" s="48"/>
      <c r="W236" s="48"/>
      <c r="X236" s="35"/>
      <c r="Z236" s="35"/>
      <c r="AA236" s="35"/>
      <c r="AB236" s="45">
        <v>525455</v>
      </c>
      <c r="AC236" s="107"/>
      <c r="AD236" s="45">
        <v>637054</v>
      </c>
      <c r="AE236" s="107"/>
      <c r="AF236" s="45">
        <v>0</v>
      </c>
      <c r="AG236" s="107"/>
      <c r="AH236" s="48">
        <f t="shared" si="8"/>
        <v>16155558</v>
      </c>
      <c r="AI236" s="48"/>
      <c r="AJ236" s="48">
        <v>0</v>
      </c>
      <c r="AK236" s="48"/>
      <c r="AL236" s="45">
        <v>187500</v>
      </c>
      <c r="AM236" s="45"/>
      <c r="AN236" s="45">
        <v>8426030</v>
      </c>
      <c r="AO236" s="45"/>
      <c r="AP236" s="45">
        <v>0</v>
      </c>
      <c r="AQ236" s="45"/>
      <c r="AR236" s="45">
        <f>+'GVFund Rev'!U237+'GVFund Rev'!W237-'GVFund Exp'!AH236-'GVFund Exp'!AL236+AJ236+AN236+AP236-'GV Fund BS'!S237</f>
        <v>0</v>
      </c>
      <c r="AS236" s="48"/>
    </row>
    <row r="237" spans="1:46" s="44" customFormat="1" ht="12.75" customHeight="1">
      <c r="A237" s="64"/>
      <c r="B237" s="46"/>
      <c r="C237" s="64"/>
      <c r="D237" s="46"/>
      <c r="E237" s="45"/>
      <c r="F237" s="48"/>
      <c r="G237" s="45"/>
      <c r="H237" s="48"/>
      <c r="I237" s="45"/>
      <c r="J237" s="48"/>
      <c r="K237" s="45"/>
      <c r="L237" s="48"/>
      <c r="M237" s="45"/>
      <c r="N237" s="48"/>
      <c r="O237" s="45"/>
      <c r="P237" s="48"/>
      <c r="Q237" s="45"/>
      <c r="R237" s="48"/>
      <c r="S237" s="45"/>
      <c r="T237" s="48"/>
      <c r="U237" s="45"/>
      <c r="V237" s="48"/>
      <c r="W237" s="48"/>
      <c r="X237" s="35"/>
      <c r="Z237" s="35"/>
      <c r="AA237" s="35"/>
      <c r="AB237" s="45"/>
      <c r="AC237" s="65"/>
      <c r="AD237" s="45"/>
      <c r="AE237" s="65"/>
      <c r="AF237" s="45"/>
      <c r="AG237" s="65"/>
      <c r="AH237" s="48"/>
      <c r="AI237" s="48"/>
      <c r="AJ237" s="48"/>
      <c r="AK237" s="48"/>
      <c r="AL237" s="48" t="s">
        <v>484</v>
      </c>
      <c r="AM237" s="45"/>
      <c r="AN237" s="45"/>
      <c r="AO237" s="45"/>
      <c r="AP237" s="45"/>
      <c r="AQ237" s="45"/>
      <c r="AR237" s="45"/>
      <c r="AS237" s="48"/>
    </row>
    <row r="238" spans="1:46" s="44" customFormat="1" ht="12.75" customHeight="1">
      <c r="A238" s="64" t="s">
        <v>266</v>
      </c>
      <c r="B238" s="46"/>
      <c r="C238" s="64" t="s">
        <v>267</v>
      </c>
      <c r="D238" s="46"/>
      <c r="E238" s="94">
        <v>688625</v>
      </c>
      <c r="F238" s="68"/>
      <c r="G238" s="94">
        <v>2228593</v>
      </c>
      <c r="H238" s="68"/>
      <c r="I238" s="94">
        <v>230364</v>
      </c>
      <c r="J238" s="68"/>
      <c r="K238" s="94">
        <v>0</v>
      </c>
      <c r="L238" s="68"/>
      <c r="M238" s="94">
        <v>699126</v>
      </c>
      <c r="N238" s="68"/>
      <c r="O238" s="94">
        <v>562362</v>
      </c>
      <c r="P238" s="68"/>
      <c r="Q238" s="94">
        <v>55896</v>
      </c>
      <c r="R238" s="68"/>
      <c r="S238" s="94">
        <v>1314504</v>
      </c>
      <c r="T238" s="68"/>
      <c r="U238" s="94">
        <v>0</v>
      </c>
      <c r="V238" s="68"/>
      <c r="W238" s="68"/>
      <c r="X238" s="64"/>
      <c r="Y238" s="46"/>
      <c r="Z238" s="64"/>
      <c r="AA238" s="64"/>
      <c r="AB238" s="94">
        <v>3250000</v>
      </c>
      <c r="AC238" s="156"/>
      <c r="AD238" s="94">
        <v>70850</v>
      </c>
      <c r="AE238" s="156"/>
      <c r="AF238" s="94">
        <v>0</v>
      </c>
      <c r="AG238" s="156"/>
      <c r="AH238" s="68">
        <f t="shared" si="8"/>
        <v>9100320</v>
      </c>
      <c r="AI238" s="68"/>
      <c r="AJ238" s="68">
        <v>0</v>
      </c>
      <c r="AK238" s="68"/>
      <c r="AL238" s="94">
        <v>80076</v>
      </c>
      <c r="AM238" s="45"/>
      <c r="AN238" s="45">
        <v>4726473</v>
      </c>
      <c r="AO238" s="45"/>
      <c r="AP238" s="45">
        <v>-13060</v>
      </c>
      <c r="AQ238" s="45"/>
      <c r="AR238" s="45">
        <f>+'GVFund Rev'!U238+'GVFund Rev'!W238-'GVFund Exp'!AH238-'GVFund Exp'!AL238+AJ238+AN238+AP238-'GV Fund BS'!S238</f>
        <v>0</v>
      </c>
      <c r="AS238" s="48"/>
    </row>
    <row r="239" spans="1:46" s="46" customFormat="1" ht="12.75" customHeight="1">
      <c r="A239" s="35" t="s">
        <v>268</v>
      </c>
      <c r="B239" s="44"/>
      <c r="C239" s="35" t="s">
        <v>269</v>
      </c>
      <c r="D239" s="44"/>
      <c r="E239" s="45">
        <v>894155</v>
      </c>
      <c r="F239" s="48"/>
      <c r="G239" s="45">
        <v>1373695</v>
      </c>
      <c r="H239" s="48"/>
      <c r="I239" s="45">
        <v>328</v>
      </c>
      <c r="J239" s="48"/>
      <c r="K239" s="45">
        <v>1470</v>
      </c>
      <c r="L239" s="48"/>
      <c r="M239" s="45">
        <v>668404</v>
      </c>
      <c r="N239" s="48"/>
      <c r="O239" s="45">
        <v>0</v>
      </c>
      <c r="P239" s="48"/>
      <c r="Q239" s="45">
        <v>0</v>
      </c>
      <c r="R239" s="48"/>
      <c r="S239" s="45">
        <v>11989</v>
      </c>
      <c r="T239" s="48"/>
      <c r="U239" s="45">
        <v>0</v>
      </c>
      <c r="V239" s="48"/>
      <c r="W239" s="48"/>
      <c r="X239" s="35"/>
      <c r="Y239" s="44"/>
      <c r="Z239" s="35"/>
      <c r="AA239" s="35"/>
      <c r="AB239" s="45">
        <v>946271</v>
      </c>
      <c r="AC239" s="107"/>
      <c r="AD239" s="45">
        <v>34465</v>
      </c>
      <c r="AE239" s="107"/>
      <c r="AF239" s="45">
        <v>0</v>
      </c>
      <c r="AG239" s="107"/>
      <c r="AH239" s="48">
        <f t="shared" si="8"/>
        <v>3930777</v>
      </c>
      <c r="AI239" s="48"/>
      <c r="AJ239" s="48">
        <v>0</v>
      </c>
      <c r="AK239" s="48"/>
      <c r="AL239" s="45">
        <v>1081527</v>
      </c>
      <c r="AM239" s="45"/>
      <c r="AN239" s="45">
        <v>1759792</v>
      </c>
      <c r="AO239" s="45"/>
      <c r="AP239" s="45">
        <v>0</v>
      </c>
      <c r="AQ239" s="45"/>
      <c r="AR239" s="45">
        <f>+'GVFund Rev'!U239+'GVFund Rev'!W239-'GVFund Exp'!AH239-'GVFund Exp'!AL239+AJ239+AN239+AP239-'GV Fund BS'!S239</f>
        <v>0</v>
      </c>
      <c r="AS239" s="48"/>
    </row>
    <row r="240" spans="1:46" s="44" customFormat="1" ht="12.75" customHeight="1">
      <c r="A240" s="35" t="s">
        <v>270</v>
      </c>
      <c r="C240" s="35" t="s">
        <v>136</v>
      </c>
      <c r="E240" s="45">
        <v>865066</v>
      </c>
      <c r="F240" s="48"/>
      <c r="G240" s="45">
        <v>1761850</v>
      </c>
      <c r="H240" s="48"/>
      <c r="I240" s="45">
        <v>632367</v>
      </c>
      <c r="J240" s="48"/>
      <c r="K240" s="45">
        <v>181570</v>
      </c>
      <c r="L240" s="48"/>
      <c r="M240" s="45">
        <v>390071</v>
      </c>
      <c r="N240" s="48"/>
      <c r="O240" s="45">
        <v>89879</v>
      </c>
      <c r="P240" s="48"/>
      <c r="Q240" s="45">
        <v>0</v>
      </c>
      <c r="R240" s="48"/>
      <c r="S240" s="45">
        <v>0</v>
      </c>
      <c r="T240" s="48"/>
      <c r="U240" s="45">
        <v>0</v>
      </c>
      <c r="V240" s="48"/>
      <c r="W240" s="48"/>
      <c r="X240" s="35"/>
      <c r="Z240" s="35"/>
      <c r="AA240" s="35"/>
      <c r="AB240" s="45">
        <v>91000</v>
      </c>
      <c r="AC240" s="107"/>
      <c r="AD240" s="45">
        <v>23871</v>
      </c>
      <c r="AE240" s="107"/>
      <c r="AF240" s="45">
        <v>0</v>
      </c>
      <c r="AG240" s="107"/>
      <c r="AH240" s="48">
        <f t="shared" si="8"/>
        <v>4035674</v>
      </c>
      <c r="AI240" s="48"/>
      <c r="AJ240" s="48">
        <v>0</v>
      </c>
      <c r="AK240" s="48"/>
      <c r="AL240" s="45">
        <v>66087</v>
      </c>
      <c r="AM240" s="45"/>
      <c r="AN240" s="45">
        <v>3572501</v>
      </c>
      <c r="AO240" s="45"/>
      <c r="AP240" s="45">
        <v>0</v>
      </c>
      <c r="AQ240" s="45"/>
      <c r="AR240" s="45">
        <f>+'GVFund Rev'!U240+'GVFund Rev'!W240-'GVFund Exp'!AH240-'GVFund Exp'!AL240+AJ240+AN240+AP240-'GV Fund BS'!S240</f>
        <v>0</v>
      </c>
      <c r="AS240" s="48"/>
    </row>
    <row r="241" spans="1:45" s="44" customFormat="1" ht="12.75" customHeight="1">
      <c r="A241" s="64" t="s">
        <v>271</v>
      </c>
      <c r="B241" s="46"/>
      <c r="C241" s="64" t="s">
        <v>66</v>
      </c>
      <c r="D241" s="46"/>
      <c r="E241" s="45">
        <v>856928</v>
      </c>
      <c r="F241" s="48"/>
      <c r="G241" s="45">
        <v>5690707</v>
      </c>
      <c r="H241" s="48"/>
      <c r="I241" s="45">
        <v>1738912</v>
      </c>
      <c r="J241" s="48"/>
      <c r="K241" s="45">
        <v>0</v>
      </c>
      <c r="L241" s="48"/>
      <c r="M241" s="45">
        <v>787126</v>
      </c>
      <c r="N241" s="48"/>
      <c r="O241" s="45">
        <v>841381</v>
      </c>
      <c r="P241" s="48"/>
      <c r="Q241" s="45">
        <v>0</v>
      </c>
      <c r="R241" s="48"/>
      <c r="S241" s="45">
        <v>0</v>
      </c>
      <c r="T241" s="48"/>
      <c r="U241" s="45">
        <v>0</v>
      </c>
      <c r="V241" s="48"/>
      <c r="W241" s="48"/>
      <c r="X241" s="35"/>
      <c r="Z241" s="35"/>
      <c r="AA241" s="35"/>
      <c r="AB241" s="45">
        <v>323457</v>
      </c>
      <c r="AC241" s="107"/>
      <c r="AD241" s="45">
        <v>164148</v>
      </c>
      <c r="AE241" s="107"/>
      <c r="AF241" s="45">
        <v>0</v>
      </c>
      <c r="AG241" s="107"/>
      <c r="AH241" s="48">
        <f t="shared" si="8"/>
        <v>10402659</v>
      </c>
      <c r="AI241" s="48"/>
      <c r="AJ241" s="48">
        <v>0</v>
      </c>
      <c r="AK241" s="48"/>
      <c r="AL241" s="45">
        <v>1775421</v>
      </c>
      <c r="AM241" s="45"/>
      <c r="AN241" s="45">
        <v>3875617</v>
      </c>
      <c r="AO241" s="45"/>
      <c r="AP241" s="45">
        <v>0</v>
      </c>
      <c r="AQ241" s="45"/>
      <c r="AR241" s="45">
        <f>+'GVFund Rev'!U241+'GVFund Rev'!W241-'GVFund Exp'!AH241-'GVFund Exp'!AL241+AJ241+AN241+AP241-'GV Fund BS'!S241</f>
        <v>0</v>
      </c>
      <c r="AS241" s="48"/>
    </row>
    <row r="242" spans="1:45" s="44" customFormat="1" ht="12.75" customHeight="1">
      <c r="A242" s="35" t="s">
        <v>272</v>
      </c>
      <c r="C242" s="35" t="s">
        <v>43</v>
      </c>
      <c r="E242" s="45">
        <v>11765733</v>
      </c>
      <c r="F242" s="48"/>
      <c r="G242" s="45">
        <v>24328138</v>
      </c>
      <c r="H242" s="48"/>
      <c r="I242" s="45">
        <v>2401381</v>
      </c>
      <c r="J242" s="48"/>
      <c r="K242" s="45">
        <v>51422</v>
      </c>
      <c r="L242" s="48"/>
      <c r="M242" s="45">
        <v>2293288</v>
      </c>
      <c r="N242" s="48"/>
      <c r="O242" s="45">
        <v>7420917</v>
      </c>
      <c r="P242" s="48"/>
      <c r="Q242" s="45">
        <v>508432</v>
      </c>
      <c r="R242" s="48"/>
      <c r="S242" s="45">
        <v>12265032</v>
      </c>
      <c r="T242" s="48"/>
      <c r="U242" s="45">
        <v>0</v>
      </c>
      <c r="V242" s="48"/>
      <c r="W242" s="48"/>
      <c r="X242" s="35"/>
      <c r="Z242" s="35"/>
      <c r="AA242" s="35"/>
      <c r="AB242" s="45">
        <v>1879016</v>
      </c>
      <c r="AC242" s="107"/>
      <c r="AD242" s="45">
        <v>963957</v>
      </c>
      <c r="AE242" s="107"/>
      <c r="AF242" s="45">
        <v>765874</v>
      </c>
      <c r="AG242" s="107"/>
      <c r="AH242" s="48">
        <f t="shared" si="8"/>
        <v>64643190</v>
      </c>
      <c r="AI242" s="48"/>
      <c r="AJ242" s="48">
        <v>0</v>
      </c>
      <c r="AK242" s="48"/>
      <c r="AL242" s="45">
        <f>16742935+20149990</f>
        <v>36892925</v>
      </c>
      <c r="AM242" s="45"/>
      <c r="AN242" s="45">
        <v>46436222</v>
      </c>
      <c r="AO242" s="45"/>
      <c r="AP242" s="45">
        <v>0</v>
      </c>
      <c r="AQ242" s="45"/>
      <c r="AR242" s="45">
        <f>+'GVFund Rev'!U242+'GVFund Rev'!W242-'GVFund Exp'!AH242-'GVFund Exp'!AL242+AJ242+AN242+AP242-'GV Fund BS'!S242</f>
        <v>0</v>
      </c>
      <c r="AS242" s="48"/>
    </row>
    <row r="243" spans="1:45" s="44" customFormat="1" ht="12.75" customHeight="1">
      <c r="A243" s="35" t="s">
        <v>273</v>
      </c>
      <c r="C243" s="35" t="s">
        <v>27</v>
      </c>
      <c r="E243" s="45">
        <v>7603847</v>
      </c>
      <c r="F243" s="48"/>
      <c r="G243" s="45">
        <v>13916347</v>
      </c>
      <c r="H243" s="48"/>
      <c r="I243" s="45">
        <v>1482743</v>
      </c>
      <c r="J243" s="48"/>
      <c r="K243" s="45">
        <v>934217</v>
      </c>
      <c r="L243" s="48"/>
      <c r="M243" s="45">
        <v>6503112</v>
      </c>
      <c r="N243" s="48"/>
      <c r="O243" s="45">
        <v>3249516</v>
      </c>
      <c r="P243" s="48"/>
      <c r="Q243" s="45">
        <v>741720</v>
      </c>
      <c r="R243" s="48"/>
      <c r="S243" s="45">
        <v>8400702</v>
      </c>
      <c r="T243" s="48"/>
      <c r="U243" s="45">
        <v>0</v>
      </c>
      <c r="V243" s="48"/>
      <c r="W243" s="48"/>
      <c r="X243" s="35"/>
      <c r="Z243" s="35"/>
      <c r="AA243" s="35"/>
      <c r="AB243" s="45">
        <v>1286743</v>
      </c>
      <c r="AC243" s="107"/>
      <c r="AD243" s="45">
        <v>648827</v>
      </c>
      <c r="AE243" s="107"/>
      <c r="AF243" s="45">
        <f>134018+22878</f>
        <v>156896</v>
      </c>
      <c r="AG243" s="107"/>
      <c r="AH243" s="48">
        <f t="shared" si="8"/>
        <v>44924670</v>
      </c>
      <c r="AI243" s="48"/>
      <c r="AJ243" s="48">
        <v>0</v>
      </c>
      <c r="AK243" s="48"/>
      <c r="AL243" s="45">
        <v>889476</v>
      </c>
      <c r="AM243" s="45"/>
      <c r="AN243" s="45">
        <v>52960485</v>
      </c>
      <c r="AO243" s="45"/>
      <c r="AP243" s="45">
        <v>0</v>
      </c>
      <c r="AQ243" s="45"/>
      <c r="AR243" s="45">
        <f>+'GVFund Rev'!U243+'GVFund Rev'!W243-'GVFund Exp'!AH243-'GVFund Exp'!AL243+AJ243+AN243+AP243-'GV Fund BS'!S243</f>
        <v>0</v>
      </c>
      <c r="AS243" s="48"/>
    </row>
    <row r="244" spans="1:45" s="44" customFormat="1" ht="12.75" customHeight="1">
      <c r="A244" s="35" t="s">
        <v>274</v>
      </c>
      <c r="C244" s="35" t="s">
        <v>43</v>
      </c>
      <c r="E244" s="45">
        <v>6139656</v>
      </c>
      <c r="F244" s="48"/>
      <c r="G244" s="45">
        <v>10775066</v>
      </c>
      <c r="H244" s="48"/>
      <c r="I244" s="45">
        <v>1249039</v>
      </c>
      <c r="J244" s="48"/>
      <c r="K244" s="45">
        <v>273908</v>
      </c>
      <c r="L244" s="48"/>
      <c r="M244" s="45">
        <v>1486951</v>
      </c>
      <c r="N244" s="48"/>
      <c r="O244" s="45">
        <v>654297</v>
      </c>
      <c r="P244" s="48"/>
      <c r="Q244" s="45">
        <v>614424</v>
      </c>
      <c r="R244" s="48"/>
      <c r="S244" s="45">
        <v>3010034</v>
      </c>
      <c r="T244" s="48"/>
      <c r="U244" s="45">
        <v>0</v>
      </c>
      <c r="V244" s="48"/>
      <c r="W244" s="48"/>
      <c r="X244" s="35"/>
      <c r="Z244" s="35"/>
      <c r="AA244" s="35"/>
      <c r="AB244" s="45">
        <v>375528</v>
      </c>
      <c r="AC244" s="107"/>
      <c r="AD244" s="45">
        <v>99340</v>
      </c>
      <c r="AE244" s="107"/>
      <c r="AF244" s="45">
        <v>0</v>
      </c>
      <c r="AG244" s="107"/>
      <c r="AH244" s="48">
        <f t="shared" si="8"/>
        <v>24678243</v>
      </c>
      <c r="AI244" s="48"/>
      <c r="AJ244" s="48">
        <v>0</v>
      </c>
      <c r="AK244" s="48"/>
      <c r="AL244" s="45">
        <v>1358454</v>
      </c>
      <c r="AM244" s="45"/>
      <c r="AN244" s="45">
        <v>9803495</v>
      </c>
      <c r="AO244" s="45"/>
      <c r="AP244" s="45">
        <v>0</v>
      </c>
      <c r="AQ244" s="45"/>
      <c r="AR244" s="45">
        <f>+'GVFund Rev'!U244+'GVFund Rev'!W244-'GVFund Exp'!AH244-'GVFund Exp'!AL244+AJ244+AN244+AP244-'GV Fund BS'!S244</f>
        <v>0</v>
      </c>
      <c r="AS244" s="48"/>
    </row>
    <row r="245" spans="1:45" s="44" customFormat="1" ht="12.75" customHeight="1">
      <c r="A245" s="35" t="s">
        <v>275</v>
      </c>
      <c r="C245" s="35" t="s">
        <v>92</v>
      </c>
      <c r="E245" s="45">
        <v>4178678</v>
      </c>
      <c r="F245" s="48"/>
      <c r="G245" s="45">
        <v>6135416</v>
      </c>
      <c r="H245" s="48"/>
      <c r="I245" s="45">
        <v>183473</v>
      </c>
      <c r="J245" s="48"/>
      <c r="K245" s="45">
        <v>31996</v>
      </c>
      <c r="L245" s="48"/>
      <c r="M245" s="45">
        <v>2009510</v>
      </c>
      <c r="N245" s="48"/>
      <c r="O245" s="45">
        <v>907153</v>
      </c>
      <c r="P245" s="48"/>
      <c r="Q245" s="45">
        <v>1167724</v>
      </c>
      <c r="R245" s="48"/>
      <c r="S245" s="45">
        <v>3071548</v>
      </c>
      <c r="T245" s="48"/>
      <c r="U245" s="45">
        <v>0</v>
      </c>
      <c r="V245" s="48"/>
      <c r="W245" s="48"/>
      <c r="X245" s="35"/>
      <c r="Z245" s="35"/>
      <c r="AA245" s="35"/>
      <c r="AB245" s="45">
        <v>116518</v>
      </c>
      <c r="AC245" s="107"/>
      <c r="AD245" s="45">
        <v>98821</v>
      </c>
      <c r="AE245" s="107"/>
      <c r="AF245" s="45">
        <v>0</v>
      </c>
      <c r="AG245" s="107"/>
      <c r="AH245" s="48">
        <f t="shared" si="8"/>
        <v>17900837</v>
      </c>
      <c r="AI245" s="48"/>
      <c r="AJ245" s="48">
        <v>0</v>
      </c>
      <c r="AK245" s="48"/>
      <c r="AL245" s="45">
        <v>307132</v>
      </c>
      <c r="AM245" s="45"/>
      <c r="AN245" s="45">
        <v>9413915</v>
      </c>
      <c r="AO245" s="45"/>
      <c r="AP245" s="45">
        <v>57437</v>
      </c>
      <c r="AQ245" s="45"/>
      <c r="AR245" s="45">
        <f>+'GVFund Rev'!U245+'GVFund Rev'!W245-'GVFund Exp'!AH245-'GVFund Exp'!AL245+AJ245+AN245+AP245-'GV Fund BS'!S245</f>
        <v>0</v>
      </c>
      <c r="AS245" s="48"/>
    </row>
    <row r="246" spans="1:45" s="44" customFormat="1" ht="12.75" customHeight="1">
      <c r="A246" s="35" t="s">
        <v>276</v>
      </c>
      <c r="C246" s="35" t="s">
        <v>38</v>
      </c>
      <c r="E246" s="45">
        <v>726337</v>
      </c>
      <c r="F246" s="48"/>
      <c r="G246" s="45">
        <v>2494531</v>
      </c>
      <c r="H246" s="48"/>
      <c r="I246" s="45">
        <v>236719</v>
      </c>
      <c r="J246" s="48"/>
      <c r="K246" s="45">
        <v>51618</v>
      </c>
      <c r="L246" s="48"/>
      <c r="M246" s="45">
        <v>726372</v>
      </c>
      <c r="N246" s="48"/>
      <c r="O246" s="45">
        <v>306336</v>
      </c>
      <c r="P246" s="48"/>
      <c r="Q246" s="45">
        <v>0</v>
      </c>
      <c r="R246" s="48"/>
      <c r="S246" s="45">
        <v>936991</v>
      </c>
      <c r="T246" s="48"/>
      <c r="U246" s="45">
        <v>0</v>
      </c>
      <c r="V246" s="48"/>
      <c r="W246" s="48"/>
      <c r="X246" s="35"/>
      <c r="Z246" s="35"/>
      <c r="AA246" s="35"/>
      <c r="AB246" s="45">
        <v>554901</v>
      </c>
      <c r="AC246" s="107"/>
      <c r="AD246" s="45">
        <v>74872</v>
      </c>
      <c r="AE246" s="107"/>
      <c r="AF246" s="45">
        <v>0</v>
      </c>
      <c r="AG246" s="107"/>
      <c r="AH246" s="48">
        <f t="shared" si="8"/>
        <v>6108677</v>
      </c>
      <c r="AI246" s="48"/>
      <c r="AJ246" s="48">
        <v>0</v>
      </c>
      <c r="AK246" s="48"/>
      <c r="AL246" s="45">
        <v>15400</v>
      </c>
      <c r="AM246" s="45"/>
      <c r="AN246" s="45">
        <v>5699308</v>
      </c>
      <c r="AO246" s="45"/>
      <c r="AP246" s="45">
        <v>0</v>
      </c>
      <c r="AQ246" s="45"/>
      <c r="AR246" s="45">
        <f>+'GVFund Rev'!U246+'GVFund Rev'!W246-'GVFund Exp'!AH246-'GVFund Exp'!AL246+AJ246+AN246+AP246-'GV Fund BS'!S246</f>
        <v>0</v>
      </c>
      <c r="AS246" s="48"/>
    </row>
    <row r="247" spans="1:45" s="44" customFormat="1" ht="12.75" customHeight="1">
      <c r="A247" s="35" t="s">
        <v>277</v>
      </c>
      <c r="C247" s="35" t="s">
        <v>92</v>
      </c>
      <c r="E247" s="45">
        <v>7036369</v>
      </c>
      <c r="F247" s="48"/>
      <c r="G247" s="45">
        <v>13402548</v>
      </c>
      <c r="H247" s="48"/>
      <c r="I247" s="45">
        <v>969309</v>
      </c>
      <c r="J247" s="48"/>
      <c r="K247" s="45">
        <v>470782</v>
      </c>
      <c r="L247" s="48"/>
      <c r="M247" s="45">
        <v>1768755</v>
      </c>
      <c r="N247" s="48"/>
      <c r="O247" s="45">
        <v>1877192</v>
      </c>
      <c r="P247" s="48"/>
      <c r="Q247" s="45">
        <v>1278807</v>
      </c>
      <c r="R247" s="48"/>
      <c r="S247" s="45">
        <v>3035356</v>
      </c>
      <c r="T247" s="48"/>
      <c r="U247" s="45">
        <v>0</v>
      </c>
      <c r="V247" s="48"/>
      <c r="W247" s="48"/>
      <c r="X247" s="35"/>
      <c r="Z247" s="35"/>
      <c r="AA247" s="35"/>
      <c r="AB247" s="45">
        <v>842787</v>
      </c>
      <c r="AC247" s="107"/>
      <c r="AD247" s="45">
        <v>734873</v>
      </c>
      <c r="AE247" s="107"/>
      <c r="AF247" s="45">
        <v>0</v>
      </c>
      <c r="AG247" s="107"/>
      <c r="AH247" s="48">
        <f t="shared" si="8"/>
        <v>31416778</v>
      </c>
      <c r="AI247" s="48"/>
      <c r="AJ247" s="48">
        <v>0</v>
      </c>
      <c r="AK247" s="48"/>
      <c r="AL247" s="45">
        <v>3083568</v>
      </c>
      <c r="AM247" s="45"/>
      <c r="AN247" s="45">
        <v>17052234</v>
      </c>
      <c r="AO247" s="45"/>
      <c r="AP247" s="45">
        <v>29519</v>
      </c>
      <c r="AQ247" s="45"/>
      <c r="AR247" s="45">
        <f>+'GVFund Rev'!U247+'GVFund Rev'!W247-'GVFund Exp'!AH247-'GVFund Exp'!AL247+AJ247+AN247+AP247-'GV Fund BS'!S247</f>
        <v>0</v>
      </c>
      <c r="AS247" s="48"/>
    </row>
    <row r="248" spans="1:45" s="44" customFormat="1" ht="12.75" customHeight="1">
      <c r="A248" s="64" t="s">
        <v>278</v>
      </c>
      <c r="B248" s="46"/>
      <c r="C248" s="64" t="s">
        <v>92</v>
      </c>
      <c r="D248" s="46"/>
      <c r="E248" s="45">
        <v>2615795</v>
      </c>
      <c r="F248" s="48"/>
      <c r="G248" s="45">
        <f>3020485+1879457</f>
        <v>4899942</v>
      </c>
      <c r="H248" s="48"/>
      <c r="I248" s="45">
        <v>128984</v>
      </c>
      <c r="J248" s="48"/>
      <c r="K248" s="45">
        <v>0</v>
      </c>
      <c r="L248" s="48"/>
      <c r="M248" s="45">
        <v>1468120</v>
      </c>
      <c r="N248" s="48"/>
      <c r="O248" s="45">
        <v>266071</v>
      </c>
      <c r="P248" s="48"/>
      <c r="Q248" s="45">
        <v>0</v>
      </c>
      <c r="R248" s="48"/>
      <c r="S248" s="45">
        <v>1033240</v>
      </c>
      <c r="T248" s="48"/>
      <c r="U248" s="45">
        <v>0</v>
      </c>
      <c r="V248" s="48"/>
      <c r="W248" s="48"/>
      <c r="X248" s="35"/>
      <c r="Z248" s="35"/>
      <c r="AA248" s="35"/>
      <c r="AB248" s="45">
        <v>1325042</v>
      </c>
      <c r="AC248" s="107"/>
      <c r="AD248" s="45">
        <v>139116</v>
      </c>
      <c r="AE248" s="107"/>
      <c r="AF248" s="45">
        <v>0</v>
      </c>
      <c r="AG248" s="107"/>
      <c r="AH248" s="48">
        <f t="shared" si="8"/>
        <v>11876310</v>
      </c>
      <c r="AI248" s="48"/>
      <c r="AJ248" s="48">
        <v>0</v>
      </c>
      <c r="AK248" s="48"/>
      <c r="AL248" s="45">
        <v>706864</v>
      </c>
      <c r="AM248" s="45"/>
      <c r="AN248" s="45">
        <v>1620872</v>
      </c>
      <c r="AO248" s="45"/>
      <c r="AP248" s="45">
        <v>0</v>
      </c>
      <c r="AQ248" s="45"/>
      <c r="AR248" s="45">
        <f>+'GVFund Rev'!U248+'GVFund Rev'!W248-'GVFund Exp'!AH248-'GVFund Exp'!AL248+AJ248+AN248+AP248-'GV Fund BS'!S248</f>
        <v>0</v>
      </c>
      <c r="AS248" s="48"/>
    </row>
    <row r="249" spans="1:45" s="44" customFormat="1" ht="12.75" customHeight="1">
      <c r="A249" s="35" t="s">
        <v>279</v>
      </c>
      <c r="C249" s="35" t="s">
        <v>92</v>
      </c>
      <c r="E249" s="45">
        <v>1660458</v>
      </c>
      <c r="F249" s="48"/>
      <c r="G249" s="45">
        <v>5072601</v>
      </c>
      <c r="H249" s="48"/>
      <c r="I249" s="45">
        <v>532803</v>
      </c>
      <c r="J249" s="48"/>
      <c r="K249" s="45">
        <v>115592</v>
      </c>
      <c r="L249" s="48"/>
      <c r="M249" s="45">
        <v>967510</v>
      </c>
      <c r="N249" s="48"/>
      <c r="O249" s="45">
        <v>932972</v>
      </c>
      <c r="P249" s="48"/>
      <c r="Q249" s="45">
        <v>1083105</v>
      </c>
      <c r="R249" s="48"/>
      <c r="S249" s="45">
        <v>1700098</v>
      </c>
      <c r="T249" s="48"/>
      <c r="U249" s="45">
        <v>0</v>
      </c>
      <c r="V249" s="48"/>
      <c r="W249" s="48"/>
      <c r="X249" s="35"/>
      <c r="Z249" s="35"/>
      <c r="AA249" s="35"/>
      <c r="AB249" s="45">
        <v>3165300</v>
      </c>
      <c r="AC249" s="107"/>
      <c r="AD249" s="45">
        <v>87132</v>
      </c>
      <c r="AE249" s="107"/>
      <c r="AF249" s="45">
        <v>0</v>
      </c>
      <c r="AG249" s="107"/>
      <c r="AH249" s="48">
        <f t="shared" si="8"/>
        <v>15317571</v>
      </c>
      <c r="AI249" s="48"/>
      <c r="AJ249" s="48">
        <v>0</v>
      </c>
      <c r="AK249" s="48"/>
      <c r="AL249" s="45">
        <v>3916156</v>
      </c>
      <c r="AM249" s="45"/>
      <c r="AN249" s="45">
        <v>6944827</v>
      </c>
      <c r="AO249" s="45"/>
      <c r="AP249" s="45">
        <v>0</v>
      </c>
      <c r="AQ249" s="45"/>
      <c r="AR249" s="45">
        <f>+'GVFund Rev'!U249+'GVFund Rev'!W249-'GVFund Exp'!AH249-'GVFund Exp'!AL249+AJ249+AN249+AP249-'GV Fund BS'!S249</f>
        <v>0</v>
      </c>
      <c r="AS249" s="48"/>
    </row>
    <row r="250" spans="1:45" s="44" customFormat="1" ht="12.75" customHeight="1">
      <c r="A250" s="35" t="s">
        <v>280</v>
      </c>
      <c r="C250" s="35" t="s">
        <v>281</v>
      </c>
      <c r="E250" s="45">
        <v>6702495</v>
      </c>
      <c r="F250" s="48"/>
      <c r="G250" s="45">
        <v>4560941</v>
      </c>
      <c r="H250" s="48"/>
      <c r="I250" s="45">
        <v>0</v>
      </c>
      <c r="J250" s="48"/>
      <c r="K250" s="45">
        <v>266596</v>
      </c>
      <c r="L250" s="48"/>
      <c r="M250" s="45">
        <v>2441184</v>
      </c>
      <c r="N250" s="48"/>
      <c r="O250" s="45">
        <v>496917</v>
      </c>
      <c r="P250" s="48"/>
      <c r="Q250" s="45">
        <v>0</v>
      </c>
      <c r="R250" s="48"/>
      <c r="S250" s="45">
        <v>236787</v>
      </c>
      <c r="T250" s="48"/>
      <c r="U250" s="45">
        <v>0</v>
      </c>
      <c r="V250" s="48"/>
      <c r="W250" s="48"/>
      <c r="X250" s="35"/>
      <c r="Z250" s="35"/>
      <c r="AA250" s="35"/>
      <c r="AB250" s="45">
        <v>387141</v>
      </c>
      <c r="AC250" s="107"/>
      <c r="AD250" s="45">
        <v>276668</v>
      </c>
      <c r="AE250" s="107"/>
      <c r="AF250" s="45">
        <v>98543</v>
      </c>
      <c r="AG250" s="107"/>
      <c r="AH250" s="48">
        <f t="shared" si="8"/>
        <v>15467272</v>
      </c>
      <c r="AI250" s="48"/>
      <c r="AJ250" s="48">
        <v>0</v>
      </c>
      <c r="AK250" s="48"/>
      <c r="AL250" s="45">
        <v>4638806</v>
      </c>
      <c r="AM250" s="45"/>
      <c r="AN250" s="45">
        <v>6304098</v>
      </c>
      <c r="AO250" s="45"/>
      <c r="AP250" s="45">
        <v>0</v>
      </c>
      <c r="AQ250" s="45"/>
      <c r="AR250" s="45">
        <f>+'GVFund Rev'!U250+'GVFund Rev'!W250-'GVFund Exp'!AH250-'GVFund Exp'!AL250+AJ250+AN250+AP250-'GV Fund BS'!S250</f>
        <v>0</v>
      </c>
      <c r="AS250" s="48"/>
    </row>
    <row r="251" spans="1:45" s="44" customFormat="1" ht="12.75" customHeight="1">
      <c r="A251" s="35" t="s">
        <v>282</v>
      </c>
      <c r="C251" s="35" t="s">
        <v>199</v>
      </c>
      <c r="E251" s="45">
        <v>3401678</v>
      </c>
      <c r="F251" s="48"/>
      <c r="G251" s="45">
        <v>10556483</v>
      </c>
      <c r="H251" s="48"/>
      <c r="I251" s="45">
        <v>1412307</v>
      </c>
      <c r="J251" s="48"/>
      <c r="K251" s="45">
        <v>148395</v>
      </c>
      <c r="L251" s="48"/>
      <c r="M251" s="45">
        <v>2275385</v>
      </c>
      <c r="N251" s="48"/>
      <c r="O251" s="45">
        <v>1925300</v>
      </c>
      <c r="P251" s="48"/>
      <c r="Q251" s="45">
        <v>0</v>
      </c>
      <c r="R251" s="48"/>
      <c r="S251" s="45">
        <v>11144247</v>
      </c>
      <c r="T251" s="48"/>
      <c r="U251" s="45">
        <v>0</v>
      </c>
      <c r="V251" s="48"/>
      <c r="W251" s="48"/>
      <c r="X251" s="35"/>
      <c r="Z251" s="35"/>
      <c r="AA251" s="35"/>
      <c r="AB251" s="45">
        <v>4336315</v>
      </c>
      <c r="AC251" s="107"/>
      <c r="AD251" s="45">
        <v>223300</v>
      </c>
      <c r="AE251" s="107"/>
      <c r="AF251" s="45">
        <v>0</v>
      </c>
      <c r="AG251" s="107"/>
      <c r="AH251" s="48">
        <f t="shared" si="8"/>
        <v>35423410</v>
      </c>
      <c r="AI251" s="48"/>
      <c r="AJ251" s="48">
        <v>0</v>
      </c>
      <c r="AK251" s="48"/>
      <c r="AL251" s="45">
        <v>248019</v>
      </c>
      <c r="AM251" s="45"/>
      <c r="AN251" s="45">
        <v>26279692</v>
      </c>
      <c r="AO251" s="45"/>
      <c r="AP251" s="45">
        <v>0</v>
      </c>
      <c r="AQ251" s="45"/>
      <c r="AR251" s="45">
        <f>+'GVFund Rev'!U251+'GVFund Rev'!W251-'GVFund Exp'!AH251-'GVFund Exp'!AL251+AJ251+AN251+AP251-'GV Fund BS'!S251</f>
        <v>0</v>
      </c>
      <c r="AS251" s="48"/>
    </row>
    <row r="252" spans="1:45" s="44" customFormat="1" ht="12.75" customHeight="1">
      <c r="A252" s="35" t="s">
        <v>283</v>
      </c>
      <c r="C252" s="35" t="s">
        <v>43</v>
      </c>
      <c r="E252" s="45">
        <v>4974238</v>
      </c>
      <c r="F252" s="48"/>
      <c r="G252" s="45">
        <v>9904887</v>
      </c>
      <c r="H252" s="48"/>
      <c r="I252" s="45">
        <v>644699</v>
      </c>
      <c r="J252" s="48"/>
      <c r="K252" s="45">
        <v>57774</v>
      </c>
      <c r="L252" s="48"/>
      <c r="M252" s="45">
        <v>2324168</v>
      </c>
      <c r="N252" s="48"/>
      <c r="O252" s="45">
        <v>3821920</v>
      </c>
      <c r="P252" s="48"/>
      <c r="Q252" s="45">
        <v>1844774</v>
      </c>
      <c r="R252" s="48"/>
      <c r="S252" s="45">
        <v>1950694</v>
      </c>
      <c r="T252" s="48"/>
      <c r="U252" s="45">
        <v>0</v>
      </c>
      <c r="V252" s="48"/>
      <c r="W252" s="48"/>
      <c r="X252" s="35"/>
      <c r="Z252" s="35"/>
      <c r="AA252" s="35"/>
      <c r="AB252" s="45">
        <v>512810</v>
      </c>
      <c r="AC252" s="107"/>
      <c r="AD252" s="45">
        <v>335365</v>
      </c>
      <c r="AE252" s="107"/>
      <c r="AF252" s="45">
        <v>0</v>
      </c>
      <c r="AG252" s="107"/>
      <c r="AH252" s="48">
        <f t="shared" si="8"/>
        <v>26371329</v>
      </c>
      <c r="AI252" s="48"/>
      <c r="AJ252" s="48">
        <v>0</v>
      </c>
      <c r="AK252" s="48"/>
      <c r="AL252" s="45">
        <f>1165000+46340</f>
        <v>1211340</v>
      </c>
      <c r="AM252" s="45"/>
      <c r="AN252" s="45">
        <v>15796751</v>
      </c>
      <c r="AO252" s="45"/>
      <c r="AP252" s="45">
        <v>0</v>
      </c>
      <c r="AQ252" s="45"/>
      <c r="AR252" s="45">
        <f>+'GVFund Rev'!U252+'GVFund Rev'!W252-'GVFund Exp'!AH252-'GVFund Exp'!AL252+AJ252+AN252+AP252-'GV Fund BS'!S252</f>
        <v>0</v>
      </c>
      <c r="AS252" s="48"/>
    </row>
    <row r="253" spans="1:45" s="44" customFormat="1" ht="12.75" customHeight="1">
      <c r="A253" s="35" t="s">
        <v>284</v>
      </c>
      <c r="C253" s="35" t="s">
        <v>45</v>
      </c>
      <c r="E253" s="45">
        <v>3054323</v>
      </c>
      <c r="F253" s="48"/>
      <c r="G253" s="45">
        <v>2540028</v>
      </c>
      <c r="H253" s="48"/>
      <c r="I253" s="45">
        <v>229943</v>
      </c>
      <c r="J253" s="48"/>
      <c r="K253" s="45">
        <v>66801</v>
      </c>
      <c r="L253" s="48"/>
      <c r="M253" s="45">
        <v>941812</v>
      </c>
      <c r="N253" s="48"/>
      <c r="O253" s="45">
        <v>1346448</v>
      </c>
      <c r="P253" s="48"/>
      <c r="Q253" s="45">
        <v>556496</v>
      </c>
      <c r="R253" s="48"/>
      <c r="S253" s="45">
        <v>3044453</v>
      </c>
      <c r="T253" s="48"/>
      <c r="U253" s="45">
        <v>0</v>
      </c>
      <c r="V253" s="48"/>
      <c r="W253" s="48"/>
      <c r="X253" s="35"/>
      <c r="Z253" s="35"/>
      <c r="AA253" s="35"/>
      <c r="AB253" s="45">
        <v>376061</v>
      </c>
      <c r="AC253" s="107"/>
      <c r="AD253" s="45">
        <v>399422</v>
      </c>
      <c r="AE253" s="107"/>
      <c r="AF253" s="45">
        <v>0</v>
      </c>
      <c r="AG253" s="107"/>
      <c r="AH253" s="48">
        <f t="shared" si="8"/>
        <v>12555787</v>
      </c>
      <c r="AI253" s="48"/>
      <c r="AJ253" s="48">
        <v>0</v>
      </c>
      <c r="AK253" s="48"/>
      <c r="AL253" s="45">
        <v>2562508</v>
      </c>
      <c r="AM253" s="45"/>
      <c r="AN253" s="45">
        <v>5081244</v>
      </c>
      <c r="AO253" s="45"/>
      <c r="AP253" s="45">
        <v>-1050</v>
      </c>
      <c r="AQ253" s="45"/>
      <c r="AR253" s="45">
        <f>+'GVFund Rev'!U253+'GVFund Rev'!W253-'GVFund Exp'!AH253-'GVFund Exp'!AL253+AJ253+AN253+AP253-'GV Fund BS'!S253</f>
        <v>0</v>
      </c>
      <c r="AS253" s="48"/>
    </row>
    <row r="254" spans="1:45" s="44" customFormat="1" ht="12.75" customHeight="1">
      <c r="A254" s="35" t="s">
        <v>285</v>
      </c>
      <c r="C254" s="35" t="s">
        <v>30</v>
      </c>
      <c r="E254" s="45">
        <v>3119824</v>
      </c>
      <c r="F254" s="48"/>
      <c r="G254" s="45">
        <v>11456004</v>
      </c>
      <c r="H254" s="48"/>
      <c r="I254" s="45">
        <v>289694</v>
      </c>
      <c r="J254" s="48"/>
      <c r="K254" s="45">
        <v>51780</v>
      </c>
      <c r="L254" s="48"/>
      <c r="M254" s="45">
        <v>1425152</v>
      </c>
      <c r="N254" s="48"/>
      <c r="O254" s="45">
        <v>319544</v>
      </c>
      <c r="P254" s="48"/>
      <c r="Q254" s="45">
        <v>0</v>
      </c>
      <c r="R254" s="48"/>
      <c r="S254" s="45">
        <v>2498161</v>
      </c>
      <c r="T254" s="48"/>
      <c r="U254" s="45">
        <v>0</v>
      </c>
      <c r="V254" s="48"/>
      <c r="W254" s="48"/>
      <c r="X254" s="35"/>
      <c r="Z254" s="35"/>
      <c r="AA254" s="35"/>
      <c r="AB254" s="45">
        <v>433103</v>
      </c>
      <c r="AC254" s="107"/>
      <c r="AD254" s="45">
        <v>128364</v>
      </c>
      <c r="AE254" s="107"/>
      <c r="AF254" s="45">
        <v>0</v>
      </c>
      <c r="AG254" s="107"/>
      <c r="AH254" s="48">
        <f t="shared" si="8"/>
        <v>19721626</v>
      </c>
      <c r="AI254" s="48"/>
      <c r="AJ254" s="48">
        <v>0</v>
      </c>
      <c r="AK254" s="48"/>
      <c r="AL254" s="45">
        <v>247000</v>
      </c>
      <c r="AM254" s="45"/>
      <c r="AN254" s="45">
        <v>9253443</v>
      </c>
      <c r="AO254" s="45"/>
      <c r="AP254" s="45">
        <v>-72010</v>
      </c>
      <c r="AQ254" s="45"/>
      <c r="AR254" s="45">
        <f>+'GVFund Rev'!U254+'GVFund Rev'!W254-'GVFund Exp'!AH254-'GVFund Exp'!AL254+AJ254+AN254+AP254-'GV Fund BS'!S254</f>
        <v>0</v>
      </c>
      <c r="AS254" s="48"/>
    </row>
    <row r="255" spans="1:45" s="44" customFormat="1" ht="12.75" customHeight="1">
      <c r="A255" s="35" t="s">
        <v>286</v>
      </c>
      <c r="C255" s="35" t="s">
        <v>61</v>
      </c>
      <c r="E255" s="45">
        <v>11932886</v>
      </c>
      <c r="F255" s="48"/>
      <c r="G255" s="45">
        <v>37520072</v>
      </c>
      <c r="H255" s="48"/>
      <c r="I255" s="45">
        <v>4990790</v>
      </c>
      <c r="J255" s="48"/>
      <c r="K255" s="45">
        <v>2616647</v>
      </c>
      <c r="L255" s="48"/>
      <c r="M255" s="45">
        <v>6987296</v>
      </c>
      <c r="N255" s="48"/>
      <c r="O255" s="45">
        <v>2715438</v>
      </c>
      <c r="P255" s="48"/>
      <c r="Q255" s="45">
        <v>3136676</v>
      </c>
      <c r="R255" s="48"/>
      <c r="S255" s="45">
        <v>13091153</v>
      </c>
      <c r="T255" s="48"/>
      <c r="U255" s="45">
        <v>0</v>
      </c>
      <c r="V255" s="48"/>
      <c r="W255" s="48"/>
      <c r="X255" s="35"/>
      <c r="Z255" s="35"/>
      <c r="AA255" s="35"/>
      <c r="AB255" s="45">
        <v>1809398</v>
      </c>
      <c r="AC255" s="107"/>
      <c r="AD255" s="45">
        <v>2071066</v>
      </c>
      <c r="AE255" s="107"/>
      <c r="AF255" s="45">
        <v>0</v>
      </c>
      <c r="AG255" s="107"/>
      <c r="AH255" s="48">
        <f t="shared" si="8"/>
        <v>86871422</v>
      </c>
      <c r="AI255" s="48"/>
      <c r="AJ255" s="48">
        <v>0</v>
      </c>
      <c r="AK255" s="48"/>
      <c r="AL255" s="45">
        <v>26105709</v>
      </c>
      <c r="AM255" s="45"/>
      <c r="AN255" s="45">
        <v>-4968600</v>
      </c>
      <c r="AO255" s="45"/>
      <c r="AP255" s="45">
        <v>0</v>
      </c>
      <c r="AQ255" s="45"/>
      <c r="AR255" s="45">
        <f>+'GVFund Rev'!U255+'GVFund Rev'!W255-'GVFund Exp'!AH255-'GVFund Exp'!AL255+AJ255+AN255+AP255-'GV Fund BS'!S255</f>
        <v>0</v>
      </c>
      <c r="AS255" s="48"/>
    </row>
    <row r="256" spans="1:45" s="44" customFormat="1" ht="12.75" customHeight="1">
      <c r="A256" s="35" t="s">
        <v>287</v>
      </c>
      <c r="C256" s="35" t="s">
        <v>288</v>
      </c>
      <c r="E256" s="45">
        <v>4067720</v>
      </c>
      <c r="F256" s="48"/>
      <c r="G256" s="45">
        <v>13340623</v>
      </c>
      <c r="H256" s="48"/>
      <c r="I256" s="45">
        <v>1114116</v>
      </c>
      <c r="J256" s="48"/>
      <c r="K256" s="45">
        <v>2027983</v>
      </c>
      <c r="L256" s="48"/>
      <c r="M256" s="45">
        <v>2468168</v>
      </c>
      <c r="N256" s="48"/>
      <c r="O256" s="45">
        <v>1099024</v>
      </c>
      <c r="P256" s="48"/>
      <c r="Q256" s="45">
        <v>0</v>
      </c>
      <c r="R256" s="48"/>
      <c r="S256" s="45">
        <v>1360953</v>
      </c>
      <c r="T256" s="48"/>
      <c r="U256" s="45">
        <v>0</v>
      </c>
      <c r="V256" s="48"/>
      <c r="W256" s="48"/>
      <c r="X256" s="35"/>
      <c r="Z256" s="35"/>
      <c r="AA256" s="35"/>
      <c r="AB256" s="45">
        <v>561162</v>
      </c>
      <c r="AC256" s="107"/>
      <c r="AD256" s="45">
        <v>248570</v>
      </c>
      <c r="AE256" s="107"/>
      <c r="AF256" s="45">
        <v>0</v>
      </c>
      <c r="AG256" s="107"/>
      <c r="AH256" s="48">
        <f t="shared" si="8"/>
        <v>26288319</v>
      </c>
      <c r="AI256" s="48"/>
      <c r="AJ256" s="48">
        <v>0</v>
      </c>
      <c r="AK256" s="48"/>
      <c r="AL256" s="45">
        <v>7514274</v>
      </c>
      <c r="AM256" s="45"/>
      <c r="AN256" s="45">
        <v>5899440</v>
      </c>
      <c r="AO256" s="45"/>
      <c r="AP256" s="45">
        <v>0</v>
      </c>
      <c r="AQ256" s="45"/>
      <c r="AR256" s="45">
        <f>+'GVFund Rev'!U256+'GVFund Rev'!W256-'GVFund Exp'!AH256-'GVFund Exp'!AL256+AJ256+AN256+AP256-'GV Fund BS'!S256</f>
        <v>0</v>
      </c>
      <c r="AS256" s="48"/>
    </row>
    <row r="257" spans="1:46" s="47" customFormat="1" ht="12.75" customHeight="1">
      <c r="A257" s="49"/>
      <c r="C257" s="49"/>
      <c r="E257" s="49"/>
      <c r="F257" s="44"/>
      <c r="G257" s="49"/>
      <c r="H257" s="44"/>
      <c r="I257" s="49"/>
      <c r="J257" s="44"/>
      <c r="K257" s="49"/>
      <c r="L257" s="44"/>
      <c r="M257" s="49"/>
      <c r="N257" s="44"/>
      <c r="O257" s="49"/>
      <c r="P257" s="44"/>
      <c r="Q257" s="49"/>
      <c r="R257" s="44"/>
      <c r="S257" s="49"/>
      <c r="T257" s="44"/>
      <c r="U257" s="49"/>
      <c r="V257" s="44"/>
      <c r="W257" s="44"/>
      <c r="X257" s="44"/>
      <c r="Y257" s="44"/>
      <c r="Z257" s="44"/>
      <c r="AA257" s="44"/>
      <c r="AB257" s="49"/>
      <c r="AC257" s="65"/>
      <c r="AD257" s="49"/>
      <c r="AE257" s="65"/>
      <c r="AF257" s="49"/>
      <c r="AG257" s="65"/>
      <c r="AH257" s="44"/>
      <c r="AI257" s="44"/>
      <c r="AJ257" s="44"/>
      <c r="AK257" s="44"/>
      <c r="AL257" s="49"/>
      <c r="AM257" s="45"/>
      <c r="AN257" s="49"/>
      <c r="AO257" s="44"/>
      <c r="AP257" s="49"/>
      <c r="AQ257" s="44"/>
      <c r="AR257" s="45"/>
      <c r="AS257" s="44"/>
      <c r="AT257" s="51"/>
    </row>
    <row r="258" spans="1:46" s="47" customFormat="1" ht="12.75" customHeight="1">
      <c r="A258" s="49"/>
      <c r="C258" s="49"/>
      <c r="E258" s="49"/>
      <c r="F258" s="44"/>
      <c r="G258" s="49"/>
      <c r="H258" s="44"/>
      <c r="I258" s="49"/>
      <c r="J258" s="44"/>
      <c r="K258" s="49"/>
      <c r="L258" s="44"/>
      <c r="M258" s="49"/>
      <c r="N258" s="44"/>
      <c r="O258" s="49"/>
      <c r="P258" s="44"/>
      <c r="Q258" s="49"/>
      <c r="R258" s="44"/>
      <c r="S258" s="49"/>
      <c r="T258" s="44"/>
      <c r="U258" s="49"/>
      <c r="V258" s="44"/>
      <c r="W258" s="44"/>
      <c r="X258" s="44"/>
      <c r="Y258" s="44"/>
      <c r="Z258" s="44"/>
      <c r="AA258" s="44"/>
      <c r="AB258" s="49"/>
      <c r="AC258" s="65"/>
      <c r="AD258" s="49"/>
      <c r="AE258" s="65"/>
      <c r="AF258" s="49"/>
      <c r="AG258" s="65"/>
      <c r="AH258" s="44"/>
      <c r="AI258" s="44"/>
      <c r="AJ258" s="44"/>
      <c r="AK258" s="44"/>
      <c r="AL258" s="49"/>
      <c r="AM258" s="49"/>
      <c r="AN258" s="49"/>
      <c r="AO258" s="49"/>
      <c r="AP258" s="49"/>
      <c r="AQ258" s="49"/>
      <c r="AR258" s="45"/>
      <c r="AS258" s="44"/>
      <c r="AT258" s="51"/>
    </row>
    <row r="259" spans="1:46" s="47" customFormat="1" ht="12.75" customHeight="1">
      <c r="A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Z259" s="49"/>
      <c r="AA259" s="49"/>
      <c r="AB259" s="49"/>
      <c r="AC259" s="51"/>
      <c r="AD259" s="49"/>
      <c r="AE259" s="51"/>
      <c r="AF259" s="49"/>
      <c r="AG259" s="51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51"/>
    </row>
    <row r="260" spans="1:46" s="47" customFormat="1" ht="12.75" customHeight="1">
      <c r="A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Z260" s="49"/>
      <c r="AA260" s="49"/>
      <c r="AB260" s="49"/>
      <c r="AC260" s="51"/>
      <c r="AD260" s="49"/>
      <c r="AE260" s="51"/>
      <c r="AF260" s="49"/>
      <c r="AG260" s="51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51"/>
    </row>
    <row r="261" spans="1:46" s="47" customFormat="1" ht="12.75" customHeight="1">
      <c r="A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Z261" s="49"/>
      <c r="AA261" s="49"/>
      <c r="AB261" s="49"/>
      <c r="AC261" s="51"/>
      <c r="AD261" s="49"/>
      <c r="AE261" s="51"/>
      <c r="AF261" s="49"/>
      <c r="AG261" s="51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51"/>
    </row>
    <row r="262" spans="1:46" s="47" customFormat="1" ht="12.75" customHeight="1">
      <c r="A262" s="49"/>
      <c r="C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Z262" s="49"/>
      <c r="AA262" s="49"/>
      <c r="AB262" s="49"/>
      <c r="AC262" s="51"/>
      <c r="AD262" s="49"/>
      <c r="AE262" s="51"/>
      <c r="AF262" s="49"/>
      <c r="AG262" s="51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51"/>
    </row>
    <row r="263" spans="1:46" s="47" customFormat="1" ht="12.75" customHeight="1">
      <c r="A263" s="49"/>
      <c r="C263" s="49"/>
      <c r="E263" s="119"/>
      <c r="F263" s="49"/>
      <c r="G263" s="119"/>
      <c r="H263" s="49"/>
      <c r="I263" s="119"/>
      <c r="J263" s="49"/>
      <c r="K263" s="119"/>
      <c r="L263" s="49"/>
      <c r="M263" s="119"/>
      <c r="N263" s="49"/>
      <c r="O263" s="119"/>
      <c r="P263" s="49"/>
      <c r="Q263" s="119"/>
      <c r="R263" s="49"/>
      <c r="S263" s="119"/>
      <c r="T263" s="49"/>
      <c r="U263" s="119"/>
      <c r="V263" s="49"/>
      <c r="W263" s="49"/>
      <c r="X263" s="49"/>
      <c r="Z263" s="49"/>
      <c r="AA263" s="49"/>
      <c r="AB263" s="119"/>
      <c r="AC263" s="51"/>
      <c r="AD263" s="119"/>
      <c r="AE263" s="51"/>
      <c r="AF263" s="119"/>
      <c r="AG263" s="51"/>
      <c r="AH263" s="49"/>
      <c r="AI263" s="49"/>
      <c r="AJ263" s="49"/>
      <c r="AK263" s="49"/>
      <c r="AL263" s="119"/>
      <c r="AM263" s="49"/>
      <c r="AN263" s="119"/>
      <c r="AO263" s="49"/>
      <c r="AP263" s="119"/>
      <c r="AQ263" s="49"/>
      <c r="AR263" s="49"/>
      <c r="AS263" s="49"/>
      <c r="AT263" s="51"/>
    </row>
    <row r="264" spans="1:46" s="47" customFormat="1" ht="12.75" customHeight="1">
      <c r="A264" s="49"/>
      <c r="B264" s="51"/>
      <c r="C264" s="49"/>
      <c r="E264" s="119"/>
      <c r="F264" s="49"/>
      <c r="G264" s="119"/>
      <c r="H264" s="49"/>
      <c r="I264" s="119"/>
      <c r="J264" s="49"/>
      <c r="K264" s="119"/>
      <c r="L264" s="49"/>
      <c r="M264" s="119"/>
      <c r="N264" s="49"/>
      <c r="O264" s="119"/>
      <c r="P264" s="49"/>
      <c r="Q264" s="119"/>
      <c r="R264" s="49"/>
      <c r="S264" s="119"/>
      <c r="T264" s="49"/>
      <c r="U264" s="119"/>
      <c r="V264" s="49"/>
      <c r="W264" s="49"/>
      <c r="X264" s="49"/>
      <c r="Z264" s="49"/>
      <c r="AA264" s="49"/>
      <c r="AB264" s="119"/>
      <c r="AC264" s="51"/>
      <c r="AD264" s="119"/>
      <c r="AE264" s="51"/>
      <c r="AF264" s="119"/>
      <c r="AG264" s="51"/>
      <c r="AH264" s="49"/>
      <c r="AI264" s="49"/>
      <c r="AJ264" s="49"/>
      <c r="AK264" s="49"/>
      <c r="AL264" s="119"/>
      <c r="AM264" s="49"/>
      <c r="AN264" s="119"/>
      <c r="AO264" s="49"/>
      <c r="AP264" s="119"/>
      <c r="AQ264" s="49"/>
      <c r="AR264" s="49"/>
      <c r="AS264" s="49"/>
      <c r="AT264" s="51"/>
    </row>
    <row r="265" spans="1:46" s="47" customFormat="1" ht="12.75" customHeight="1">
      <c r="A265" s="49"/>
      <c r="B265" s="51"/>
      <c r="C265" s="49"/>
      <c r="E265" s="119"/>
      <c r="F265" s="49"/>
      <c r="G265" s="119"/>
      <c r="H265" s="49"/>
      <c r="I265" s="119"/>
      <c r="J265" s="49"/>
      <c r="K265" s="119"/>
      <c r="L265" s="49"/>
      <c r="M265" s="119"/>
      <c r="N265" s="49"/>
      <c r="O265" s="119"/>
      <c r="P265" s="49"/>
      <c r="Q265" s="119"/>
      <c r="R265" s="49"/>
      <c r="S265" s="119"/>
      <c r="T265" s="49"/>
      <c r="U265" s="119"/>
      <c r="V265" s="49"/>
      <c r="W265" s="49"/>
      <c r="X265" s="49"/>
      <c r="Z265" s="49"/>
      <c r="AA265" s="49"/>
      <c r="AB265" s="119"/>
      <c r="AC265" s="51"/>
      <c r="AD265" s="119"/>
      <c r="AE265" s="51"/>
      <c r="AF265" s="119"/>
      <c r="AG265" s="51"/>
      <c r="AH265" s="49"/>
      <c r="AI265" s="49"/>
      <c r="AJ265" s="49"/>
      <c r="AK265" s="49"/>
      <c r="AL265" s="119"/>
      <c r="AM265" s="49"/>
      <c r="AN265" s="119"/>
      <c r="AO265" s="49"/>
      <c r="AP265" s="119"/>
      <c r="AQ265" s="49"/>
      <c r="AR265" s="49"/>
      <c r="AS265" s="49"/>
      <c r="AT265" s="51"/>
    </row>
    <row r="266" spans="1:46" s="47" customFormat="1" ht="12.75" customHeight="1">
      <c r="A266" s="49"/>
      <c r="B266" s="51"/>
      <c r="C266" s="49"/>
      <c r="E266" s="119"/>
      <c r="F266" s="49"/>
      <c r="G266" s="119"/>
      <c r="H266" s="49"/>
      <c r="I266" s="119"/>
      <c r="J266" s="49"/>
      <c r="K266" s="119"/>
      <c r="L266" s="49"/>
      <c r="M266" s="119"/>
      <c r="N266" s="49"/>
      <c r="O266" s="119"/>
      <c r="P266" s="49"/>
      <c r="Q266" s="119"/>
      <c r="R266" s="49"/>
      <c r="S266" s="119"/>
      <c r="T266" s="49"/>
      <c r="U266" s="119"/>
      <c r="V266" s="49"/>
      <c r="W266" s="49"/>
      <c r="X266" s="49"/>
      <c r="Z266" s="49"/>
      <c r="AA266" s="49"/>
      <c r="AB266" s="119"/>
      <c r="AC266" s="51"/>
      <c r="AD266" s="119"/>
      <c r="AE266" s="51"/>
      <c r="AF266" s="119"/>
      <c r="AG266" s="51"/>
      <c r="AH266" s="49"/>
      <c r="AI266" s="49"/>
      <c r="AJ266" s="49"/>
      <c r="AK266" s="49"/>
      <c r="AL266" s="119"/>
      <c r="AM266" s="49"/>
      <c r="AN266" s="119"/>
      <c r="AO266" s="49"/>
      <c r="AP266" s="119"/>
      <c r="AQ266" s="49"/>
      <c r="AR266" s="49"/>
      <c r="AS266" s="49"/>
      <c r="AT266" s="51"/>
    </row>
    <row r="267" spans="1:46" s="47" customFormat="1" ht="12.75" customHeight="1">
      <c r="A267" s="49"/>
      <c r="B267" s="51"/>
      <c r="C267" s="49"/>
      <c r="E267" s="119"/>
      <c r="F267" s="49"/>
      <c r="G267" s="119"/>
      <c r="H267" s="49"/>
      <c r="I267" s="119"/>
      <c r="J267" s="49"/>
      <c r="K267" s="119"/>
      <c r="L267" s="49"/>
      <c r="M267" s="119"/>
      <c r="N267" s="49"/>
      <c r="O267" s="119"/>
      <c r="P267" s="49"/>
      <c r="Q267" s="119"/>
      <c r="R267" s="49"/>
      <c r="S267" s="119"/>
      <c r="T267" s="49"/>
      <c r="U267" s="119"/>
      <c r="V267" s="49"/>
      <c r="W267" s="49"/>
      <c r="X267" s="49"/>
      <c r="Z267" s="49"/>
      <c r="AA267" s="49"/>
      <c r="AB267" s="119"/>
      <c r="AC267" s="51"/>
      <c r="AD267" s="119"/>
      <c r="AE267" s="51"/>
      <c r="AF267" s="119"/>
      <c r="AG267" s="51"/>
      <c r="AH267" s="49"/>
      <c r="AI267" s="49"/>
      <c r="AJ267" s="49"/>
      <c r="AK267" s="49"/>
      <c r="AL267" s="119"/>
      <c r="AM267" s="49"/>
      <c r="AN267" s="119"/>
      <c r="AO267" s="49"/>
      <c r="AP267" s="119"/>
      <c r="AQ267" s="49"/>
      <c r="AR267" s="49"/>
      <c r="AS267" s="49"/>
      <c r="AT267" s="51"/>
    </row>
    <row r="268" spans="1:46" s="47" customFormat="1" ht="12.75" customHeight="1">
      <c r="A268" s="49"/>
      <c r="B268" s="51"/>
      <c r="C268" s="49"/>
      <c r="E268" s="119"/>
      <c r="F268" s="49"/>
      <c r="G268" s="119"/>
      <c r="H268" s="49"/>
      <c r="I268" s="119"/>
      <c r="J268" s="49"/>
      <c r="K268" s="119"/>
      <c r="L268" s="49"/>
      <c r="M268" s="119"/>
      <c r="N268" s="49"/>
      <c r="O268" s="119"/>
      <c r="P268" s="49"/>
      <c r="Q268" s="119"/>
      <c r="R268" s="49"/>
      <c r="S268" s="119"/>
      <c r="T268" s="49"/>
      <c r="U268" s="119"/>
      <c r="V268" s="49"/>
      <c r="W268" s="49"/>
      <c r="X268" s="49"/>
      <c r="Z268" s="49"/>
      <c r="AA268" s="49"/>
      <c r="AB268" s="119"/>
      <c r="AC268" s="51"/>
      <c r="AD268" s="119"/>
      <c r="AE268" s="51"/>
      <c r="AF268" s="119"/>
      <c r="AG268" s="51"/>
      <c r="AH268" s="49"/>
      <c r="AI268" s="49"/>
      <c r="AJ268" s="49"/>
      <c r="AK268" s="49"/>
      <c r="AL268" s="119"/>
      <c r="AM268" s="49"/>
      <c r="AN268" s="119"/>
      <c r="AO268" s="49"/>
      <c r="AP268" s="119"/>
      <c r="AQ268" s="49"/>
      <c r="AR268" s="49"/>
      <c r="AS268" s="49"/>
      <c r="AT268" s="51"/>
    </row>
    <row r="269" spans="1:46" s="47" customFormat="1" ht="12.75" customHeight="1">
      <c r="A269" s="49"/>
      <c r="B269" s="51"/>
      <c r="C269" s="49"/>
      <c r="E269" s="119"/>
      <c r="F269" s="49"/>
      <c r="G269" s="119"/>
      <c r="H269" s="49"/>
      <c r="I269" s="119"/>
      <c r="J269" s="49"/>
      <c r="K269" s="119"/>
      <c r="L269" s="49"/>
      <c r="M269" s="119"/>
      <c r="N269" s="49"/>
      <c r="O269" s="119"/>
      <c r="P269" s="49"/>
      <c r="Q269" s="119"/>
      <c r="R269" s="49"/>
      <c r="S269" s="119"/>
      <c r="T269" s="49"/>
      <c r="U269" s="119"/>
      <c r="V269" s="49"/>
      <c r="W269" s="49"/>
      <c r="X269" s="49"/>
      <c r="Z269" s="49"/>
      <c r="AA269" s="49"/>
      <c r="AB269" s="119"/>
      <c r="AC269" s="51"/>
      <c r="AD269" s="119"/>
      <c r="AE269" s="51"/>
      <c r="AF269" s="119"/>
      <c r="AG269" s="51"/>
      <c r="AH269" s="49"/>
      <c r="AI269" s="49"/>
      <c r="AJ269" s="49"/>
      <c r="AK269" s="49"/>
      <c r="AL269" s="119"/>
      <c r="AM269" s="49"/>
      <c r="AN269" s="119"/>
      <c r="AO269" s="49"/>
      <c r="AP269" s="119"/>
      <c r="AQ269" s="49"/>
      <c r="AR269" s="49"/>
      <c r="AS269" s="49"/>
      <c r="AT269" s="51"/>
    </row>
    <row r="270" spans="1:46" s="47" customFormat="1" ht="12.75" customHeight="1">
      <c r="A270" s="49"/>
      <c r="B270" s="51"/>
      <c r="C270" s="49"/>
      <c r="E270" s="119"/>
      <c r="F270" s="49"/>
      <c r="G270" s="119"/>
      <c r="H270" s="49"/>
      <c r="I270" s="119"/>
      <c r="J270" s="49"/>
      <c r="K270" s="119"/>
      <c r="L270" s="49"/>
      <c r="M270" s="119"/>
      <c r="N270" s="49"/>
      <c r="O270" s="119"/>
      <c r="P270" s="49"/>
      <c r="Q270" s="119"/>
      <c r="R270" s="49"/>
      <c r="S270" s="119"/>
      <c r="T270" s="49"/>
      <c r="U270" s="119"/>
      <c r="V270" s="49"/>
      <c r="W270" s="49"/>
      <c r="X270" s="49"/>
      <c r="Z270" s="49"/>
      <c r="AA270" s="49"/>
      <c r="AB270" s="119"/>
      <c r="AC270" s="51"/>
      <c r="AD270" s="119"/>
      <c r="AE270" s="51"/>
      <c r="AF270" s="119"/>
      <c r="AG270" s="51"/>
      <c r="AH270" s="49"/>
      <c r="AI270" s="49"/>
      <c r="AJ270" s="49"/>
      <c r="AK270" s="49"/>
      <c r="AL270" s="119"/>
      <c r="AM270" s="49"/>
      <c r="AN270" s="119"/>
      <c r="AO270" s="49"/>
      <c r="AP270" s="119"/>
      <c r="AQ270" s="49"/>
      <c r="AR270" s="49"/>
      <c r="AS270" s="49"/>
      <c r="AT270" s="51"/>
    </row>
    <row r="271" spans="1:46" s="47" customFormat="1" ht="12.75" customHeight="1">
      <c r="A271" s="49"/>
      <c r="B271" s="51"/>
      <c r="C271" s="49"/>
      <c r="E271" s="119"/>
      <c r="F271" s="49"/>
      <c r="G271" s="119"/>
      <c r="H271" s="49"/>
      <c r="I271" s="119"/>
      <c r="J271" s="49"/>
      <c r="K271" s="119"/>
      <c r="L271" s="49"/>
      <c r="M271" s="119"/>
      <c r="N271" s="49"/>
      <c r="O271" s="119"/>
      <c r="P271" s="49"/>
      <c r="Q271" s="119"/>
      <c r="R271" s="49"/>
      <c r="S271" s="119"/>
      <c r="T271" s="49"/>
      <c r="U271" s="119"/>
      <c r="V271" s="49"/>
      <c r="W271" s="49"/>
      <c r="X271" s="49"/>
      <c r="Z271" s="49"/>
      <c r="AA271" s="49"/>
      <c r="AB271" s="119"/>
      <c r="AC271" s="51"/>
      <c r="AD271" s="119"/>
      <c r="AE271" s="51"/>
      <c r="AF271" s="119"/>
      <c r="AG271" s="51"/>
      <c r="AH271" s="49"/>
      <c r="AI271" s="49"/>
      <c r="AJ271" s="49"/>
      <c r="AK271" s="49"/>
      <c r="AL271" s="119"/>
      <c r="AM271" s="49"/>
      <c r="AN271" s="119"/>
      <c r="AO271" s="49"/>
      <c r="AP271" s="119"/>
      <c r="AQ271" s="49"/>
      <c r="AR271" s="49"/>
      <c r="AS271" s="49"/>
      <c r="AT271" s="51"/>
    </row>
    <row r="272" spans="1:46" s="47" customFormat="1" ht="12.75" customHeight="1">
      <c r="A272" s="49"/>
      <c r="B272" s="51"/>
      <c r="C272" s="49"/>
      <c r="E272" s="119"/>
      <c r="F272" s="49"/>
      <c r="G272" s="119"/>
      <c r="H272" s="49"/>
      <c r="I272" s="119"/>
      <c r="J272" s="49"/>
      <c r="K272" s="119"/>
      <c r="L272" s="49"/>
      <c r="M272" s="119"/>
      <c r="N272" s="49"/>
      <c r="O272" s="119"/>
      <c r="P272" s="49"/>
      <c r="Q272" s="119"/>
      <c r="R272" s="49"/>
      <c r="S272" s="119"/>
      <c r="T272" s="49"/>
      <c r="U272" s="119"/>
      <c r="V272" s="49"/>
      <c r="W272" s="49"/>
      <c r="X272" s="49"/>
      <c r="Z272" s="49"/>
      <c r="AA272" s="49"/>
      <c r="AB272" s="119"/>
      <c r="AC272" s="51"/>
      <c r="AD272" s="119"/>
      <c r="AE272" s="51"/>
      <c r="AF272" s="119"/>
      <c r="AG272" s="51"/>
      <c r="AH272" s="49"/>
      <c r="AI272" s="49"/>
      <c r="AJ272" s="49"/>
      <c r="AK272" s="49"/>
      <c r="AL272" s="119"/>
      <c r="AM272" s="49"/>
      <c r="AN272" s="119"/>
      <c r="AO272" s="49"/>
      <c r="AP272" s="119"/>
      <c r="AQ272" s="49"/>
      <c r="AR272" s="49"/>
      <c r="AS272" s="49"/>
      <c r="AT272" s="51"/>
    </row>
    <row r="273" spans="1:46" s="47" customFormat="1" ht="12.75" customHeight="1">
      <c r="A273" s="49"/>
      <c r="B273" s="51"/>
      <c r="C273" s="49"/>
      <c r="E273" s="119"/>
      <c r="F273" s="49"/>
      <c r="G273" s="119"/>
      <c r="H273" s="49"/>
      <c r="I273" s="119"/>
      <c r="J273" s="49"/>
      <c r="K273" s="119"/>
      <c r="L273" s="49"/>
      <c r="M273" s="119"/>
      <c r="N273" s="49"/>
      <c r="O273" s="119"/>
      <c r="P273" s="49"/>
      <c r="Q273" s="119"/>
      <c r="R273" s="49"/>
      <c r="S273" s="119"/>
      <c r="T273" s="49"/>
      <c r="U273" s="119"/>
      <c r="V273" s="49"/>
      <c r="W273" s="49"/>
      <c r="X273" s="49"/>
      <c r="Z273" s="49"/>
      <c r="AA273" s="49"/>
      <c r="AB273" s="119"/>
      <c r="AC273" s="51"/>
      <c r="AD273" s="119"/>
      <c r="AE273" s="51"/>
      <c r="AF273" s="119"/>
      <c r="AG273" s="51"/>
      <c r="AH273" s="49"/>
      <c r="AI273" s="49"/>
      <c r="AJ273" s="49"/>
      <c r="AK273" s="49"/>
      <c r="AL273" s="119"/>
      <c r="AM273" s="49"/>
      <c r="AN273" s="119"/>
      <c r="AO273" s="49"/>
      <c r="AP273" s="119"/>
      <c r="AQ273" s="49"/>
      <c r="AR273" s="49"/>
      <c r="AS273" s="49"/>
      <c r="AT273" s="51"/>
    </row>
    <row r="274" spans="1:46" s="47" customFormat="1" ht="12.75" customHeight="1">
      <c r="A274" s="49"/>
      <c r="B274" s="51"/>
      <c r="C274" s="49"/>
      <c r="E274" s="119"/>
      <c r="F274" s="49"/>
      <c r="G274" s="119"/>
      <c r="H274" s="49"/>
      <c r="I274" s="119"/>
      <c r="J274" s="49"/>
      <c r="K274" s="119"/>
      <c r="L274" s="49"/>
      <c r="M274" s="119"/>
      <c r="N274" s="49"/>
      <c r="O274" s="119"/>
      <c r="P274" s="49"/>
      <c r="Q274" s="119"/>
      <c r="R274" s="49"/>
      <c r="S274" s="119"/>
      <c r="T274" s="49"/>
      <c r="U274" s="119"/>
      <c r="V274" s="49"/>
      <c r="W274" s="49"/>
      <c r="X274" s="49"/>
      <c r="Z274" s="49"/>
      <c r="AA274" s="49"/>
      <c r="AB274" s="119"/>
      <c r="AC274" s="51"/>
      <c r="AD274" s="119"/>
      <c r="AE274" s="51"/>
      <c r="AF274" s="119"/>
      <c r="AG274" s="51"/>
      <c r="AH274" s="49"/>
      <c r="AI274" s="49"/>
      <c r="AJ274" s="49"/>
      <c r="AK274" s="49"/>
      <c r="AL274" s="119"/>
      <c r="AM274" s="49"/>
      <c r="AN274" s="119"/>
      <c r="AO274" s="49"/>
      <c r="AP274" s="119"/>
      <c r="AQ274" s="49"/>
      <c r="AR274" s="49"/>
      <c r="AS274" s="49"/>
      <c r="AT274" s="51"/>
    </row>
    <row r="275" spans="1:46" s="47" customFormat="1" ht="12.75" customHeight="1">
      <c r="A275" s="49"/>
      <c r="B275" s="51"/>
      <c r="C275" s="49"/>
      <c r="E275" s="119"/>
      <c r="F275" s="49"/>
      <c r="G275" s="119"/>
      <c r="H275" s="49"/>
      <c r="I275" s="119"/>
      <c r="J275" s="49"/>
      <c r="K275" s="119"/>
      <c r="L275" s="49"/>
      <c r="M275" s="119"/>
      <c r="N275" s="49"/>
      <c r="O275" s="119"/>
      <c r="P275" s="49"/>
      <c r="Q275" s="119"/>
      <c r="R275" s="49"/>
      <c r="S275" s="119"/>
      <c r="T275" s="49"/>
      <c r="U275" s="119"/>
      <c r="V275" s="49"/>
      <c r="W275" s="49"/>
      <c r="X275" s="49"/>
      <c r="Z275" s="49"/>
      <c r="AA275" s="49"/>
      <c r="AB275" s="119"/>
      <c r="AC275" s="51"/>
      <c r="AD275" s="119"/>
      <c r="AE275" s="51"/>
      <c r="AF275" s="119"/>
      <c r="AG275" s="51"/>
      <c r="AH275" s="49"/>
      <c r="AI275" s="49"/>
      <c r="AJ275" s="49"/>
      <c r="AK275" s="49"/>
      <c r="AL275" s="119"/>
      <c r="AM275" s="49"/>
      <c r="AN275" s="119"/>
      <c r="AO275" s="49"/>
      <c r="AP275" s="119"/>
      <c r="AQ275" s="49"/>
      <c r="AR275" s="49"/>
      <c r="AS275" s="49"/>
      <c r="AT275" s="51"/>
    </row>
    <row r="276" spans="1:46" s="47" customFormat="1" ht="12.75" customHeight="1">
      <c r="A276" s="49"/>
      <c r="B276" s="51"/>
      <c r="C276" s="49"/>
      <c r="E276" s="119"/>
      <c r="F276" s="49"/>
      <c r="G276" s="119"/>
      <c r="H276" s="49"/>
      <c r="I276" s="119"/>
      <c r="J276" s="49"/>
      <c r="K276" s="119"/>
      <c r="L276" s="49"/>
      <c r="M276" s="119"/>
      <c r="N276" s="49"/>
      <c r="O276" s="119"/>
      <c r="P276" s="49"/>
      <c r="Q276" s="119"/>
      <c r="R276" s="49"/>
      <c r="S276" s="119"/>
      <c r="T276" s="49"/>
      <c r="U276" s="119"/>
      <c r="V276" s="49"/>
      <c r="W276" s="49"/>
      <c r="X276" s="49"/>
      <c r="Z276" s="49"/>
      <c r="AA276" s="49"/>
      <c r="AB276" s="119"/>
      <c r="AC276" s="51"/>
      <c r="AD276" s="119"/>
      <c r="AE276" s="51"/>
      <c r="AF276" s="119"/>
      <c r="AG276" s="51"/>
      <c r="AH276" s="49"/>
      <c r="AI276" s="49"/>
      <c r="AJ276" s="49"/>
      <c r="AK276" s="49"/>
      <c r="AL276" s="119"/>
      <c r="AM276" s="49"/>
      <c r="AN276" s="119"/>
      <c r="AO276" s="49"/>
      <c r="AP276" s="119"/>
      <c r="AQ276" s="49"/>
      <c r="AR276" s="49"/>
      <c r="AS276" s="49"/>
      <c r="AT276" s="51"/>
    </row>
    <row r="277" spans="1:46" s="47" customFormat="1" ht="12.75" customHeight="1">
      <c r="A277" s="49"/>
      <c r="B277" s="51"/>
      <c r="C277" s="49"/>
      <c r="E277" s="119"/>
      <c r="F277" s="49"/>
      <c r="G277" s="119"/>
      <c r="H277" s="49"/>
      <c r="I277" s="119"/>
      <c r="J277" s="49"/>
      <c r="K277" s="119"/>
      <c r="L277" s="49"/>
      <c r="M277" s="119"/>
      <c r="N277" s="49"/>
      <c r="O277" s="119"/>
      <c r="P277" s="49"/>
      <c r="Q277" s="119"/>
      <c r="R277" s="49"/>
      <c r="S277" s="119"/>
      <c r="T277" s="49"/>
      <c r="U277" s="119"/>
      <c r="V277" s="49"/>
      <c r="W277" s="49"/>
      <c r="X277" s="49"/>
      <c r="Z277" s="49"/>
      <c r="AA277" s="49"/>
      <c r="AB277" s="119"/>
      <c r="AC277" s="51"/>
      <c r="AD277" s="119"/>
      <c r="AE277" s="51"/>
      <c r="AF277" s="119"/>
      <c r="AG277" s="51"/>
      <c r="AH277" s="49"/>
      <c r="AI277" s="49"/>
      <c r="AJ277" s="49"/>
      <c r="AK277" s="49"/>
      <c r="AL277" s="119"/>
      <c r="AM277" s="49"/>
      <c r="AN277" s="119"/>
      <c r="AO277" s="49"/>
      <c r="AP277" s="119"/>
      <c r="AQ277" s="49"/>
      <c r="AR277" s="49"/>
      <c r="AS277" s="49"/>
      <c r="AT277" s="51"/>
    </row>
    <row r="278" spans="1:46" s="47" customFormat="1" ht="12.75" customHeight="1">
      <c r="A278" s="49"/>
      <c r="B278" s="51"/>
      <c r="C278" s="49"/>
      <c r="E278" s="119"/>
      <c r="F278" s="49"/>
      <c r="G278" s="119"/>
      <c r="H278" s="49"/>
      <c r="I278" s="119"/>
      <c r="J278" s="49"/>
      <c r="K278" s="119"/>
      <c r="L278" s="49"/>
      <c r="M278" s="119"/>
      <c r="N278" s="49"/>
      <c r="O278" s="119"/>
      <c r="P278" s="49"/>
      <c r="Q278" s="119"/>
      <c r="R278" s="49"/>
      <c r="S278" s="119"/>
      <c r="T278" s="49"/>
      <c r="U278" s="119"/>
      <c r="V278" s="49"/>
      <c r="W278" s="49"/>
      <c r="X278" s="49"/>
      <c r="Z278" s="49"/>
      <c r="AA278" s="49"/>
      <c r="AB278" s="119"/>
      <c r="AC278" s="51"/>
      <c r="AD278" s="119"/>
      <c r="AE278" s="51"/>
      <c r="AF278" s="119"/>
      <c r="AG278" s="51"/>
      <c r="AH278" s="49"/>
      <c r="AI278" s="49"/>
      <c r="AJ278" s="49"/>
      <c r="AK278" s="49"/>
      <c r="AL278" s="119"/>
      <c r="AM278" s="49"/>
      <c r="AN278" s="119"/>
      <c r="AO278" s="49"/>
      <c r="AP278" s="119"/>
      <c r="AQ278" s="49"/>
      <c r="AR278" s="49"/>
      <c r="AS278" s="49"/>
      <c r="AT278" s="51"/>
    </row>
    <row r="279" spans="1:46" s="47" customFormat="1" ht="12.75" customHeight="1">
      <c r="A279" s="49"/>
      <c r="B279" s="51"/>
      <c r="C279" s="49"/>
      <c r="E279" s="119"/>
      <c r="F279" s="49"/>
      <c r="G279" s="119"/>
      <c r="H279" s="49"/>
      <c r="I279" s="119"/>
      <c r="J279" s="49"/>
      <c r="K279" s="119"/>
      <c r="L279" s="49"/>
      <c r="M279" s="119"/>
      <c r="N279" s="49"/>
      <c r="O279" s="119"/>
      <c r="P279" s="49"/>
      <c r="Q279" s="119"/>
      <c r="R279" s="49"/>
      <c r="S279" s="119"/>
      <c r="T279" s="49"/>
      <c r="U279" s="119"/>
      <c r="V279" s="49"/>
      <c r="W279" s="49"/>
      <c r="X279" s="49"/>
      <c r="Z279" s="49"/>
      <c r="AA279" s="49"/>
      <c r="AB279" s="119"/>
      <c r="AC279" s="51"/>
      <c r="AD279" s="119"/>
      <c r="AE279" s="51"/>
      <c r="AF279" s="119"/>
      <c r="AG279" s="51"/>
      <c r="AH279" s="49"/>
      <c r="AI279" s="49"/>
      <c r="AJ279" s="49"/>
      <c r="AK279" s="49"/>
      <c r="AL279" s="119"/>
      <c r="AM279" s="49"/>
      <c r="AN279" s="119"/>
      <c r="AO279" s="49"/>
      <c r="AP279" s="119"/>
      <c r="AQ279" s="49"/>
      <c r="AR279" s="49"/>
      <c r="AS279" s="49"/>
      <c r="AT279" s="51"/>
    </row>
    <row r="280" spans="1:46" s="47" customFormat="1" ht="12.75" customHeight="1">
      <c r="A280" s="49"/>
      <c r="B280" s="51"/>
      <c r="C280" s="49"/>
      <c r="E280" s="119"/>
      <c r="F280" s="49"/>
      <c r="G280" s="119"/>
      <c r="H280" s="49"/>
      <c r="I280" s="119"/>
      <c r="J280" s="49"/>
      <c r="K280" s="119"/>
      <c r="L280" s="49"/>
      <c r="M280" s="119"/>
      <c r="N280" s="49"/>
      <c r="O280" s="119"/>
      <c r="P280" s="49"/>
      <c r="Q280" s="119"/>
      <c r="R280" s="49"/>
      <c r="S280" s="119"/>
      <c r="T280" s="49"/>
      <c r="U280" s="119"/>
      <c r="V280" s="49"/>
      <c r="W280" s="49"/>
      <c r="X280" s="49"/>
      <c r="Z280" s="49"/>
      <c r="AA280" s="49"/>
      <c r="AB280" s="119"/>
      <c r="AC280" s="51"/>
      <c r="AD280" s="119"/>
      <c r="AE280" s="51"/>
      <c r="AF280" s="119"/>
      <c r="AG280" s="51"/>
      <c r="AH280" s="49"/>
      <c r="AI280" s="49"/>
      <c r="AJ280" s="49"/>
      <c r="AK280" s="49"/>
      <c r="AL280" s="119"/>
      <c r="AM280" s="49"/>
      <c r="AN280" s="119"/>
      <c r="AO280" s="49"/>
      <c r="AP280" s="119"/>
      <c r="AQ280" s="49"/>
      <c r="AR280" s="49"/>
      <c r="AS280" s="49"/>
      <c r="AT280" s="51"/>
    </row>
    <row r="281" spans="1:46" s="47" customFormat="1" ht="12.75" customHeight="1">
      <c r="A281" s="49"/>
      <c r="B281" s="51"/>
      <c r="C281" s="49"/>
      <c r="E281" s="119"/>
      <c r="F281" s="49"/>
      <c r="G281" s="119"/>
      <c r="H281" s="49"/>
      <c r="I281" s="119"/>
      <c r="J281" s="49"/>
      <c r="K281" s="119"/>
      <c r="L281" s="49"/>
      <c r="M281" s="119"/>
      <c r="N281" s="49"/>
      <c r="O281" s="119"/>
      <c r="P281" s="49"/>
      <c r="Q281" s="119"/>
      <c r="R281" s="49"/>
      <c r="S281" s="119"/>
      <c r="T281" s="49"/>
      <c r="U281" s="119"/>
      <c r="V281" s="49"/>
      <c r="W281" s="49"/>
      <c r="X281" s="49"/>
      <c r="Z281" s="49"/>
      <c r="AA281" s="49"/>
      <c r="AB281" s="119"/>
      <c r="AC281" s="51"/>
      <c r="AD281" s="119"/>
      <c r="AE281" s="51"/>
      <c r="AF281" s="119"/>
      <c r="AG281" s="51"/>
      <c r="AH281" s="49"/>
      <c r="AI281" s="49"/>
      <c r="AJ281" s="49"/>
      <c r="AK281" s="49"/>
      <c r="AL281" s="119"/>
      <c r="AM281" s="49"/>
      <c r="AN281" s="119"/>
      <c r="AO281" s="49"/>
      <c r="AP281" s="119"/>
      <c r="AQ281" s="49"/>
      <c r="AR281" s="49"/>
      <c r="AS281" s="49"/>
      <c r="AT281" s="51"/>
    </row>
    <row r="282" spans="1:46" s="47" customFormat="1" ht="12.75" customHeight="1">
      <c r="A282" s="49"/>
      <c r="B282" s="51"/>
      <c r="C282" s="49"/>
      <c r="E282" s="119"/>
      <c r="F282" s="49"/>
      <c r="G282" s="119"/>
      <c r="H282" s="49"/>
      <c r="I282" s="119"/>
      <c r="J282" s="49"/>
      <c r="K282" s="119"/>
      <c r="L282" s="49"/>
      <c r="M282" s="119"/>
      <c r="N282" s="49"/>
      <c r="O282" s="119"/>
      <c r="P282" s="49"/>
      <c r="Q282" s="119"/>
      <c r="R282" s="49"/>
      <c r="S282" s="119"/>
      <c r="T282" s="49"/>
      <c r="U282" s="119"/>
      <c r="V282" s="49"/>
      <c r="W282" s="49"/>
      <c r="X282" s="49"/>
      <c r="Z282" s="49"/>
      <c r="AA282" s="49"/>
      <c r="AB282" s="119"/>
      <c r="AC282" s="51"/>
      <c r="AD282" s="119"/>
      <c r="AE282" s="51"/>
      <c r="AF282" s="119"/>
      <c r="AG282" s="51"/>
      <c r="AH282" s="49"/>
      <c r="AI282" s="49"/>
      <c r="AJ282" s="49"/>
      <c r="AK282" s="49"/>
      <c r="AL282" s="119"/>
      <c r="AM282" s="49"/>
      <c r="AN282" s="119"/>
      <c r="AO282" s="49"/>
      <c r="AP282" s="119"/>
      <c r="AQ282" s="49"/>
      <c r="AR282" s="49"/>
      <c r="AS282" s="49"/>
      <c r="AT282" s="51"/>
    </row>
    <row r="283" spans="1:46" s="47" customFormat="1" ht="12.75" customHeight="1">
      <c r="A283" s="49"/>
      <c r="B283" s="51"/>
      <c r="C283" s="49"/>
      <c r="E283" s="119"/>
      <c r="F283" s="49"/>
      <c r="G283" s="119"/>
      <c r="H283" s="49"/>
      <c r="I283" s="119"/>
      <c r="J283" s="49"/>
      <c r="K283" s="119"/>
      <c r="L283" s="49"/>
      <c r="M283" s="119"/>
      <c r="N283" s="49"/>
      <c r="O283" s="119"/>
      <c r="P283" s="49"/>
      <c r="Q283" s="119"/>
      <c r="R283" s="49"/>
      <c r="S283" s="119"/>
      <c r="T283" s="49"/>
      <c r="U283" s="119"/>
      <c r="V283" s="49"/>
      <c r="W283" s="49"/>
      <c r="X283" s="49"/>
      <c r="Z283" s="49"/>
      <c r="AA283" s="49"/>
      <c r="AB283" s="119"/>
      <c r="AC283" s="51"/>
      <c r="AD283" s="119"/>
      <c r="AE283" s="51"/>
      <c r="AF283" s="119"/>
      <c r="AG283" s="51"/>
      <c r="AH283" s="49"/>
      <c r="AI283" s="49"/>
      <c r="AJ283" s="49"/>
      <c r="AK283" s="49"/>
      <c r="AL283" s="119"/>
      <c r="AM283" s="49"/>
      <c r="AN283" s="119"/>
      <c r="AO283" s="49"/>
      <c r="AP283" s="119"/>
      <c r="AQ283" s="49"/>
      <c r="AR283" s="49"/>
      <c r="AS283" s="49"/>
      <c r="AT283" s="51"/>
    </row>
    <row r="284" spans="1:46" s="47" customFormat="1" ht="12.75" customHeight="1">
      <c r="A284" s="49"/>
      <c r="B284" s="51"/>
      <c r="C284" s="49"/>
      <c r="E284" s="119"/>
      <c r="F284" s="49"/>
      <c r="G284" s="119"/>
      <c r="H284" s="49"/>
      <c r="I284" s="119"/>
      <c r="J284" s="49"/>
      <c r="K284" s="119"/>
      <c r="L284" s="49"/>
      <c r="M284" s="119"/>
      <c r="N284" s="49"/>
      <c r="O284" s="119"/>
      <c r="P284" s="49"/>
      <c r="Q284" s="119"/>
      <c r="R284" s="49"/>
      <c r="S284" s="119"/>
      <c r="T284" s="49"/>
      <c r="U284" s="119"/>
      <c r="V284" s="49"/>
      <c r="W284" s="49"/>
      <c r="X284" s="49"/>
      <c r="Z284" s="49"/>
      <c r="AA284" s="49"/>
      <c r="AB284" s="119"/>
      <c r="AC284" s="51"/>
      <c r="AD284" s="119"/>
      <c r="AE284" s="51"/>
      <c r="AF284" s="119"/>
      <c r="AG284" s="51"/>
      <c r="AH284" s="49"/>
      <c r="AI284" s="49"/>
      <c r="AJ284" s="49"/>
      <c r="AK284" s="49"/>
      <c r="AL284" s="119"/>
      <c r="AM284" s="49"/>
      <c r="AN284" s="119"/>
      <c r="AO284" s="49"/>
      <c r="AP284" s="119"/>
      <c r="AQ284" s="49"/>
      <c r="AR284" s="49"/>
      <c r="AS284" s="49"/>
      <c r="AT284" s="51"/>
    </row>
    <row r="285" spans="1:46" s="47" customFormat="1" ht="12.75" customHeight="1">
      <c r="A285" s="49"/>
      <c r="B285" s="51"/>
      <c r="C285" s="49"/>
      <c r="E285" s="119"/>
      <c r="F285" s="49"/>
      <c r="G285" s="119"/>
      <c r="H285" s="49"/>
      <c r="I285" s="119"/>
      <c r="J285" s="49"/>
      <c r="K285" s="119"/>
      <c r="L285" s="49"/>
      <c r="M285" s="119"/>
      <c r="N285" s="49"/>
      <c r="O285" s="119"/>
      <c r="P285" s="49"/>
      <c r="Q285" s="119"/>
      <c r="R285" s="49"/>
      <c r="S285" s="119"/>
      <c r="T285" s="49"/>
      <c r="U285" s="119"/>
      <c r="V285" s="49"/>
      <c r="W285" s="49"/>
      <c r="X285" s="49"/>
      <c r="Z285" s="49"/>
      <c r="AA285" s="49"/>
      <c r="AB285" s="119"/>
      <c r="AC285" s="51"/>
      <c r="AD285" s="119"/>
      <c r="AE285" s="51"/>
      <c r="AF285" s="119"/>
      <c r="AG285" s="51"/>
      <c r="AH285" s="49"/>
      <c r="AI285" s="49"/>
      <c r="AJ285" s="49"/>
      <c r="AK285" s="49"/>
      <c r="AL285" s="119"/>
      <c r="AM285" s="49"/>
      <c r="AN285" s="119"/>
      <c r="AO285" s="49"/>
      <c r="AP285" s="119"/>
      <c r="AQ285" s="49"/>
      <c r="AR285" s="49"/>
      <c r="AS285" s="49"/>
      <c r="AT285" s="51"/>
    </row>
    <row r="286" spans="1:46" s="47" customFormat="1" ht="12.75" customHeight="1">
      <c r="A286" s="49"/>
      <c r="B286" s="51"/>
      <c r="C286" s="49"/>
      <c r="E286" s="119"/>
      <c r="F286" s="49"/>
      <c r="G286" s="119"/>
      <c r="H286" s="49"/>
      <c r="I286" s="119"/>
      <c r="J286" s="49"/>
      <c r="K286" s="119"/>
      <c r="L286" s="49"/>
      <c r="M286" s="119"/>
      <c r="N286" s="49"/>
      <c r="O286" s="119"/>
      <c r="P286" s="49"/>
      <c r="Q286" s="119"/>
      <c r="R286" s="49"/>
      <c r="S286" s="119"/>
      <c r="T286" s="49"/>
      <c r="U286" s="119"/>
      <c r="V286" s="49"/>
      <c r="W286" s="49"/>
      <c r="X286" s="49"/>
      <c r="Z286" s="49"/>
      <c r="AA286" s="49"/>
      <c r="AB286" s="119"/>
      <c r="AC286" s="51"/>
      <c r="AD286" s="119"/>
      <c r="AE286" s="51"/>
      <c r="AF286" s="119"/>
      <c r="AG286" s="51"/>
      <c r="AH286" s="49"/>
      <c r="AI286" s="49"/>
      <c r="AJ286" s="49"/>
      <c r="AK286" s="49"/>
      <c r="AL286" s="119"/>
      <c r="AM286" s="49"/>
      <c r="AN286" s="119"/>
      <c r="AO286" s="49"/>
      <c r="AP286" s="119"/>
      <c r="AQ286" s="49"/>
      <c r="AR286" s="49"/>
      <c r="AS286" s="49"/>
      <c r="AT286" s="51"/>
    </row>
    <row r="287" spans="1:46" s="47" customFormat="1" ht="12.75" customHeight="1">
      <c r="A287" s="49"/>
      <c r="B287" s="51"/>
      <c r="C287" s="49"/>
      <c r="E287" s="119"/>
      <c r="F287" s="49"/>
      <c r="G287" s="119"/>
      <c r="H287" s="49"/>
      <c r="I287" s="119"/>
      <c r="J287" s="49"/>
      <c r="K287" s="119"/>
      <c r="L287" s="49"/>
      <c r="M287" s="119"/>
      <c r="N287" s="49"/>
      <c r="O287" s="119"/>
      <c r="P287" s="49"/>
      <c r="Q287" s="119"/>
      <c r="R287" s="49"/>
      <c r="S287" s="119"/>
      <c r="T287" s="49"/>
      <c r="U287" s="119"/>
      <c r="V287" s="49"/>
      <c r="W287" s="49"/>
      <c r="X287" s="49"/>
      <c r="Z287" s="49"/>
      <c r="AA287" s="49"/>
      <c r="AB287" s="119"/>
      <c r="AC287" s="51"/>
      <c r="AD287" s="119"/>
      <c r="AE287" s="51"/>
      <c r="AF287" s="119"/>
      <c r="AG287" s="51"/>
      <c r="AH287" s="49"/>
      <c r="AI287" s="49"/>
      <c r="AJ287" s="49"/>
      <c r="AK287" s="49"/>
      <c r="AL287" s="119"/>
      <c r="AM287" s="49"/>
      <c r="AN287" s="119"/>
      <c r="AO287" s="49"/>
      <c r="AP287" s="119"/>
      <c r="AQ287" s="49"/>
      <c r="AR287" s="49"/>
      <c r="AS287" s="49"/>
      <c r="AT287" s="51"/>
    </row>
    <row r="288" spans="1:46" s="47" customFormat="1" ht="12.75" customHeight="1">
      <c r="A288" s="49"/>
      <c r="B288" s="51"/>
      <c r="C288" s="49"/>
      <c r="E288" s="119"/>
      <c r="F288" s="49"/>
      <c r="G288" s="119"/>
      <c r="H288" s="49"/>
      <c r="I288" s="119"/>
      <c r="J288" s="49"/>
      <c r="K288" s="119"/>
      <c r="L288" s="49"/>
      <c r="M288" s="119"/>
      <c r="N288" s="49"/>
      <c r="O288" s="119"/>
      <c r="P288" s="49"/>
      <c r="Q288" s="119"/>
      <c r="R288" s="49"/>
      <c r="S288" s="119"/>
      <c r="T288" s="49"/>
      <c r="U288" s="119"/>
      <c r="V288" s="49"/>
      <c r="W288" s="49"/>
      <c r="X288" s="49"/>
      <c r="Z288" s="49"/>
      <c r="AA288" s="49"/>
      <c r="AB288" s="119"/>
      <c r="AC288" s="51"/>
      <c r="AD288" s="119"/>
      <c r="AE288" s="51"/>
      <c r="AF288" s="119"/>
      <c r="AG288" s="51"/>
      <c r="AH288" s="49"/>
      <c r="AI288" s="49"/>
      <c r="AJ288" s="49"/>
      <c r="AK288" s="49"/>
      <c r="AL288" s="119"/>
      <c r="AM288" s="49"/>
      <c r="AN288" s="119"/>
      <c r="AO288" s="49"/>
      <c r="AP288" s="119"/>
      <c r="AQ288" s="49"/>
      <c r="AR288" s="49"/>
      <c r="AS288" s="49"/>
      <c r="AT288" s="51"/>
    </row>
    <row r="289" spans="1:46" s="47" customFormat="1" ht="12.75" customHeight="1">
      <c r="A289" s="49"/>
      <c r="B289" s="51"/>
      <c r="C289" s="49"/>
      <c r="E289" s="119"/>
      <c r="F289" s="49"/>
      <c r="G289" s="119"/>
      <c r="H289" s="49"/>
      <c r="I289" s="119"/>
      <c r="J289" s="49"/>
      <c r="K289" s="119"/>
      <c r="L289" s="49"/>
      <c r="M289" s="119"/>
      <c r="N289" s="49"/>
      <c r="O289" s="119"/>
      <c r="P289" s="49"/>
      <c r="Q289" s="119"/>
      <c r="R289" s="49"/>
      <c r="S289" s="119"/>
      <c r="T289" s="49"/>
      <c r="U289" s="119"/>
      <c r="V289" s="49"/>
      <c r="W289" s="49"/>
      <c r="X289" s="49"/>
      <c r="Z289" s="49"/>
      <c r="AA289" s="49"/>
      <c r="AB289" s="119"/>
      <c r="AC289" s="51"/>
      <c r="AD289" s="119"/>
      <c r="AE289" s="51"/>
      <c r="AF289" s="119"/>
      <c r="AG289" s="51"/>
      <c r="AH289" s="49"/>
      <c r="AI289" s="49"/>
      <c r="AJ289" s="49"/>
      <c r="AK289" s="49"/>
      <c r="AL289" s="119"/>
      <c r="AM289" s="49"/>
      <c r="AN289" s="119"/>
      <c r="AO289" s="49"/>
      <c r="AP289" s="119"/>
      <c r="AQ289" s="49"/>
      <c r="AR289" s="49"/>
      <c r="AS289" s="49"/>
      <c r="AT289" s="51"/>
    </row>
    <row r="290" spans="1:46" s="47" customFormat="1" ht="12.75" customHeight="1">
      <c r="A290" s="49"/>
      <c r="B290" s="51"/>
      <c r="C290" s="49"/>
      <c r="E290" s="119"/>
      <c r="F290" s="49"/>
      <c r="G290" s="119"/>
      <c r="H290" s="49"/>
      <c r="I290" s="119"/>
      <c r="J290" s="49"/>
      <c r="K290" s="119"/>
      <c r="L290" s="49"/>
      <c r="M290" s="119"/>
      <c r="N290" s="49"/>
      <c r="O290" s="119"/>
      <c r="P290" s="49"/>
      <c r="Q290" s="119"/>
      <c r="R290" s="49"/>
      <c r="S290" s="119"/>
      <c r="T290" s="49"/>
      <c r="U290" s="119"/>
      <c r="V290" s="49"/>
      <c r="W290" s="49"/>
      <c r="X290" s="49"/>
      <c r="Z290" s="49"/>
      <c r="AA290" s="49"/>
      <c r="AB290" s="119"/>
      <c r="AC290" s="51"/>
      <c r="AD290" s="119"/>
      <c r="AE290" s="51"/>
      <c r="AF290" s="119"/>
      <c r="AG290" s="51"/>
      <c r="AH290" s="49"/>
      <c r="AI290" s="49"/>
      <c r="AJ290" s="49"/>
      <c r="AK290" s="49"/>
      <c r="AL290" s="119"/>
      <c r="AM290" s="49"/>
      <c r="AN290" s="119"/>
      <c r="AO290" s="49"/>
      <c r="AP290" s="119"/>
      <c r="AQ290" s="49"/>
      <c r="AR290" s="49"/>
      <c r="AS290" s="49"/>
      <c r="AT290" s="51"/>
    </row>
    <row r="291" spans="1:46" s="47" customFormat="1" ht="12.75" customHeight="1">
      <c r="A291" s="49"/>
      <c r="B291" s="51"/>
      <c r="C291" s="49"/>
      <c r="E291" s="119"/>
      <c r="F291" s="49"/>
      <c r="G291" s="119"/>
      <c r="H291" s="49"/>
      <c r="I291" s="119"/>
      <c r="J291" s="49"/>
      <c r="K291" s="119"/>
      <c r="L291" s="49"/>
      <c r="M291" s="119"/>
      <c r="N291" s="49"/>
      <c r="O291" s="119"/>
      <c r="P291" s="49"/>
      <c r="Q291" s="119"/>
      <c r="R291" s="49"/>
      <c r="S291" s="119"/>
      <c r="T291" s="49"/>
      <c r="U291" s="119"/>
      <c r="V291" s="49"/>
      <c r="W291" s="49"/>
      <c r="X291" s="49"/>
      <c r="Z291" s="49"/>
      <c r="AA291" s="49"/>
      <c r="AB291" s="119"/>
      <c r="AC291" s="51"/>
      <c r="AD291" s="119"/>
      <c r="AE291" s="51"/>
      <c r="AF291" s="119"/>
      <c r="AG291" s="51"/>
      <c r="AH291" s="49"/>
      <c r="AI291" s="49"/>
      <c r="AJ291" s="49"/>
      <c r="AK291" s="49"/>
      <c r="AL291" s="119"/>
      <c r="AM291" s="49"/>
      <c r="AN291" s="119"/>
      <c r="AO291" s="49"/>
      <c r="AP291" s="119"/>
      <c r="AQ291" s="49"/>
      <c r="AR291" s="49"/>
      <c r="AS291" s="49"/>
      <c r="AT291" s="51"/>
    </row>
    <row r="292" spans="1:46" s="47" customFormat="1" ht="12.75" customHeight="1">
      <c r="A292" s="49"/>
      <c r="B292" s="51"/>
      <c r="C292" s="49"/>
      <c r="E292" s="119"/>
      <c r="F292" s="49"/>
      <c r="G292" s="119"/>
      <c r="H292" s="49"/>
      <c r="I292" s="119"/>
      <c r="J292" s="49"/>
      <c r="K292" s="119"/>
      <c r="L292" s="49"/>
      <c r="M292" s="119"/>
      <c r="N292" s="49"/>
      <c r="O292" s="119"/>
      <c r="P292" s="49"/>
      <c r="Q292" s="119"/>
      <c r="R292" s="49"/>
      <c r="S292" s="119"/>
      <c r="T292" s="49"/>
      <c r="U292" s="119"/>
      <c r="V292" s="49"/>
      <c r="W292" s="49"/>
      <c r="X292" s="49"/>
      <c r="Z292" s="49"/>
      <c r="AA292" s="49"/>
      <c r="AB292" s="119"/>
      <c r="AC292" s="51"/>
      <c r="AD292" s="119"/>
      <c r="AE292" s="51"/>
      <c r="AF292" s="119"/>
      <c r="AG292" s="51"/>
      <c r="AH292" s="49"/>
      <c r="AI292" s="49"/>
      <c r="AJ292" s="49"/>
      <c r="AK292" s="49"/>
      <c r="AL292" s="119"/>
      <c r="AM292" s="49"/>
      <c r="AN292" s="119"/>
      <c r="AO292" s="49"/>
      <c r="AP292" s="119"/>
      <c r="AQ292" s="49"/>
      <c r="AR292" s="49"/>
      <c r="AS292" s="49"/>
      <c r="AT292" s="51"/>
    </row>
    <row r="293" spans="1:46" s="47" customFormat="1" ht="12.75" customHeight="1">
      <c r="A293" s="49"/>
      <c r="B293" s="51"/>
      <c r="C293" s="49"/>
      <c r="E293" s="119"/>
      <c r="F293" s="49"/>
      <c r="G293" s="119"/>
      <c r="H293" s="49"/>
      <c r="I293" s="119"/>
      <c r="J293" s="49"/>
      <c r="K293" s="119"/>
      <c r="L293" s="49"/>
      <c r="M293" s="119"/>
      <c r="N293" s="49"/>
      <c r="O293" s="119"/>
      <c r="P293" s="49"/>
      <c r="Q293" s="119"/>
      <c r="R293" s="49"/>
      <c r="S293" s="119"/>
      <c r="T293" s="49"/>
      <c r="U293" s="119"/>
      <c r="V293" s="49"/>
      <c r="W293" s="49"/>
      <c r="X293" s="49"/>
      <c r="Z293" s="49"/>
      <c r="AA293" s="49"/>
      <c r="AB293" s="119"/>
      <c r="AC293" s="51"/>
      <c r="AD293" s="119"/>
      <c r="AE293" s="51"/>
      <c r="AF293" s="119"/>
      <c r="AG293" s="51"/>
      <c r="AH293" s="49"/>
      <c r="AI293" s="49"/>
      <c r="AJ293" s="49"/>
      <c r="AK293" s="49"/>
      <c r="AL293" s="119"/>
      <c r="AM293" s="49"/>
      <c r="AN293" s="119"/>
      <c r="AO293" s="49"/>
      <c r="AP293" s="119"/>
      <c r="AQ293" s="49"/>
      <c r="AR293" s="49"/>
      <c r="AS293" s="49"/>
      <c r="AT293" s="51"/>
    </row>
    <row r="294" spans="1:46" s="47" customFormat="1" ht="12.75" customHeight="1">
      <c r="A294" s="49"/>
      <c r="B294" s="51"/>
      <c r="C294" s="49"/>
      <c r="E294" s="119"/>
      <c r="F294" s="49"/>
      <c r="G294" s="119"/>
      <c r="H294" s="49"/>
      <c r="I294" s="119"/>
      <c r="J294" s="49"/>
      <c r="K294" s="119"/>
      <c r="L294" s="49"/>
      <c r="M294" s="119"/>
      <c r="N294" s="49"/>
      <c r="O294" s="119"/>
      <c r="P294" s="49"/>
      <c r="Q294" s="119"/>
      <c r="R294" s="49"/>
      <c r="S294" s="119"/>
      <c r="T294" s="49"/>
      <c r="U294" s="119"/>
      <c r="V294" s="49"/>
      <c r="W294" s="49"/>
      <c r="X294" s="49"/>
      <c r="Z294" s="49"/>
      <c r="AA294" s="49"/>
      <c r="AB294" s="119"/>
      <c r="AC294" s="51"/>
      <c r="AD294" s="119"/>
      <c r="AE294" s="51"/>
      <c r="AF294" s="119"/>
      <c r="AG294" s="51"/>
      <c r="AH294" s="49"/>
      <c r="AI294" s="49"/>
      <c r="AJ294" s="49"/>
      <c r="AK294" s="49"/>
      <c r="AL294" s="119"/>
      <c r="AM294" s="49"/>
      <c r="AN294" s="119"/>
      <c r="AO294" s="49"/>
      <c r="AP294" s="119"/>
      <c r="AQ294" s="49"/>
      <c r="AR294" s="49"/>
      <c r="AS294" s="49"/>
      <c r="AT294" s="51"/>
    </row>
    <row r="295" spans="1:46" s="47" customFormat="1" ht="12.75" customHeight="1">
      <c r="A295" s="49"/>
      <c r="B295" s="51"/>
      <c r="C295" s="49"/>
      <c r="E295" s="119"/>
      <c r="F295" s="49"/>
      <c r="G295" s="119"/>
      <c r="H295" s="49"/>
      <c r="I295" s="119"/>
      <c r="J295" s="49"/>
      <c r="K295" s="119"/>
      <c r="L295" s="49"/>
      <c r="M295" s="119"/>
      <c r="N295" s="49"/>
      <c r="O295" s="119"/>
      <c r="P295" s="49"/>
      <c r="Q295" s="119"/>
      <c r="R295" s="49"/>
      <c r="S295" s="119"/>
      <c r="T295" s="49"/>
      <c r="U295" s="119"/>
      <c r="V295" s="49"/>
      <c r="W295" s="49"/>
      <c r="X295" s="49"/>
      <c r="Z295" s="49"/>
      <c r="AA295" s="49"/>
      <c r="AB295" s="119"/>
      <c r="AC295" s="51"/>
      <c r="AD295" s="119"/>
      <c r="AE295" s="51"/>
      <c r="AF295" s="119"/>
      <c r="AG295" s="51"/>
      <c r="AH295" s="49"/>
      <c r="AI295" s="49"/>
      <c r="AJ295" s="49"/>
      <c r="AK295" s="49"/>
      <c r="AL295" s="119"/>
      <c r="AM295" s="49"/>
      <c r="AN295" s="119"/>
      <c r="AO295" s="49"/>
      <c r="AP295" s="119"/>
      <c r="AQ295" s="49"/>
      <c r="AR295" s="49"/>
      <c r="AS295" s="49"/>
      <c r="AT295" s="51"/>
    </row>
    <row r="296" spans="1:46" s="47" customFormat="1" ht="12.75" customHeight="1">
      <c r="A296" s="49"/>
      <c r="B296" s="51"/>
      <c r="C296" s="49"/>
      <c r="E296" s="119"/>
      <c r="F296" s="49"/>
      <c r="G296" s="119"/>
      <c r="H296" s="49"/>
      <c r="I296" s="119"/>
      <c r="J296" s="49"/>
      <c r="K296" s="119"/>
      <c r="L296" s="49"/>
      <c r="M296" s="119"/>
      <c r="N296" s="49"/>
      <c r="O296" s="119"/>
      <c r="P296" s="49"/>
      <c r="Q296" s="119"/>
      <c r="R296" s="49"/>
      <c r="S296" s="119"/>
      <c r="T296" s="49"/>
      <c r="U296" s="119"/>
      <c r="V296" s="49"/>
      <c r="W296" s="49"/>
      <c r="X296" s="49"/>
      <c r="Z296" s="49"/>
      <c r="AA296" s="49"/>
      <c r="AB296" s="119"/>
      <c r="AC296" s="51"/>
      <c r="AD296" s="119"/>
      <c r="AE296" s="51"/>
      <c r="AF296" s="119"/>
      <c r="AG296" s="51"/>
      <c r="AH296" s="49"/>
      <c r="AI296" s="49"/>
      <c r="AJ296" s="49"/>
      <c r="AK296" s="49"/>
      <c r="AL296" s="119"/>
      <c r="AM296" s="49"/>
      <c r="AN296" s="119"/>
      <c r="AO296" s="49"/>
      <c r="AP296" s="119"/>
      <c r="AQ296" s="49"/>
      <c r="AR296" s="49"/>
      <c r="AS296" s="49"/>
      <c r="AT296" s="51"/>
    </row>
    <row r="297" spans="1:46" s="47" customFormat="1" ht="12.75" customHeight="1">
      <c r="A297" s="49"/>
      <c r="B297" s="51"/>
      <c r="C297" s="49"/>
      <c r="E297" s="119"/>
      <c r="F297" s="49"/>
      <c r="G297" s="119"/>
      <c r="H297" s="49"/>
      <c r="I297" s="119"/>
      <c r="J297" s="49"/>
      <c r="K297" s="119"/>
      <c r="L297" s="49"/>
      <c r="M297" s="119"/>
      <c r="N297" s="49"/>
      <c r="O297" s="119"/>
      <c r="P297" s="49"/>
      <c r="Q297" s="119"/>
      <c r="R297" s="49"/>
      <c r="S297" s="119"/>
      <c r="T297" s="49"/>
      <c r="U297" s="119"/>
      <c r="V297" s="49"/>
      <c r="W297" s="49"/>
      <c r="X297" s="49"/>
      <c r="Z297" s="49"/>
      <c r="AA297" s="49"/>
      <c r="AB297" s="119"/>
      <c r="AC297" s="51"/>
      <c r="AD297" s="119"/>
      <c r="AE297" s="51"/>
      <c r="AF297" s="119"/>
      <c r="AG297" s="51"/>
      <c r="AH297" s="49"/>
      <c r="AI297" s="49"/>
      <c r="AJ297" s="49"/>
      <c r="AK297" s="49"/>
      <c r="AL297" s="119"/>
      <c r="AM297" s="49"/>
      <c r="AN297" s="119"/>
      <c r="AO297" s="49"/>
      <c r="AP297" s="119"/>
      <c r="AQ297" s="49"/>
      <c r="AR297" s="49"/>
      <c r="AS297" s="49"/>
      <c r="AT297" s="51"/>
    </row>
    <row r="298" spans="1:46" s="47" customFormat="1" ht="12.75" customHeight="1">
      <c r="A298" s="49"/>
      <c r="B298" s="51"/>
      <c r="C298" s="49"/>
      <c r="E298" s="119"/>
      <c r="F298" s="49"/>
      <c r="G298" s="119"/>
      <c r="H298" s="49"/>
      <c r="I298" s="119"/>
      <c r="J298" s="49"/>
      <c r="K298" s="119"/>
      <c r="L298" s="49"/>
      <c r="M298" s="119"/>
      <c r="N298" s="49"/>
      <c r="O298" s="119"/>
      <c r="P298" s="49"/>
      <c r="Q298" s="119"/>
      <c r="R298" s="49"/>
      <c r="S298" s="119"/>
      <c r="T298" s="49"/>
      <c r="U298" s="119"/>
      <c r="V298" s="49"/>
      <c r="W298" s="49"/>
      <c r="X298" s="49"/>
      <c r="Z298" s="49"/>
      <c r="AA298" s="49"/>
      <c r="AB298" s="119"/>
      <c r="AC298" s="51"/>
      <c r="AD298" s="119"/>
      <c r="AE298" s="51"/>
      <c r="AF298" s="119"/>
      <c r="AG298" s="51"/>
      <c r="AH298" s="49"/>
      <c r="AI298" s="49"/>
      <c r="AJ298" s="49"/>
      <c r="AK298" s="49"/>
      <c r="AL298" s="119"/>
      <c r="AM298" s="49"/>
      <c r="AN298" s="119"/>
      <c r="AO298" s="49"/>
      <c r="AP298" s="119"/>
      <c r="AQ298" s="49"/>
      <c r="AR298" s="49"/>
      <c r="AS298" s="49"/>
      <c r="AT298" s="51"/>
    </row>
    <row r="299" spans="1:46" s="47" customFormat="1" ht="12.75" customHeight="1">
      <c r="A299" s="49"/>
      <c r="B299" s="51"/>
      <c r="C299" s="49"/>
      <c r="E299" s="119"/>
      <c r="F299" s="49"/>
      <c r="G299" s="119"/>
      <c r="H299" s="49"/>
      <c r="I299" s="119"/>
      <c r="J299" s="49"/>
      <c r="K299" s="119"/>
      <c r="L299" s="49"/>
      <c r="M299" s="119"/>
      <c r="N299" s="49"/>
      <c r="O299" s="119"/>
      <c r="P299" s="49"/>
      <c r="Q299" s="119"/>
      <c r="R299" s="49"/>
      <c r="S299" s="119"/>
      <c r="T299" s="49"/>
      <c r="U299" s="119"/>
      <c r="V299" s="49"/>
      <c r="W299" s="49"/>
      <c r="X299" s="49"/>
      <c r="Z299" s="49"/>
      <c r="AA299" s="49"/>
      <c r="AB299" s="119"/>
      <c r="AC299" s="51"/>
      <c r="AD299" s="119"/>
      <c r="AE299" s="51"/>
      <c r="AF299" s="119"/>
      <c r="AG299" s="51"/>
      <c r="AH299" s="49"/>
      <c r="AI299" s="49"/>
      <c r="AJ299" s="49"/>
      <c r="AK299" s="49"/>
      <c r="AL299" s="119"/>
      <c r="AM299" s="49"/>
      <c r="AN299" s="119"/>
      <c r="AO299" s="49"/>
      <c r="AP299" s="119"/>
      <c r="AQ299" s="49"/>
      <c r="AR299" s="49"/>
      <c r="AS299" s="49"/>
      <c r="AT299" s="51"/>
    </row>
    <row r="300" spans="1:46" s="47" customFormat="1" ht="12.75" customHeight="1">
      <c r="A300" s="49"/>
      <c r="B300" s="51"/>
      <c r="C300" s="49"/>
      <c r="E300" s="119"/>
      <c r="F300" s="49"/>
      <c r="G300" s="119"/>
      <c r="H300" s="49"/>
      <c r="I300" s="119"/>
      <c r="J300" s="49"/>
      <c r="K300" s="119"/>
      <c r="L300" s="49"/>
      <c r="M300" s="119"/>
      <c r="N300" s="49"/>
      <c r="O300" s="119"/>
      <c r="P300" s="49"/>
      <c r="Q300" s="119"/>
      <c r="R300" s="49"/>
      <c r="S300" s="119"/>
      <c r="T300" s="49"/>
      <c r="U300" s="119"/>
      <c r="V300" s="49"/>
      <c r="W300" s="49"/>
      <c r="X300" s="49"/>
      <c r="Z300" s="49"/>
      <c r="AA300" s="49"/>
      <c r="AB300" s="119"/>
      <c r="AC300" s="51"/>
      <c r="AD300" s="119"/>
      <c r="AE300" s="51"/>
      <c r="AF300" s="119"/>
      <c r="AG300" s="51"/>
      <c r="AH300" s="49"/>
      <c r="AI300" s="49"/>
      <c r="AJ300" s="49"/>
      <c r="AK300" s="49"/>
      <c r="AL300" s="119"/>
      <c r="AM300" s="49"/>
      <c r="AN300" s="119"/>
      <c r="AO300" s="49"/>
      <c r="AP300" s="119"/>
      <c r="AQ300" s="49"/>
      <c r="AR300" s="49"/>
      <c r="AS300" s="49"/>
      <c r="AT300" s="51"/>
    </row>
    <row r="301" spans="1:46" s="47" customFormat="1" ht="12.75" customHeight="1">
      <c r="A301" s="49"/>
      <c r="B301" s="51"/>
      <c r="C301" s="49"/>
      <c r="E301" s="119"/>
      <c r="F301" s="49"/>
      <c r="G301" s="119"/>
      <c r="H301" s="49"/>
      <c r="I301" s="119"/>
      <c r="J301" s="49"/>
      <c r="K301" s="119"/>
      <c r="L301" s="49"/>
      <c r="M301" s="119"/>
      <c r="N301" s="49"/>
      <c r="O301" s="119"/>
      <c r="P301" s="49"/>
      <c r="Q301" s="119"/>
      <c r="R301" s="49"/>
      <c r="S301" s="119"/>
      <c r="T301" s="49"/>
      <c r="U301" s="119"/>
      <c r="V301" s="49"/>
      <c r="W301" s="49"/>
      <c r="X301" s="49"/>
      <c r="Z301" s="49"/>
      <c r="AA301" s="49"/>
      <c r="AB301" s="119"/>
      <c r="AC301" s="51"/>
      <c r="AD301" s="119"/>
      <c r="AE301" s="51"/>
      <c r="AF301" s="119"/>
      <c r="AG301" s="51"/>
      <c r="AH301" s="49"/>
      <c r="AI301" s="49"/>
      <c r="AJ301" s="49"/>
      <c r="AK301" s="49"/>
      <c r="AL301" s="119"/>
      <c r="AM301" s="49"/>
      <c r="AN301" s="119"/>
      <c r="AO301" s="49"/>
      <c r="AP301" s="119"/>
      <c r="AQ301" s="49"/>
      <c r="AR301" s="49"/>
      <c r="AS301" s="49"/>
      <c r="AT301" s="51"/>
    </row>
    <row r="302" spans="1:46" s="47" customFormat="1" ht="12.75" customHeight="1">
      <c r="A302" s="49"/>
      <c r="B302" s="51"/>
      <c r="C302" s="49"/>
      <c r="E302" s="119"/>
      <c r="F302" s="49"/>
      <c r="G302" s="119"/>
      <c r="H302" s="49"/>
      <c r="I302" s="119"/>
      <c r="J302" s="49"/>
      <c r="K302" s="119"/>
      <c r="L302" s="49"/>
      <c r="M302" s="119"/>
      <c r="N302" s="49"/>
      <c r="O302" s="119"/>
      <c r="P302" s="49"/>
      <c r="Q302" s="119"/>
      <c r="R302" s="49"/>
      <c r="S302" s="119"/>
      <c r="T302" s="49"/>
      <c r="U302" s="119"/>
      <c r="V302" s="49"/>
      <c r="W302" s="49"/>
      <c r="X302" s="49"/>
      <c r="Z302" s="49"/>
      <c r="AA302" s="49"/>
      <c r="AB302" s="119"/>
      <c r="AC302" s="51"/>
      <c r="AD302" s="119"/>
      <c r="AE302" s="51"/>
      <c r="AF302" s="119"/>
      <c r="AG302" s="51"/>
      <c r="AH302" s="49"/>
      <c r="AI302" s="49"/>
      <c r="AJ302" s="49"/>
      <c r="AK302" s="49"/>
      <c r="AL302" s="119"/>
      <c r="AM302" s="49"/>
      <c r="AN302" s="119"/>
      <c r="AO302" s="49"/>
      <c r="AP302" s="119"/>
      <c r="AQ302" s="49"/>
      <c r="AR302" s="49"/>
      <c r="AS302" s="49"/>
      <c r="AT302" s="51"/>
    </row>
    <row r="303" spans="1:46" s="47" customFormat="1" ht="12.75" customHeight="1">
      <c r="A303" s="49"/>
      <c r="B303" s="51"/>
      <c r="C303" s="49"/>
      <c r="E303" s="119"/>
      <c r="F303" s="49"/>
      <c r="G303" s="119"/>
      <c r="H303" s="49"/>
      <c r="I303" s="119"/>
      <c r="J303" s="49"/>
      <c r="K303" s="119"/>
      <c r="L303" s="49"/>
      <c r="M303" s="119"/>
      <c r="N303" s="49"/>
      <c r="O303" s="119"/>
      <c r="P303" s="49"/>
      <c r="Q303" s="119"/>
      <c r="R303" s="49"/>
      <c r="S303" s="119"/>
      <c r="T303" s="49"/>
      <c r="U303" s="119"/>
      <c r="V303" s="49"/>
      <c r="W303" s="49"/>
      <c r="X303" s="49"/>
      <c r="Z303" s="49"/>
      <c r="AA303" s="49"/>
      <c r="AB303" s="119"/>
      <c r="AC303" s="51"/>
      <c r="AD303" s="119"/>
      <c r="AE303" s="51"/>
      <c r="AF303" s="119"/>
      <c r="AG303" s="51"/>
      <c r="AH303" s="49"/>
      <c r="AI303" s="49"/>
      <c r="AJ303" s="49"/>
      <c r="AK303" s="49"/>
      <c r="AL303" s="119"/>
      <c r="AM303" s="49"/>
      <c r="AN303" s="119"/>
      <c r="AO303" s="49"/>
      <c r="AP303" s="119"/>
      <c r="AQ303" s="49"/>
      <c r="AR303" s="49"/>
      <c r="AS303" s="49"/>
      <c r="AT303" s="51"/>
    </row>
    <row r="304" spans="1:46" ht="12.75" customHeight="1">
      <c r="E304" s="119"/>
      <c r="G304" s="119"/>
      <c r="I304" s="119"/>
      <c r="K304" s="119"/>
      <c r="M304" s="119"/>
      <c r="O304" s="119"/>
      <c r="Q304" s="119"/>
      <c r="S304" s="119"/>
      <c r="U304" s="119"/>
      <c r="AB304" s="119"/>
      <c r="AD304" s="119"/>
      <c r="AF304" s="119"/>
      <c r="AL304" s="119"/>
      <c r="AN304" s="119"/>
      <c r="AP304" s="119"/>
    </row>
  </sheetData>
  <mergeCells count="2">
    <mergeCell ref="AS122:AT122"/>
    <mergeCell ref="AS226:AT226"/>
  </mergeCells>
  <phoneticPr fontId="4" type="noConversion"/>
  <pageMargins left="0.75" right="0.75" top="0.5" bottom="0.5" header="0" footer="0.3"/>
  <pageSetup scale="86" firstPageNumber="78" pageOrder="overThenDown" orientation="portrait" useFirstPageNumber="1" r:id="rId1"/>
  <headerFooter alignWithMargins="0">
    <oddFooter>&amp;C&amp;"Times New Roman,Regular"&amp;12&amp;P</oddFooter>
  </headerFooter>
  <rowBreaks count="4" manualBreakCount="4">
    <brk id="65" max="37" man="1"/>
    <brk id="123" max="37" man="1"/>
    <brk id="180" max="37" man="1"/>
    <brk id="237" max="3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28</vt:i4>
      </vt:variant>
    </vt:vector>
  </HeadingPairs>
  <TitlesOfParts>
    <vt:vector size="42" baseType="lpstr">
      <vt:lpstr>Stmt net assets</vt:lpstr>
      <vt:lpstr>Stmt of activities-GA rev</vt:lpstr>
      <vt:lpstr>Stmt of activities-GAexp</vt:lpstr>
      <vt:lpstr>Gen Bal</vt:lpstr>
      <vt:lpstr>GV Fund BS</vt:lpstr>
      <vt:lpstr>Gen rev</vt:lpstr>
      <vt:lpstr>Gen exp</vt:lpstr>
      <vt:lpstr>GVFund Rev</vt:lpstr>
      <vt:lpstr>GVFund Exp</vt:lpstr>
      <vt:lpstr>Water</vt:lpstr>
      <vt:lpstr>Sewer</vt:lpstr>
      <vt:lpstr>Electric</vt:lpstr>
      <vt:lpstr>LT Lia GA</vt:lpstr>
      <vt:lpstr>Sanitation</vt:lpstr>
      <vt:lpstr>Electric!Print_Area</vt:lpstr>
      <vt:lpstr>'Gen Bal'!Print_Area</vt:lpstr>
      <vt:lpstr>'Gen exp'!Print_Area</vt:lpstr>
      <vt:lpstr>'Gen rev'!Print_Area</vt:lpstr>
      <vt:lpstr>'GV Fund BS'!Print_Area</vt:lpstr>
      <vt:lpstr>'GVFund Exp'!Print_Area</vt:lpstr>
      <vt:lpstr>'GVFund Rev'!Print_Area</vt:lpstr>
      <vt:lpstr>'LT Lia GA'!Print_Area</vt:lpstr>
      <vt:lpstr>Sanitation!Print_Area</vt:lpstr>
      <vt:lpstr>Sewer!Print_Area</vt:lpstr>
      <vt:lpstr>'Stmt net assets'!Print_Area</vt:lpstr>
      <vt:lpstr>'Stmt of activities-GA rev'!Print_Area</vt:lpstr>
      <vt:lpstr>'Stmt of activities-GAexp'!Print_Area</vt:lpstr>
      <vt:lpstr>Water!Print_Area</vt:lpstr>
      <vt:lpstr>Electric!Print_Titles</vt:lpstr>
      <vt:lpstr>'Gen Bal'!Print_Titles</vt:lpstr>
      <vt:lpstr>'Gen exp'!Print_Titles</vt:lpstr>
      <vt:lpstr>'Gen rev'!Print_Titles</vt:lpstr>
      <vt:lpstr>'GV Fund BS'!Print_Titles</vt:lpstr>
      <vt:lpstr>'GVFund Exp'!Print_Titles</vt:lpstr>
      <vt:lpstr>'GVFund Rev'!Print_Titles</vt:lpstr>
      <vt:lpstr>'LT Lia GA'!Print_Titles</vt:lpstr>
      <vt:lpstr>Sanitation!Print_Titles</vt:lpstr>
      <vt:lpstr>Sewer!Print_Titles</vt:lpstr>
      <vt:lpstr>'Stmt net assets'!Print_Titles</vt:lpstr>
      <vt:lpstr>'Stmt of activities-GA rev'!Print_Titles</vt:lpstr>
      <vt:lpstr>'Stmt of activities-GAexp'!Print_Titles</vt:lpstr>
      <vt:lpstr>Water!Print_Titles</vt:lpstr>
    </vt:vector>
  </TitlesOfParts>
  <Company>Auditor of State of Ohio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Jeffrey G .Wilcheck</cp:lastModifiedBy>
  <cp:lastPrinted>2012-01-24T19:15:27Z</cp:lastPrinted>
  <dcterms:created xsi:type="dcterms:W3CDTF">2004-05-27T13:05:31Z</dcterms:created>
  <dcterms:modified xsi:type="dcterms:W3CDTF">2012-01-24T19:35:12Z</dcterms:modified>
</cp:coreProperties>
</file>