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8145" firstSheet="3" activeTab="11"/>
  </bookViews>
  <sheets>
    <sheet name="St of Net Assets - GA" sheetId="1" r:id="rId1"/>
    <sheet name="St of Activities - GA Rev" sheetId="2" r:id="rId2"/>
    <sheet name="St of Activities - GA Exp" sheetId="3" r:id="rId3"/>
    <sheet name="Gen Fd BS" sheetId="4" r:id="rId4"/>
    <sheet name="Gov Fd BS" sheetId="5" r:id="rId5"/>
    <sheet name="GenRev" sheetId="6" r:id="rId6"/>
    <sheet name="GenExp" sheetId="7" r:id="rId7"/>
    <sheet name="Gov Fd Rv" sheetId="8" r:id="rId8"/>
    <sheet name="Gov Fnd Exp" sheetId="9" r:id="rId9"/>
    <sheet name="Water 1" sheetId="10" r:id="rId10"/>
    <sheet name="Sewer 1" sheetId="11" r:id="rId11"/>
    <sheet name="Landfill" sheetId="12" r:id="rId12"/>
    <sheet name="LT _Lia - GA" sheetId="13" r:id="rId13"/>
  </sheets>
  <externalReferences>
    <externalReference r:id="rId16"/>
    <externalReference r:id="rId17"/>
  </externalReferences>
  <definedNames>
    <definedName name="_xlnm.Print_Area" localSheetId="3">'Gen Fd BS'!$A$9:$O$98</definedName>
    <definedName name="_xlnm.Print_Area" localSheetId="6">'GenExp'!$A$9:$AC$97</definedName>
    <definedName name="_xlnm.Print_Area" localSheetId="5">'GenRev'!$A$10:$Q$98</definedName>
    <definedName name="_xlnm.Print_Area" localSheetId="4">'Gov Fd BS'!$A$1:$O$96</definedName>
    <definedName name="_xlnm.Print_Area" localSheetId="7">'Gov Fd Rv'!$A$9:$Q$96</definedName>
    <definedName name="_xlnm.Print_Area" localSheetId="8">'Gov Fnd Exp'!$A$1:$AC$96</definedName>
    <definedName name="_xlnm.Print_Area" localSheetId="11">'Landfill'!$A$1:$BG$98</definedName>
    <definedName name="_xlnm.Print_Area" localSheetId="12">'LT _Lia - GA'!$A$10:$Q$99</definedName>
    <definedName name="_xlnm.Print_Area" localSheetId="10">'Sewer 1'!$A$1:$BK$94</definedName>
    <definedName name="_xlnm.Print_Area" localSheetId="2">'St of Activities - GA Exp'!$A$1:$Y$99</definedName>
    <definedName name="_xlnm.Print_Area" localSheetId="1">'St of Activities - GA Rev'!$A$1:$Y$99</definedName>
    <definedName name="_xlnm.Print_Area" localSheetId="0">'St of Net Assets - GA'!$A$1:$W$96</definedName>
    <definedName name="_xlnm.Print_Area" localSheetId="9">'Water 1'!$A$1:$BJ$98</definedName>
    <definedName name="_xlnm.Print_Titles" localSheetId="3">'Gen Fd BS'!$1:$9</definedName>
    <definedName name="_xlnm.Print_Titles" localSheetId="6">'GenExp'!$1:$8</definedName>
    <definedName name="_xlnm.Print_Titles" localSheetId="5">'GenRev'!$1:$9</definedName>
    <definedName name="_xlnm.Print_Titles" localSheetId="4">'Gov Fd BS'!$1:$9</definedName>
    <definedName name="_xlnm.Print_Titles" localSheetId="7">'Gov Fd Rv'!$1:$8</definedName>
    <definedName name="_xlnm.Print_Titles" localSheetId="8">'Gov Fnd Exp'!$1:$8</definedName>
    <definedName name="_xlnm.Print_Titles" localSheetId="12">'LT _Lia - GA'!$1:$9</definedName>
    <definedName name="_xlnm.Print_Titles" localSheetId="10">'Sewer 1'!$1:$9</definedName>
    <definedName name="_xlnm.Print_Titles" localSheetId="2">'St of Activities - GA Exp'!$1:$9</definedName>
    <definedName name="_xlnm.Print_Titles" localSheetId="1">'St of Activities - GA Rev'!$1:$9</definedName>
    <definedName name="_xlnm.Print_Titles" localSheetId="0">'St of Net Assets - GA'!$1:$9</definedName>
    <definedName name="_xlnm.Print_Titles" localSheetId="9">'Water 1'!$1:$9</definedName>
  </definedNames>
  <calcPr fullCalcOnLoad="1"/>
</workbook>
</file>

<file path=xl/sharedStrings.xml><?xml version="1.0" encoding="utf-8"?>
<sst xmlns="http://schemas.openxmlformats.org/spreadsheetml/2006/main" count="2179" uniqueCount="258">
  <si>
    <t>Charges for</t>
  </si>
  <si>
    <t>Inter-</t>
  </si>
  <si>
    <t>Special</t>
  </si>
  <si>
    <t>All Other</t>
  </si>
  <si>
    <t>Total</t>
  </si>
  <si>
    <t>County</t>
  </si>
  <si>
    <t>Taxes</t>
  </si>
  <si>
    <t>Tax</t>
  </si>
  <si>
    <t>Services</t>
  </si>
  <si>
    <t>governmental</t>
  </si>
  <si>
    <t>Assessments</t>
  </si>
  <si>
    <t>Revenue</t>
  </si>
  <si>
    <t>Revenues</t>
  </si>
  <si>
    <t>Allen</t>
  </si>
  <si>
    <t>Ashland</t>
  </si>
  <si>
    <t>Ashtabula</t>
  </si>
  <si>
    <t>Athens</t>
  </si>
  <si>
    <t>Auglaize</t>
  </si>
  <si>
    <t>Belmont</t>
  </si>
  <si>
    <t>Bulter</t>
  </si>
  <si>
    <t>Carroll</t>
  </si>
  <si>
    <t>Clark</t>
  </si>
  <si>
    <t>Clinton</t>
  </si>
  <si>
    <t>Columbiana (cash)</t>
  </si>
  <si>
    <t>Coshocton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</si>
  <si>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</si>
  <si>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</si>
  <si>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</si>
  <si>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</si>
  <si>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</si>
  <si>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</si>
  <si>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</si>
  <si>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</si>
  <si>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</si>
  <si>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</si>
  <si>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</si>
  <si>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Guernsey</t>
  </si>
  <si>
    <t>Hamilton</t>
  </si>
  <si>
    <t>Hancock</t>
  </si>
  <si>
    <t>Harrison (cash)</t>
  </si>
  <si>
    <t>Henry</t>
  </si>
  <si>
    <t>Highland (cash)</t>
  </si>
  <si>
    <t>Hocking</t>
  </si>
  <si>
    <t>Holmes</t>
  </si>
  <si>
    <t>Huron</t>
  </si>
  <si>
    <t>Jackson</t>
  </si>
  <si>
    <t>Jefferson</t>
  </si>
  <si>
    <t>Knox</t>
  </si>
  <si>
    <t>Lake</t>
  </si>
  <si>
    <t>Licking</t>
  </si>
  <si>
    <t>Logan</t>
  </si>
  <si>
    <t>Lorain</t>
  </si>
  <si>
    <t>Madison (cash)</t>
  </si>
  <si>
    <t>Mahoning</t>
  </si>
  <si>
    <t>Marion</t>
  </si>
  <si>
    <t>Medina</t>
  </si>
  <si>
    <t>Mercer (cash)</t>
  </si>
  <si>
    <t>Miami</t>
  </si>
  <si>
    <t>Monroe</t>
  </si>
  <si>
    <t>Montgomery</t>
  </si>
  <si>
    <t>Morgan (cash)</t>
  </si>
  <si>
    <t>Muskingum</t>
  </si>
  <si>
    <t>Noble</t>
  </si>
  <si>
    <t>Ottawa</t>
  </si>
  <si>
    <t>Perry (cash)</t>
  </si>
  <si>
    <t>Pickaway</t>
  </si>
  <si>
    <t>Pike</t>
  </si>
  <si>
    <t>Portage</t>
  </si>
  <si>
    <t>Preble</t>
  </si>
  <si>
    <t>Ross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</si>
  <si>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</si>
  <si>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</si>
  <si>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</si>
  <si>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</si>
  <si>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</si>
  <si>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</si>
  <si>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</si>
  <si>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</si>
  <si>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</si>
  <si>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</si>
  <si>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</si>
  <si>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</si>
  <si>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</si>
  <si>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Wood</t>
  </si>
  <si>
    <t>Public</t>
  </si>
  <si>
    <t>Human</t>
  </si>
  <si>
    <t>Conservation</t>
  </si>
  <si>
    <t>Capital</t>
  </si>
  <si>
    <t>Judicial</t>
  </si>
  <si>
    <t>Safety</t>
  </si>
  <si>
    <t>Works</t>
  </si>
  <si>
    <t>Health</t>
  </si>
  <si>
    <t>Expenditures</t>
  </si>
  <si>
    <t>Outlay</t>
  </si>
  <si>
    <t>Principal</t>
  </si>
  <si>
    <t>Fiscal Charges</t>
  </si>
  <si>
    <t>Brown</t>
  </si>
  <si>
    <t>Morrow</t>
  </si>
  <si>
    <t>Sandusky</t>
  </si>
  <si>
    <t>Other Current</t>
  </si>
  <si>
    <t>Interest and</t>
  </si>
  <si>
    <t>Operating</t>
  </si>
  <si>
    <t>Long-Term Obligations</t>
  </si>
  <si>
    <t>General</t>
  </si>
  <si>
    <t>Mortgage and</t>
  </si>
  <si>
    <t>Other</t>
  </si>
  <si>
    <t>Net Working</t>
  </si>
  <si>
    <t>Obligation</t>
  </si>
  <si>
    <t>Long-Term</t>
  </si>
  <si>
    <t>Depreciation</t>
  </si>
  <si>
    <t>Income/Loss</t>
  </si>
  <si>
    <t>Transfers-In</t>
  </si>
  <si>
    <t>Transfers-Out</t>
  </si>
  <si>
    <t>Bonds</t>
  </si>
  <si>
    <t>Loans</t>
  </si>
  <si>
    <t>Obligations</t>
  </si>
  <si>
    <t>Assets</t>
  </si>
  <si>
    <t>Reserved</t>
  </si>
  <si>
    <t>Cash and</t>
  </si>
  <si>
    <t>Deferred</t>
  </si>
  <si>
    <t>Fund</t>
  </si>
  <si>
    <t>Investments</t>
  </si>
  <si>
    <t>Liabilities</t>
  </si>
  <si>
    <t>Balance</t>
  </si>
  <si>
    <t>All</t>
  </si>
  <si>
    <t>Compensated</t>
  </si>
  <si>
    <t>Notes</t>
  </si>
  <si>
    <t>Assessment</t>
  </si>
  <si>
    <t>Leases</t>
  </si>
  <si>
    <t>Absences</t>
  </si>
  <si>
    <t>Payables</t>
  </si>
  <si>
    <t>Payable</t>
  </si>
  <si>
    <t>Paulding (cash)</t>
  </si>
  <si>
    <t xml:space="preserve">Brown </t>
  </si>
  <si>
    <t>Clermont (GASB 34)</t>
  </si>
  <si>
    <t>Greene (GASB 34)</t>
  </si>
  <si>
    <t>Richland (GASB 34)</t>
  </si>
  <si>
    <t>Lucas (GASB 34)</t>
  </si>
  <si>
    <t>Current</t>
  </si>
  <si>
    <t>Wayne (GASB 34)</t>
  </si>
  <si>
    <t>Statement of Net Assets</t>
  </si>
  <si>
    <t>Net Assets</t>
  </si>
  <si>
    <t>Invested in</t>
  </si>
  <si>
    <t>Charges</t>
  </si>
  <si>
    <t>Cap Assets</t>
  </si>
  <si>
    <t>Restricted</t>
  </si>
  <si>
    <t>Unrestricted</t>
  </si>
  <si>
    <t>Program Revenues - Governmental Activities</t>
  </si>
  <si>
    <t>General Revenues</t>
  </si>
  <si>
    <t>Expenses - Governmental Activities</t>
  </si>
  <si>
    <t>Op. Grants</t>
  </si>
  <si>
    <t>Property</t>
  </si>
  <si>
    <t>Investment</t>
  </si>
  <si>
    <t>Changes in</t>
  </si>
  <si>
    <t>Contrib &amp; Int</t>
  </si>
  <si>
    <t>Grants</t>
  </si>
  <si>
    <t>Earnings</t>
  </si>
  <si>
    <t>Transfers</t>
  </si>
  <si>
    <t>Property,</t>
  </si>
  <si>
    <t>Non-Current</t>
  </si>
  <si>
    <t>Expenses Less</t>
  </si>
  <si>
    <t>Non-Operating</t>
  </si>
  <si>
    <t>Changein</t>
  </si>
  <si>
    <t>Plant, &amp; Equip</t>
  </si>
  <si>
    <t>Rev/(Exp)</t>
  </si>
  <si>
    <t>Contributions</t>
  </si>
  <si>
    <t>Additions</t>
  </si>
  <si>
    <t>(Deletions)</t>
  </si>
  <si>
    <t xml:space="preserve">Other </t>
  </si>
  <si>
    <t>Community</t>
  </si>
  <si>
    <t>Development</t>
  </si>
  <si>
    <t>Sales</t>
  </si>
  <si>
    <t>Hardin (cash)</t>
  </si>
  <si>
    <t>Hardin  (cash)</t>
  </si>
  <si>
    <t>Lawrence (cash)</t>
  </si>
  <si>
    <t>Meigs (cash)</t>
  </si>
  <si>
    <t>Champaign  (cash)</t>
  </si>
  <si>
    <t>Champaign (cash)</t>
  </si>
  <si>
    <t>Williams (cash)</t>
  </si>
  <si>
    <t>Wyandot (cash)</t>
  </si>
  <si>
    <t>Putnam (cash)</t>
  </si>
  <si>
    <t>Portage(GASB34)</t>
  </si>
  <si>
    <t xml:space="preserve">Bulter </t>
  </si>
  <si>
    <t>General and</t>
  </si>
  <si>
    <t>Program Reveune</t>
  </si>
  <si>
    <t>Richland</t>
  </si>
  <si>
    <t>Crawford</t>
  </si>
  <si>
    <t>Columbiana</t>
  </si>
  <si>
    <t>Clermont</t>
  </si>
  <si>
    <t>Greene</t>
  </si>
  <si>
    <t>Lucas</t>
  </si>
  <si>
    <t>All Counties Reporting Under GAAP</t>
  </si>
  <si>
    <t>Legislative</t>
  </si>
  <si>
    <t>and Executive</t>
  </si>
  <si>
    <t xml:space="preserve">Pickaway </t>
  </si>
  <si>
    <t xml:space="preserve">Lucas </t>
  </si>
  <si>
    <t>and Recreation</t>
  </si>
  <si>
    <t>Net Income/</t>
  </si>
  <si>
    <t>Amounts Due</t>
  </si>
  <si>
    <t>within</t>
  </si>
  <si>
    <t>One Year</t>
  </si>
  <si>
    <t/>
  </si>
  <si>
    <t>Water Enterprise Fund</t>
  </si>
  <si>
    <t>Landfill Enterprise Funds</t>
  </si>
  <si>
    <t>Sewer Enterprise Fund</t>
  </si>
  <si>
    <t>Landfill Enterprise Fund</t>
  </si>
  <si>
    <t>Revenues from the Statement of Activities</t>
  </si>
  <si>
    <t>Summary Data from the General Fund Balance Sheet</t>
  </si>
  <si>
    <t>General Fund Revenues - Modified Accrual Basis of Accounting</t>
  </si>
  <si>
    <t>General Fund Expenditures - Modified Accrual Basis of Accounting</t>
  </si>
  <si>
    <t>Governmental Fund Expenditures - Modified Accrual Basis of Accounting</t>
  </si>
  <si>
    <t>Statement of Revenues, Expenses, and Changes in Net Assets/Fund Equity</t>
  </si>
  <si>
    <t>Sewer Enterprise Funds</t>
  </si>
  <si>
    <t>Governmental Fund Revenues</t>
  </si>
  <si>
    <t>Due in More</t>
  </si>
  <si>
    <t>Than 1 Year</t>
  </si>
  <si>
    <t>balanced if =0</t>
  </si>
  <si>
    <t>other</t>
  </si>
  <si>
    <t>use</t>
  </si>
  <si>
    <t xml:space="preserve">Financing </t>
  </si>
  <si>
    <t>Sources</t>
  </si>
  <si>
    <t>financing</t>
  </si>
  <si>
    <t>Fund Bal</t>
  </si>
  <si>
    <t>Beginning</t>
  </si>
  <si>
    <t>of Year</t>
  </si>
  <si>
    <t>Inc/(Dec.)</t>
  </si>
  <si>
    <t>in reserves</t>
  </si>
  <si>
    <t>for inventory</t>
  </si>
  <si>
    <t>Balanced</t>
  </si>
  <si>
    <t>if =0</t>
  </si>
  <si>
    <t xml:space="preserve">Due Within </t>
  </si>
  <si>
    <t>1 Year</t>
  </si>
  <si>
    <t>if=0</t>
  </si>
  <si>
    <t>Lawrence</t>
  </si>
  <si>
    <t xml:space="preserve">Lawrence </t>
  </si>
  <si>
    <t xml:space="preserve">Crawford </t>
  </si>
  <si>
    <t xml:space="preserve">Ottawa </t>
  </si>
  <si>
    <t xml:space="preserve">  </t>
  </si>
  <si>
    <t>Water Enterprise Funds</t>
  </si>
  <si>
    <t xml:space="preserve">Greene </t>
  </si>
  <si>
    <t xml:space="preserve"> </t>
  </si>
  <si>
    <t>.</t>
  </si>
  <si>
    <t>(continued)</t>
  </si>
  <si>
    <t>Taxes (1)</t>
  </si>
  <si>
    <t>(1) May include sales and other taxes if not presented separately</t>
  </si>
  <si>
    <t>(Expenses)</t>
  </si>
  <si>
    <t>Change in</t>
  </si>
  <si>
    <t>Net</t>
  </si>
  <si>
    <t>General Long Term Obligations</t>
  </si>
  <si>
    <t>Expenses from the Statement of Activities</t>
  </si>
  <si>
    <t>Summary Data from the Governmental Fund Balance Sheet</t>
  </si>
  <si>
    <t>Unreserved</t>
  </si>
  <si>
    <t>As of December 31, 2005</t>
  </si>
  <si>
    <t>For the Year ended December 31, 2005</t>
  </si>
  <si>
    <t>For the Year Ended December 31, 2005</t>
  </si>
  <si>
    <t>As of Ended December 31, 2005</t>
  </si>
  <si>
    <t>**No Report</t>
  </si>
  <si>
    <t>(Continued)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</si>
</sst>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"/>
    <numFmt numFmtId="170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sz val="10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0"/>
    </font>
    <font>
      <b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Border="1" applyAlignment="1">
      <alignment/>
    </xf>
    <xf numFmtId="3" fontId="5" fillId="0" borderId="0" xfId="16" applyBorder="1" applyAlignment="1">
      <alignment/>
    </xf>
    <xf numFmtId="0" fontId="4" fillId="0" borderId="0" xfId="0" applyBorder="1" applyAlignment="1">
      <alignment/>
    </xf>
    <xf numFmtId="3" fontId="0" fillId="0" borderId="0" xfId="16" applyFont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16" applyFont="1" applyBorder="1" applyAlignment="1">
      <alignment horizontal="right"/>
    </xf>
    <xf numFmtId="3" fontId="0" fillId="0" borderId="0" xfId="16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16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16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7" fontId="4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3" fontId="4" fillId="0" borderId="0" xfId="16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16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3" fontId="4" fillId="0" borderId="0" xfId="16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10" fillId="0" borderId="0" xfId="16" applyFont="1" applyBorder="1" applyAlignment="1">
      <alignment horizontal="left"/>
    </xf>
    <xf numFmtId="3" fontId="4" fillId="0" borderId="0" xfId="16" applyFont="1" applyBorder="1" applyAlignment="1">
      <alignment horizontal="right"/>
    </xf>
    <xf numFmtId="3" fontId="4" fillId="0" borderId="0" xfId="16" applyFont="1" applyBorder="1" applyAlignment="1">
      <alignment horizontal="left"/>
    </xf>
    <xf numFmtId="3" fontId="4" fillId="0" borderId="0" xfId="16" applyFont="1" applyBorder="1" applyAlignment="1">
      <alignment/>
    </xf>
    <xf numFmtId="3" fontId="4" fillId="0" borderId="0" xfId="16" applyFont="1" applyBorder="1" applyAlignment="1">
      <alignment horizontal="center"/>
    </xf>
    <xf numFmtId="3" fontId="4" fillId="0" borderId="2" xfId="16" applyFont="1" applyFill="1" applyBorder="1" applyAlignment="1">
      <alignment horizontal="center"/>
    </xf>
    <xf numFmtId="3" fontId="10" fillId="0" borderId="0" xfId="0" applyNumberFormat="1" applyFont="1" applyAlignment="1">
      <alignment horizontal="left"/>
    </xf>
    <xf numFmtId="37" fontId="4" fillId="0" borderId="0" xfId="0" applyNumberFormat="1" applyFont="1" applyBorder="1" applyAlignment="1">
      <alignment horizontal="center"/>
    </xf>
    <xf numFmtId="37" fontId="4" fillId="0" borderId="3" xfId="0" applyNumberFormat="1" applyFont="1" applyFill="1" applyBorder="1" applyAlignment="1">
      <alignment horizontal="centerContinuous"/>
    </xf>
    <xf numFmtId="37" fontId="4" fillId="0" borderId="3" xfId="0" applyNumberFormat="1" applyFont="1" applyBorder="1" applyAlignment="1">
      <alignment horizontal="centerContinuous"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Border="1" applyAlignment="1">
      <alignment vertical="top"/>
    </xf>
    <xf numFmtId="37" fontId="4" fillId="0" borderId="0" xfId="16" applyNumberFormat="1" applyFont="1" applyBorder="1" applyAlignment="1">
      <alignment horizontal="right"/>
    </xf>
    <xf numFmtId="37" fontId="4" fillId="0" borderId="3" xfId="0" applyNumberFormat="1" applyFont="1" applyFill="1" applyBorder="1" applyAlignment="1">
      <alignment horizontal="center"/>
    </xf>
    <xf numFmtId="37" fontId="4" fillId="0" borderId="3" xfId="0" applyNumberFormat="1" applyFont="1" applyBorder="1" applyAlignment="1">
      <alignment horizontal="center"/>
    </xf>
    <xf numFmtId="37" fontId="4" fillId="0" borderId="3" xfId="0" applyNumberFormat="1" applyFont="1" applyBorder="1" applyAlignment="1">
      <alignment horizontal="center"/>
    </xf>
    <xf numFmtId="37" fontId="5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Continuous"/>
    </xf>
    <xf numFmtId="37" fontId="4" fillId="0" borderId="2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7" fontId="4" fillId="0" borderId="3" xfId="0" applyNumberFormat="1" applyFont="1" applyFill="1" applyBorder="1" applyAlignment="1">
      <alignment horizontal="center"/>
    </xf>
    <xf numFmtId="37" fontId="4" fillId="0" borderId="0" xfId="0" applyNumberFormat="1" applyFont="1" applyBorder="1" applyAlignment="1">
      <alignment horizontal="centerContinuous"/>
    </xf>
    <xf numFmtId="14" fontId="4" fillId="0" borderId="3" xfId="0" applyNumberFormat="1" applyFont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5" fontId="5" fillId="0" borderId="0" xfId="0" applyNumberFormat="1" applyFont="1" applyFill="1" applyAlignment="1">
      <alignment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Fill="1" applyAlignment="1">
      <alignment horizontal="right"/>
    </xf>
    <xf numFmtId="37" fontId="4" fillId="0" borderId="0" xfId="16" applyNumberFormat="1" applyFont="1" applyAlignment="1">
      <alignment horizontal="right"/>
    </xf>
    <xf numFmtId="37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18" applyNumberFormat="1" applyFont="1" applyBorder="1" applyAlignment="1">
      <alignment/>
    </xf>
    <xf numFmtId="5" fontId="4" fillId="0" borderId="0" xfId="18" applyFont="1" applyBorder="1" applyAlignment="1">
      <alignment/>
    </xf>
    <xf numFmtId="3" fontId="5" fillId="0" borderId="0" xfId="16" applyFont="1" applyBorder="1" applyAlignment="1">
      <alignment/>
    </xf>
    <xf numFmtId="37" fontId="4" fillId="0" borderId="3" xfId="0" applyNumberFormat="1" applyFont="1" applyBorder="1" applyAlignment="1" quotePrefix="1">
      <alignment horizontal="centerContinuous"/>
    </xf>
    <xf numFmtId="37" fontId="4" fillId="0" borderId="0" xfId="0" applyNumberFormat="1" applyFont="1" applyBorder="1" applyAlignment="1" quotePrefix="1">
      <alignment horizontal="centerContinuous"/>
    </xf>
    <xf numFmtId="3" fontId="10" fillId="0" borderId="0" xfId="16" applyFont="1" applyBorder="1" applyAlignment="1">
      <alignment/>
    </xf>
    <xf numFmtId="3" fontId="4" fillId="0" borderId="0" xfId="16" applyFont="1" applyBorder="1" applyAlignment="1">
      <alignment/>
    </xf>
    <xf numFmtId="5" fontId="4" fillId="0" borderId="0" xfId="0" applyNumberFormat="1" applyFont="1" applyBorder="1" applyAlignment="1">
      <alignment vertical="top"/>
    </xf>
    <xf numFmtId="37" fontId="4" fillId="0" borderId="0" xfId="16" applyNumberFormat="1" applyFont="1" applyBorder="1" applyAlignment="1">
      <alignment/>
    </xf>
    <xf numFmtId="37" fontId="0" fillId="0" borderId="0" xfId="16" applyNumberFormat="1" applyFont="1" applyBorder="1" applyAlignment="1">
      <alignment/>
    </xf>
    <xf numFmtId="37" fontId="0" fillId="0" borderId="0" xfId="16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5" fontId="4" fillId="0" borderId="0" xfId="16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/>
    </xf>
    <xf numFmtId="37" fontId="0" fillId="0" borderId="0" xfId="15" applyNumberFormat="1" applyFont="1" applyAlignment="1">
      <alignment/>
    </xf>
    <xf numFmtId="3" fontId="4" fillId="2" borderId="0" xfId="0" applyNumberFormat="1" applyFont="1" applyFill="1" applyBorder="1" applyAlignment="1">
      <alignment/>
    </xf>
    <xf numFmtId="37" fontId="4" fillId="3" borderId="0" xfId="0" applyNumberFormat="1" applyFont="1" applyFill="1" applyAlignment="1">
      <alignment/>
    </xf>
    <xf numFmtId="37" fontId="4" fillId="2" borderId="0" xfId="0" applyNumberFormat="1" applyFont="1" applyFill="1" applyAlignment="1">
      <alignment/>
    </xf>
    <xf numFmtId="37" fontId="5" fillId="3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5" fillId="0" borderId="0" xfId="15" applyNumberFormat="1" applyBorder="1" applyAlignment="1">
      <alignment/>
    </xf>
    <xf numFmtId="3" fontId="4" fillId="0" borderId="0" xfId="0" applyNumberFormat="1" applyFont="1" applyFill="1" applyAlignment="1">
      <alignment/>
    </xf>
    <xf numFmtId="37" fontId="4" fillId="0" borderId="0" xfId="16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4" borderId="0" xfId="0" applyFill="1" applyAlignment="1">
      <alignment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3" fontId="4" fillId="4" borderId="0" xfId="0" applyNumberFormat="1" applyFont="1" applyFill="1" applyAlignment="1">
      <alignment/>
    </xf>
    <xf numFmtId="37" fontId="4" fillId="4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0" fillId="4" borderId="0" xfId="0" applyNumberFormat="1" applyFill="1" applyAlignment="1">
      <alignment/>
    </xf>
    <xf numFmtId="37" fontId="0" fillId="4" borderId="0" xfId="0" applyNumberForma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4" fillId="0" borderId="0" xfId="16" applyNumberFormat="1" applyFont="1" applyFill="1" applyBorder="1" applyAlignment="1">
      <alignment horizontal="right"/>
    </xf>
    <xf numFmtId="3" fontId="4" fillId="0" borderId="0" xfId="16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5" fontId="4" fillId="0" borderId="0" xfId="16" applyNumberFormat="1" applyFont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5" fontId="4" fillId="0" borderId="0" xfId="0" applyNumberFormat="1" applyFont="1" applyAlignment="1">
      <alignment horizontal="right"/>
    </xf>
    <xf numFmtId="5" fontId="4" fillId="0" borderId="0" xfId="0" applyNumberFormat="1" applyFont="1" applyFill="1" applyAlignment="1">
      <alignment horizontal="right"/>
    </xf>
    <xf numFmtId="3" fontId="4" fillId="0" borderId="0" xfId="16" applyFont="1" applyFill="1" applyBorder="1" applyAlignment="1">
      <alignment horizontal="center"/>
    </xf>
    <xf numFmtId="5" fontId="0" fillId="0" borderId="0" xfId="0" applyNumberFormat="1" applyAlignment="1">
      <alignment/>
    </xf>
    <xf numFmtId="5" fontId="5" fillId="0" borderId="0" xfId="0" applyNumberFormat="1" applyBorder="1" applyAlignment="1">
      <alignment/>
    </xf>
    <xf numFmtId="5" fontId="5" fillId="0" borderId="0" xfId="16" applyNumberFormat="1" applyBorder="1" applyAlignment="1">
      <alignment/>
    </xf>
    <xf numFmtId="37" fontId="4" fillId="0" borderId="0" xfId="0" applyNumberFormat="1" applyFont="1" applyAlignment="1" quotePrefix="1">
      <alignment horizontal="right"/>
    </xf>
    <xf numFmtId="3" fontId="4" fillId="4" borderId="0" xfId="0" applyNumberFormat="1" applyFont="1" applyFill="1" applyBorder="1" applyAlignment="1">
      <alignment/>
    </xf>
    <xf numFmtId="37" fontId="4" fillId="5" borderId="0" xfId="0" applyNumberFormat="1" applyFont="1" applyFill="1" applyAlignment="1">
      <alignment/>
    </xf>
    <xf numFmtId="37" fontId="4" fillId="4" borderId="0" xfId="0" applyNumberFormat="1" applyFont="1" applyFill="1" applyAlignment="1">
      <alignment/>
    </xf>
    <xf numFmtId="37" fontId="5" fillId="5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3" fontId="4" fillId="5" borderId="0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37" fontId="4" fillId="4" borderId="0" xfId="16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/>
    </xf>
    <xf numFmtId="37" fontId="4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Alignment="1">
      <alignment/>
    </xf>
    <xf numFmtId="3" fontId="4" fillId="4" borderId="0" xfId="16" applyNumberFormat="1" applyFont="1" applyFill="1" applyBorder="1" applyAlignment="1">
      <alignment/>
    </xf>
    <xf numFmtId="0" fontId="4" fillId="4" borderId="0" xfId="0" applyFont="1" applyFill="1" applyBorder="1" applyAlignment="1">
      <alignment horizontal="center" wrapText="1"/>
    </xf>
    <xf numFmtId="0" fontId="5" fillId="4" borderId="0" xfId="0" applyFont="1" applyFill="1" applyAlignment="1">
      <alignment/>
    </xf>
    <xf numFmtId="3" fontId="4" fillId="5" borderId="0" xfId="0" applyNumberFormat="1" applyFont="1" applyFill="1" applyAlignment="1">
      <alignment/>
    </xf>
    <xf numFmtId="37" fontId="4" fillId="5" borderId="0" xfId="0" applyNumberFormat="1" applyFont="1" applyFill="1" applyAlignment="1">
      <alignment horizontal="right"/>
    </xf>
    <xf numFmtId="37" fontId="4" fillId="5" borderId="0" xfId="16" applyNumberFormat="1" applyFont="1" applyFill="1" applyAlignment="1">
      <alignment horizontal="right"/>
    </xf>
    <xf numFmtId="0" fontId="4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37" fontId="4" fillId="6" borderId="0" xfId="0" applyNumberFormat="1" applyFont="1" applyFill="1" applyBorder="1" applyAlignment="1">
      <alignment vertical="top"/>
    </xf>
    <xf numFmtId="37" fontId="4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3" fontId="4" fillId="4" borderId="0" xfId="16" applyFont="1" applyFill="1" applyBorder="1" applyAlignment="1">
      <alignment/>
    </xf>
    <xf numFmtId="37" fontId="4" fillId="4" borderId="0" xfId="16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3" fontId="5" fillId="4" borderId="0" xfId="16" applyFill="1" applyBorder="1" applyAlignment="1">
      <alignment/>
    </xf>
    <xf numFmtId="5" fontId="4" fillId="0" borderId="0" xfId="0" applyNumberFormat="1" applyFont="1" applyFill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JHynes\Local%20Settings\Temporary%20Internet%20Files\OLK8\County%20for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JHynes\My%20Documents\RatioReports\2005%20countie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 of Net Assets - GA"/>
      <sheetName val="St of Activities - GA Rev"/>
      <sheetName val="St of Activities - GA Exp"/>
      <sheetName val="Gen Fd BS"/>
      <sheetName val="Gov Fd BS"/>
      <sheetName val="GenRev"/>
      <sheetName val="GenExp"/>
      <sheetName val="Gov Fd Rv"/>
      <sheetName val="Gov Fnd Exp"/>
      <sheetName val="Water 1"/>
      <sheetName val="Sewer 1"/>
      <sheetName val="Landfill"/>
      <sheetName val="LT _Lia - GA"/>
      <sheetName val="K"/>
      <sheetName val="L"/>
    </sheetNames>
    <sheetDataSet>
      <sheetData sheetId="0">
        <row r="94">
          <cell r="M94">
            <v>0</v>
          </cell>
        </row>
      </sheetData>
      <sheetData sheetId="3">
        <row r="94">
          <cell r="O94">
            <v>0</v>
          </cell>
        </row>
      </sheetData>
      <sheetData sheetId="5">
        <row r="92">
          <cell r="Q92">
            <v>0</v>
          </cell>
        </row>
      </sheetData>
      <sheetData sheetId="6">
        <row r="92">
          <cell r="AC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 of Net Assets - GA"/>
      <sheetName val="St of Activities - GA Rev"/>
      <sheetName val="St of Activities - GA Exp"/>
      <sheetName val="Gen Fd BS"/>
      <sheetName val="Gov Fd BS"/>
      <sheetName val="GenRev"/>
      <sheetName val="GenExp"/>
      <sheetName val="Gov Fd Rv"/>
      <sheetName val="Gov Fnd Exp"/>
      <sheetName val="Water 1"/>
      <sheetName val="Water 2"/>
      <sheetName val="Water 3"/>
      <sheetName val="Sewer 1"/>
      <sheetName val="Sewer 2"/>
      <sheetName val="Sewer 3"/>
      <sheetName val="Landfill"/>
      <sheetName val="LT _Lia - G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3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" width="11.7109375" style="54" customWidth="1"/>
    <col min="4" max="4" width="1.7109375" style="54" customWidth="1"/>
    <col min="5" max="5" width="11.7109375" style="54" customWidth="1"/>
    <col min="6" max="6" width="1.7109375" style="54" customWidth="1"/>
    <col min="7" max="7" width="11.7109375" style="54" customWidth="1"/>
    <col min="8" max="8" width="1.7109375" style="54" customWidth="1"/>
    <col min="9" max="9" width="11.7109375" style="54" customWidth="1"/>
    <col min="10" max="10" width="1.8515625" style="54" customWidth="1"/>
    <col min="11" max="11" width="11.7109375" style="60" customWidth="1"/>
    <col min="12" max="12" width="1.7109375" style="60" customWidth="1"/>
    <col min="13" max="13" width="11.7109375" style="60" customWidth="1"/>
    <col min="14" max="14" width="1.7109375" style="60" customWidth="1"/>
    <col min="15" max="15" width="11.7109375" style="60" customWidth="1"/>
    <col min="16" max="16" width="1.7109375" style="60" customWidth="1"/>
    <col min="17" max="17" width="11.7109375" style="60" customWidth="1"/>
    <col min="18" max="18" width="1.7109375" style="60" customWidth="1"/>
    <col min="19" max="19" width="11.7109375" style="60" customWidth="1"/>
    <col min="20" max="20" width="1.7109375" style="60" customWidth="1"/>
    <col min="21" max="21" width="11.7109375" style="60" customWidth="1"/>
    <col min="22" max="22" width="1.7109375" style="60" customWidth="1"/>
    <col min="23" max="23" width="12.7109375" style="60" customWidth="1"/>
    <col min="24" max="24" width="2.7109375" style="54" customWidth="1"/>
    <col min="25" max="25" width="15.7109375" style="0" customWidth="1"/>
  </cols>
  <sheetData>
    <row r="1" spans="1:25" ht="12.75">
      <c r="A1" s="19" t="s">
        <v>140</v>
      </c>
      <c r="B1" s="20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0"/>
      <c r="Y1" s="69"/>
    </row>
    <row r="2" spans="1:25" ht="12.75">
      <c r="A2" s="19" t="s">
        <v>252</v>
      </c>
      <c r="B2" s="2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60"/>
      <c r="Y2" s="69"/>
    </row>
    <row r="3" spans="1:25" ht="12.75">
      <c r="A3" s="19"/>
      <c r="B3" s="2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60"/>
      <c r="Y3" s="69"/>
    </row>
    <row r="4" spans="1:25" ht="12.75">
      <c r="A4" s="19" t="s">
        <v>191</v>
      </c>
      <c r="B4" s="20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60"/>
      <c r="Y4" s="69"/>
    </row>
    <row r="5" spans="1:25" ht="12.75">
      <c r="A5" s="20"/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60"/>
      <c r="Y5" s="69"/>
    </row>
    <row r="6" spans="1:25" ht="12.75">
      <c r="A6" s="19"/>
      <c r="B6" s="20"/>
      <c r="C6" s="50" t="s">
        <v>116</v>
      </c>
      <c r="D6" s="50"/>
      <c r="E6" s="50"/>
      <c r="F6" s="50"/>
      <c r="G6" s="50"/>
      <c r="H6" s="50"/>
      <c r="I6" s="50"/>
      <c r="J6" s="23"/>
      <c r="K6" s="50" t="s">
        <v>122</v>
      </c>
      <c r="L6" s="50"/>
      <c r="M6" s="50"/>
      <c r="N6" s="50"/>
      <c r="O6" s="50"/>
      <c r="P6" s="23"/>
      <c r="Q6" s="50" t="s">
        <v>141</v>
      </c>
      <c r="R6" s="50"/>
      <c r="S6" s="50"/>
      <c r="T6" s="50"/>
      <c r="U6" s="50"/>
      <c r="V6" s="50"/>
      <c r="W6" s="50"/>
      <c r="X6" s="60"/>
      <c r="Y6" s="69"/>
    </row>
    <row r="7" spans="1:25" ht="12.75">
      <c r="A7" s="21"/>
      <c r="B7" s="21"/>
      <c r="C7" s="52" t="s">
        <v>138</v>
      </c>
      <c r="D7" s="52"/>
      <c r="E7" s="52" t="s">
        <v>87</v>
      </c>
      <c r="F7" s="52"/>
      <c r="G7" s="52" t="s">
        <v>119</v>
      </c>
      <c r="H7" s="52"/>
      <c r="I7" s="52" t="s">
        <v>4</v>
      </c>
      <c r="J7" s="23"/>
      <c r="K7" s="52" t="s">
        <v>138</v>
      </c>
      <c r="L7" s="52"/>
      <c r="M7" s="52" t="s">
        <v>214</v>
      </c>
      <c r="N7" s="52"/>
      <c r="O7" s="52" t="s">
        <v>4</v>
      </c>
      <c r="P7" s="23"/>
      <c r="Q7" s="53" t="s">
        <v>142</v>
      </c>
      <c r="R7" s="53"/>
      <c r="S7" s="53"/>
      <c r="T7" s="53"/>
      <c r="U7" s="53"/>
      <c r="V7" s="53"/>
      <c r="W7" s="52" t="s">
        <v>4</v>
      </c>
      <c r="X7" s="60"/>
      <c r="Y7" s="69"/>
    </row>
    <row r="8" spans="1:25" ht="12.75">
      <c r="A8" s="77" t="s">
        <v>5</v>
      </c>
      <c r="B8" s="71"/>
      <c r="C8" s="59" t="s">
        <v>116</v>
      </c>
      <c r="D8" s="53"/>
      <c r="E8" s="59" t="s">
        <v>116</v>
      </c>
      <c r="F8" s="53"/>
      <c r="G8" s="59" t="s">
        <v>143</v>
      </c>
      <c r="H8" s="53"/>
      <c r="I8" s="59" t="s">
        <v>116</v>
      </c>
      <c r="J8" s="51"/>
      <c r="K8" s="72" t="s">
        <v>122</v>
      </c>
      <c r="L8" s="75"/>
      <c r="M8" s="72" t="s">
        <v>215</v>
      </c>
      <c r="N8" s="75"/>
      <c r="O8" s="59" t="s">
        <v>122</v>
      </c>
      <c r="P8" s="51"/>
      <c r="Q8" s="59" t="s">
        <v>144</v>
      </c>
      <c r="R8" s="53"/>
      <c r="S8" s="59" t="s">
        <v>145</v>
      </c>
      <c r="T8" s="53"/>
      <c r="U8" s="59" t="s">
        <v>146</v>
      </c>
      <c r="V8" s="53"/>
      <c r="W8" s="72" t="s">
        <v>141</v>
      </c>
      <c r="X8" s="60"/>
      <c r="Y8" s="69" t="s">
        <v>216</v>
      </c>
    </row>
    <row r="9" spans="1:25" ht="12.75">
      <c r="A9" s="71"/>
      <c r="B9" s="71"/>
      <c r="C9" s="53"/>
      <c r="D9" s="53"/>
      <c r="E9" s="53"/>
      <c r="F9" s="53"/>
      <c r="G9" s="53"/>
      <c r="H9" s="53"/>
      <c r="I9" s="53"/>
      <c r="J9" s="23"/>
      <c r="K9" s="75"/>
      <c r="L9" s="75"/>
      <c r="M9" s="75"/>
      <c r="N9" s="75"/>
      <c r="O9" s="53"/>
      <c r="P9" s="23"/>
      <c r="Q9" s="53"/>
      <c r="R9" s="53"/>
      <c r="S9" s="53"/>
      <c r="T9" s="53"/>
      <c r="U9" s="53"/>
      <c r="V9" s="53"/>
      <c r="W9" s="75"/>
      <c r="X9" s="60"/>
      <c r="Y9" s="69"/>
    </row>
    <row r="10" spans="1:25" ht="12.75">
      <c r="A10" s="30" t="s">
        <v>13</v>
      </c>
      <c r="B10" s="30"/>
      <c r="C10" s="142">
        <f>+I10-E10-G10</f>
        <v>62305989</v>
      </c>
      <c r="D10" s="142"/>
      <c r="E10" s="142">
        <f>5469422+60549739</f>
        <v>66019161</v>
      </c>
      <c r="F10" s="142"/>
      <c r="G10" s="142">
        <v>11414307</v>
      </c>
      <c r="H10" s="142"/>
      <c r="I10" s="142">
        <v>139739457</v>
      </c>
      <c r="J10" s="142"/>
      <c r="K10" s="142">
        <f>+O10-M10</f>
        <v>26517918</v>
      </c>
      <c r="L10" s="142"/>
      <c r="M10" s="142">
        <v>27601879</v>
      </c>
      <c r="N10" s="142"/>
      <c r="O10" s="142">
        <v>54119797</v>
      </c>
      <c r="P10" s="142"/>
      <c r="Q10" s="142">
        <v>42426338</v>
      </c>
      <c r="R10" s="142"/>
      <c r="S10" s="143">
        <f>W10-U10-Q10</f>
        <v>31319874</v>
      </c>
      <c r="T10" s="142"/>
      <c r="U10" s="142">
        <v>11873448</v>
      </c>
      <c r="V10" s="142"/>
      <c r="W10" s="142">
        <v>85619660</v>
      </c>
      <c r="X10" s="81"/>
      <c r="Y10" s="81">
        <f>I10-O10-W10</f>
        <v>0</v>
      </c>
    </row>
    <row r="11" spans="1:25" ht="12.75">
      <c r="A11" s="30" t="s">
        <v>14</v>
      </c>
      <c r="B11" s="30"/>
      <c r="C11" s="80">
        <f aca="true" t="shared" si="0" ref="C11:C27">+I11-E11-G11</f>
        <v>19783442</v>
      </c>
      <c r="D11" s="80"/>
      <c r="E11" s="80">
        <f>884068+44234506</f>
        <v>45118574</v>
      </c>
      <c r="F11" s="80"/>
      <c r="G11" s="80">
        <v>6541399</v>
      </c>
      <c r="H11" s="80"/>
      <c r="I11" s="80">
        <v>71443415</v>
      </c>
      <c r="J11" s="80"/>
      <c r="K11" s="80">
        <f aca="true" t="shared" si="1" ref="K11:K27">+O11-M11</f>
        <v>8984858</v>
      </c>
      <c r="L11" s="80"/>
      <c r="M11" s="80">
        <v>4962383</v>
      </c>
      <c r="N11" s="80"/>
      <c r="O11" s="80">
        <v>13947241</v>
      </c>
      <c r="P11" s="80"/>
      <c r="Q11" s="80">
        <v>40393574</v>
      </c>
      <c r="R11" s="80"/>
      <c r="S11" s="23">
        <f aca="true" t="shared" si="2" ref="S11:S27">W11-U11-Q11</f>
        <v>11914130</v>
      </c>
      <c r="T11" s="80"/>
      <c r="U11" s="80">
        <v>5188470</v>
      </c>
      <c r="V11" s="80"/>
      <c r="W11" s="80">
        <v>57496174</v>
      </c>
      <c r="X11" s="81"/>
      <c r="Y11" s="81">
        <f aca="true" t="shared" si="3" ref="Y11:Y27">I11-O11-W11</f>
        <v>0</v>
      </c>
    </row>
    <row r="12" spans="1:25" ht="12.75">
      <c r="A12" s="30" t="s">
        <v>15</v>
      </c>
      <c r="B12" s="30"/>
      <c r="C12" s="80">
        <f t="shared" si="0"/>
        <v>46822962</v>
      </c>
      <c r="D12" s="80"/>
      <c r="E12" s="80">
        <f>105649174+28825063</f>
        <v>134474237</v>
      </c>
      <c r="F12" s="80"/>
      <c r="G12" s="80">
        <v>14335334</v>
      </c>
      <c r="H12" s="80"/>
      <c r="I12" s="80">
        <v>195632533</v>
      </c>
      <c r="J12" s="80"/>
      <c r="K12" s="80">
        <f t="shared" si="1"/>
        <v>20600060</v>
      </c>
      <c r="L12" s="80"/>
      <c r="M12" s="80">
        <v>8696589</v>
      </c>
      <c r="N12" s="80"/>
      <c r="O12" s="80">
        <v>29296649</v>
      </c>
      <c r="P12" s="80"/>
      <c r="Q12" s="80">
        <v>126877452</v>
      </c>
      <c r="R12" s="80"/>
      <c r="S12" s="23">
        <f t="shared" si="2"/>
        <v>34486748</v>
      </c>
      <c r="T12" s="80"/>
      <c r="U12" s="80">
        <v>4971684</v>
      </c>
      <c r="V12" s="80"/>
      <c r="W12" s="80">
        <v>166335884</v>
      </c>
      <c r="X12" s="81"/>
      <c r="Y12" s="81">
        <f t="shared" si="3"/>
        <v>0</v>
      </c>
    </row>
    <row r="13" spans="1:25" ht="12.75">
      <c r="A13" s="30" t="s">
        <v>16</v>
      </c>
      <c r="B13" s="30"/>
      <c r="C13" s="80">
        <f t="shared" si="0"/>
        <v>20526567</v>
      </c>
      <c r="D13" s="80"/>
      <c r="E13" s="80">
        <f>998516+63901341</f>
        <v>64899857</v>
      </c>
      <c r="F13" s="80"/>
      <c r="G13" s="80">
        <v>9298944</v>
      </c>
      <c r="H13" s="80"/>
      <c r="I13" s="80">
        <v>94725368</v>
      </c>
      <c r="J13" s="80"/>
      <c r="K13" s="80">
        <f t="shared" si="1"/>
        <v>13376396</v>
      </c>
      <c r="L13" s="80"/>
      <c r="M13" s="80">
        <v>6731484</v>
      </c>
      <c r="N13" s="80"/>
      <c r="O13" s="80">
        <v>20107880</v>
      </c>
      <c r="P13" s="80"/>
      <c r="Q13" s="80">
        <v>61657896</v>
      </c>
      <c r="R13" s="80"/>
      <c r="S13" s="23">
        <f t="shared" si="2"/>
        <v>14931328</v>
      </c>
      <c r="T13" s="80"/>
      <c r="U13" s="80">
        <v>-1971736</v>
      </c>
      <c r="V13" s="80"/>
      <c r="W13" s="80">
        <v>74617488</v>
      </c>
      <c r="X13" s="81"/>
      <c r="Y13" s="81">
        <f t="shared" si="3"/>
        <v>0</v>
      </c>
    </row>
    <row r="14" spans="1:25" ht="12.75">
      <c r="A14" s="30" t="s">
        <v>17</v>
      </c>
      <c r="B14" s="30"/>
      <c r="C14" s="80">
        <f t="shared" si="0"/>
        <v>24611825</v>
      </c>
      <c r="D14" s="80"/>
      <c r="E14" s="80">
        <f>4100716+16978696</f>
        <v>21079412</v>
      </c>
      <c r="F14" s="80"/>
      <c r="G14" s="80">
        <v>5690550</v>
      </c>
      <c r="H14" s="80"/>
      <c r="I14" s="80">
        <v>51381787</v>
      </c>
      <c r="J14" s="80"/>
      <c r="K14" s="80">
        <f t="shared" si="1"/>
        <v>8702239</v>
      </c>
      <c r="L14" s="80"/>
      <c r="M14" s="80">
        <v>2916008</v>
      </c>
      <c r="N14" s="80"/>
      <c r="O14" s="80">
        <v>11618247</v>
      </c>
      <c r="P14" s="80"/>
      <c r="Q14" s="80">
        <v>19884413</v>
      </c>
      <c r="R14" s="80"/>
      <c r="S14" s="23">
        <f t="shared" si="2"/>
        <v>16856734</v>
      </c>
      <c r="T14" s="80"/>
      <c r="U14" s="80">
        <v>3022393</v>
      </c>
      <c r="V14" s="80"/>
      <c r="W14" s="80">
        <v>39763540</v>
      </c>
      <c r="X14" s="81"/>
      <c r="Y14" s="81">
        <f t="shared" si="3"/>
        <v>0</v>
      </c>
    </row>
    <row r="15" spans="1:25" ht="12.75">
      <c r="A15" s="30" t="s">
        <v>18</v>
      </c>
      <c r="B15" s="30"/>
      <c r="C15" s="80">
        <f t="shared" si="0"/>
        <v>42736199</v>
      </c>
      <c r="D15" s="80"/>
      <c r="E15" s="80">
        <f>13800598+46843024</f>
        <v>60643622</v>
      </c>
      <c r="F15" s="80"/>
      <c r="G15" s="80">
        <v>8686594</v>
      </c>
      <c r="H15" s="80"/>
      <c r="I15" s="80">
        <v>112066415</v>
      </c>
      <c r="J15" s="80"/>
      <c r="K15" s="80">
        <f t="shared" si="1"/>
        <v>14470016</v>
      </c>
      <c r="L15" s="80"/>
      <c r="M15" s="80">
        <v>8043382</v>
      </c>
      <c r="N15" s="80"/>
      <c r="O15" s="80">
        <v>22513398</v>
      </c>
      <c r="P15" s="80"/>
      <c r="Q15" s="80">
        <v>52224190</v>
      </c>
      <c r="R15" s="80"/>
      <c r="S15" s="23">
        <f t="shared" si="2"/>
        <v>24686473</v>
      </c>
      <c r="T15" s="80"/>
      <c r="U15" s="80">
        <v>12642354</v>
      </c>
      <c r="V15" s="80"/>
      <c r="W15" s="80">
        <v>89553017</v>
      </c>
      <c r="X15" s="81"/>
      <c r="Y15" s="81">
        <f t="shared" si="3"/>
        <v>0</v>
      </c>
    </row>
    <row r="16" spans="1:25" ht="12.75" hidden="1">
      <c r="A16" s="30" t="s">
        <v>133</v>
      </c>
      <c r="B16" s="30"/>
      <c r="C16" s="80">
        <f t="shared" si="0"/>
        <v>0</v>
      </c>
      <c r="D16" s="80"/>
      <c r="E16" s="80">
        <v>0</v>
      </c>
      <c r="F16" s="80"/>
      <c r="G16" s="80">
        <v>0</v>
      </c>
      <c r="H16" s="80"/>
      <c r="I16" s="80">
        <v>0</v>
      </c>
      <c r="J16" s="80"/>
      <c r="K16" s="80">
        <f t="shared" si="1"/>
        <v>0</v>
      </c>
      <c r="L16" s="80"/>
      <c r="M16" s="80">
        <v>0</v>
      </c>
      <c r="N16" s="80"/>
      <c r="O16" s="80">
        <v>0</v>
      </c>
      <c r="P16" s="80"/>
      <c r="Q16" s="80">
        <v>0</v>
      </c>
      <c r="R16" s="80"/>
      <c r="S16" s="23">
        <f t="shared" si="2"/>
        <v>0</v>
      </c>
      <c r="T16" s="80"/>
      <c r="U16" s="80">
        <v>0</v>
      </c>
      <c r="V16" s="80"/>
      <c r="W16" s="80">
        <v>0</v>
      </c>
      <c r="X16" s="81"/>
      <c r="Y16" s="81">
        <f t="shared" si="3"/>
        <v>0</v>
      </c>
    </row>
    <row r="17" spans="1:25" s="82" customFormat="1" ht="12.75">
      <c r="A17" s="79" t="s">
        <v>182</v>
      </c>
      <c r="B17" s="79"/>
      <c r="C17" s="80">
        <f t="shared" si="0"/>
        <v>145544558</v>
      </c>
      <c r="D17" s="80"/>
      <c r="E17" s="80">
        <f>244599017+118919604</f>
        <v>363518621</v>
      </c>
      <c r="F17" s="80"/>
      <c r="G17" s="80">
        <v>42085864</v>
      </c>
      <c r="H17" s="80"/>
      <c r="I17" s="80">
        <v>551149043</v>
      </c>
      <c r="J17" s="80"/>
      <c r="K17" s="80">
        <f t="shared" si="1"/>
        <v>99227196</v>
      </c>
      <c r="L17" s="80"/>
      <c r="M17" s="80">
        <v>93762655</v>
      </c>
      <c r="N17" s="80"/>
      <c r="O17" s="80">
        <v>192989851</v>
      </c>
      <c r="P17" s="80"/>
      <c r="Q17" s="80">
        <v>274568990</v>
      </c>
      <c r="R17" s="80"/>
      <c r="S17" s="23">
        <f t="shared" si="2"/>
        <v>92701032</v>
      </c>
      <c r="T17" s="80"/>
      <c r="U17" s="80">
        <v>-9110830</v>
      </c>
      <c r="V17" s="80"/>
      <c r="W17" s="80">
        <v>358159192</v>
      </c>
      <c r="X17" s="81"/>
      <c r="Y17" s="81">
        <f t="shared" si="3"/>
        <v>0</v>
      </c>
    </row>
    <row r="18" spans="1:25" ht="12.75">
      <c r="A18" s="30" t="s">
        <v>20</v>
      </c>
      <c r="B18" s="30"/>
      <c r="C18" s="80">
        <f t="shared" si="0"/>
        <v>8595664</v>
      </c>
      <c r="D18" s="80"/>
      <c r="E18" s="80">
        <v>10589819</v>
      </c>
      <c r="F18" s="80"/>
      <c r="G18" s="80">
        <v>3993000</v>
      </c>
      <c r="H18" s="80"/>
      <c r="I18" s="80">
        <v>23178483</v>
      </c>
      <c r="J18" s="80"/>
      <c r="K18" s="80">
        <f t="shared" si="1"/>
        <v>4966137</v>
      </c>
      <c r="L18" s="80"/>
      <c r="M18" s="80">
        <v>1268937</v>
      </c>
      <c r="N18" s="80"/>
      <c r="O18" s="80">
        <v>6235074</v>
      </c>
      <c r="P18" s="80"/>
      <c r="Q18" s="80">
        <v>10185158</v>
      </c>
      <c r="R18" s="80"/>
      <c r="S18" s="23">
        <f t="shared" si="2"/>
        <v>4786373</v>
      </c>
      <c r="T18" s="80"/>
      <c r="U18" s="80">
        <v>1971878</v>
      </c>
      <c r="V18" s="80"/>
      <c r="W18" s="80">
        <v>16943409</v>
      </c>
      <c r="X18" s="81"/>
      <c r="Y18" s="81">
        <f t="shared" si="3"/>
        <v>0</v>
      </c>
    </row>
    <row r="19" spans="1:25" ht="12.75" hidden="1">
      <c r="A19" s="30" t="s">
        <v>176</v>
      </c>
      <c r="B19" s="30"/>
      <c r="C19" s="80">
        <f t="shared" si="0"/>
        <v>0</v>
      </c>
      <c r="D19" s="80"/>
      <c r="E19" s="80">
        <v>0</v>
      </c>
      <c r="F19" s="80"/>
      <c r="G19" s="80">
        <v>0</v>
      </c>
      <c r="H19" s="80"/>
      <c r="I19" s="80">
        <v>0</v>
      </c>
      <c r="J19" s="80"/>
      <c r="K19" s="80">
        <f t="shared" si="1"/>
        <v>0</v>
      </c>
      <c r="L19" s="80"/>
      <c r="M19" s="80">
        <v>0</v>
      </c>
      <c r="N19" s="80"/>
      <c r="O19" s="80">
        <v>0</v>
      </c>
      <c r="P19" s="80"/>
      <c r="Q19" s="80">
        <v>0</v>
      </c>
      <c r="R19" s="80"/>
      <c r="S19" s="23">
        <f t="shared" si="2"/>
        <v>0</v>
      </c>
      <c r="T19" s="80"/>
      <c r="U19" s="80">
        <v>0</v>
      </c>
      <c r="V19" s="80"/>
      <c r="W19" s="80">
        <v>0</v>
      </c>
      <c r="X19" s="81"/>
      <c r="Y19" s="81">
        <f t="shared" si="3"/>
        <v>0</v>
      </c>
    </row>
    <row r="20" spans="1:25" ht="12.75">
      <c r="A20" s="30" t="s">
        <v>21</v>
      </c>
      <c r="B20" s="30"/>
      <c r="C20" s="80">
        <f t="shared" si="0"/>
        <v>72413126</v>
      </c>
      <c r="D20" s="80"/>
      <c r="E20" s="80">
        <v>37599160</v>
      </c>
      <c r="F20" s="80"/>
      <c r="G20" s="80">
        <v>21379211</v>
      </c>
      <c r="H20" s="80"/>
      <c r="I20" s="80">
        <v>131391497</v>
      </c>
      <c r="J20" s="80"/>
      <c r="K20" s="80">
        <f t="shared" si="1"/>
        <v>40236329</v>
      </c>
      <c r="L20" s="80"/>
      <c r="M20" s="80">
        <v>9106192</v>
      </c>
      <c r="N20" s="80"/>
      <c r="O20" s="80">
        <v>49342521</v>
      </c>
      <c r="P20" s="80"/>
      <c r="Q20" s="80">
        <v>38281233</v>
      </c>
      <c r="R20" s="80"/>
      <c r="S20" s="23">
        <f t="shared" si="2"/>
        <v>34447331</v>
      </c>
      <c r="T20" s="80"/>
      <c r="U20" s="80">
        <v>9320412</v>
      </c>
      <c r="V20" s="80"/>
      <c r="W20" s="80">
        <v>82048976</v>
      </c>
      <c r="X20" s="81"/>
      <c r="Y20" s="81">
        <f t="shared" si="3"/>
        <v>0</v>
      </c>
    </row>
    <row r="21" spans="1:25" ht="12.75">
      <c r="A21" s="30" t="s">
        <v>188</v>
      </c>
      <c r="B21" s="30"/>
      <c r="C21" s="80">
        <f t="shared" si="0"/>
        <v>100417053</v>
      </c>
      <c r="D21" s="80"/>
      <c r="E21" s="80">
        <f>19713176+124501513</f>
        <v>144214689</v>
      </c>
      <c r="F21" s="80"/>
      <c r="G21" s="80">
        <v>17578548</v>
      </c>
      <c r="H21" s="80"/>
      <c r="I21" s="80">
        <v>262210290</v>
      </c>
      <c r="J21" s="80"/>
      <c r="K21" s="80">
        <f t="shared" si="1"/>
        <v>34240209</v>
      </c>
      <c r="L21" s="80"/>
      <c r="M21" s="80">
        <v>30518602</v>
      </c>
      <c r="N21" s="80"/>
      <c r="O21" s="80">
        <v>64758811</v>
      </c>
      <c r="P21" s="80"/>
      <c r="Q21" s="80">
        <v>130589734</v>
      </c>
      <c r="R21" s="80"/>
      <c r="S21" s="23">
        <f t="shared" si="2"/>
        <v>58032950</v>
      </c>
      <c r="T21" s="80"/>
      <c r="U21" s="80">
        <v>8828795</v>
      </c>
      <c r="V21" s="80"/>
      <c r="W21" s="80">
        <v>197451479</v>
      </c>
      <c r="X21" s="81"/>
      <c r="Y21" s="81">
        <f t="shared" si="3"/>
        <v>0</v>
      </c>
    </row>
    <row r="22" spans="1:25" ht="12.75">
      <c r="A22" s="30" t="s">
        <v>22</v>
      </c>
      <c r="B22" s="30"/>
      <c r="C22" s="80">
        <f t="shared" si="0"/>
        <v>12963618</v>
      </c>
      <c r="D22" s="80"/>
      <c r="E22" s="80">
        <v>40286581</v>
      </c>
      <c r="F22" s="80"/>
      <c r="G22" s="80">
        <v>6646519</v>
      </c>
      <c r="H22" s="80"/>
      <c r="I22" s="80">
        <v>59896718</v>
      </c>
      <c r="J22" s="80"/>
      <c r="K22" s="80">
        <f t="shared" si="1"/>
        <v>14603659</v>
      </c>
      <c r="L22" s="80"/>
      <c r="M22" s="80">
        <v>5600693</v>
      </c>
      <c r="N22" s="80"/>
      <c r="O22" s="80">
        <v>20204352</v>
      </c>
      <c r="P22" s="80"/>
      <c r="Q22" s="80">
        <v>31772571</v>
      </c>
      <c r="R22" s="80"/>
      <c r="S22" s="23">
        <f t="shared" si="2"/>
        <v>9373882</v>
      </c>
      <c r="T22" s="80"/>
      <c r="U22" s="80">
        <v>-1454087</v>
      </c>
      <c r="V22" s="80"/>
      <c r="W22" s="80">
        <v>39692366</v>
      </c>
      <c r="X22" s="81"/>
      <c r="Y22" s="81">
        <f t="shared" si="3"/>
        <v>0</v>
      </c>
    </row>
    <row r="23" spans="1:25" ht="12.75" hidden="1">
      <c r="A23" s="30" t="s">
        <v>23</v>
      </c>
      <c r="B23" s="30"/>
      <c r="C23" s="80">
        <f t="shared" si="0"/>
        <v>0</v>
      </c>
      <c r="D23" s="80"/>
      <c r="E23" s="80">
        <v>0</v>
      </c>
      <c r="F23" s="80"/>
      <c r="G23" s="80">
        <v>0</v>
      </c>
      <c r="H23" s="80"/>
      <c r="I23" s="80">
        <v>0</v>
      </c>
      <c r="J23" s="80"/>
      <c r="K23" s="80">
        <f t="shared" si="1"/>
        <v>0</v>
      </c>
      <c r="L23" s="80"/>
      <c r="M23" s="80">
        <v>0</v>
      </c>
      <c r="N23" s="80"/>
      <c r="O23" s="80">
        <v>0</v>
      </c>
      <c r="P23" s="80"/>
      <c r="Q23" s="80">
        <v>0</v>
      </c>
      <c r="R23" s="80"/>
      <c r="S23" s="23">
        <f t="shared" si="2"/>
        <v>0</v>
      </c>
      <c r="T23" s="80"/>
      <c r="U23" s="80">
        <v>0</v>
      </c>
      <c r="V23" s="80"/>
      <c r="W23" s="80">
        <v>0</v>
      </c>
      <c r="X23" s="81"/>
      <c r="Y23" s="81">
        <f t="shared" si="3"/>
        <v>0</v>
      </c>
    </row>
    <row r="24" spans="1:25" ht="12.75" hidden="1">
      <c r="A24" s="30" t="s">
        <v>24</v>
      </c>
      <c r="B24" s="30"/>
      <c r="C24" s="80">
        <f t="shared" si="0"/>
        <v>0</v>
      </c>
      <c r="D24" s="80"/>
      <c r="E24" s="80">
        <v>0</v>
      </c>
      <c r="F24" s="80"/>
      <c r="G24" s="80">
        <v>0</v>
      </c>
      <c r="H24" s="80"/>
      <c r="I24" s="80">
        <v>0</v>
      </c>
      <c r="J24" s="80"/>
      <c r="K24" s="80">
        <f t="shared" si="1"/>
        <v>0</v>
      </c>
      <c r="L24" s="80"/>
      <c r="M24" s="80">
        <v>0</v>
      </c>
      <c r="N24" s="80"/>
      <c r="O24" s="80">
        <v>0</v>
      </c>
      <c r="P24" s="80"/>
      <c r="Q24" s="80">
        <v>0</v>
      </c>
      <c r="R24" s="80"/>
      <c r="S24" s="23">
        <f t="shared" si="2"/>
        <v>0</v>
      </c>
      <c r="T24" s="80"/>
      <c r="U24" s="80">
        <v>0</v>
      </c>
      <c r="V24" s="80"/>
      <c r="W24" s="80">
        <v>0</v>
      </c>
      <c r="X24" s="81"/>
      <c r="Y24" s="81">
        <f t="shared" si="3"/>
        <v>0</v>
      </c>
    </row>
    <row r="25" spans="1:25" ht="12.75">
      <c r="A25" s="30" t="s">
        <v>235</v>
      </c>
      <c r="B25" s="30"/>
      <c r="C25" s="80">
        <f t="shared" si="0"/>
        <v>19807621</v>
      </c>
      <c r="D25" s="80"/>
      <c r="E25" s="80">
        <f>7167475+34250928</f>
        <v>41418403</v>
      </c>
      <c r="F25" s="80"/>
      <c r="G25" s="80">
        <v>4449321</v>
      </c>
      <c r="H25" s="80"/>
      <c r="I25" s="80">
        <v>65675345</v>
      </c>
      <c r="J25" s="80"/>
      <c r="K25" s="80">
        <f t="shared" si="1"/>
        <v>7049526</v>
      </c>
      <c r="L25" s="80"/>
      <c r="M25" s="80">
        <v>13554195</v>
      </c>
      <c r="N25" s="80"/>
      <c r="O25" s="80">
        <v>20603721</v>
      </c>
      <c r="P25" s="80"/>
      <c r="Q25" s="80">
        <v>29422090</v>
      </c>
      <c r="R25" s="80"/>
      <c r="S25" s="23">
        <f t="shared" si="2"/>
        <v>9976369</v>
      </c>
      <c r="T25" s="80"/>
      <c r="U25" s="80">
        <v>5673165</v>
      </c>
      <c r="V25" s="80"/>
      <c r="W25" s="80">
        <v>45071624</v>
      </c>
      <c r="X25" s="81"/>
      <c r="Y25" s="81">
        <f t="shared" si="3"/>
        <v>0</v>
      </c>
    </row>
    <row r="26" spans="1:25" s="82" customFormat="1" ht="12.75">
      <c r="A26" s="79" t="s">
        <v>25</v>
      </c>
      <c r="B26" s="79"/>
      <c r="C26" s="80">
        <f t="shared" si="0"/>
        <v>592982000</v>
      </c>
      <c r="D26" s="80"/>
      <c r="E26" s="80">
        <v>634954000</v>
      </c>
      <c r="F26" s="80"/>
      <c r="G26" s="80">
        <v>315662000</v>
      </c>
      <c r="H26" s="80"/>
      <c r="I26" s="80">
        <v>1543598000</v>
      </c>
      <c r="J26" s="80"/>
      <c r="K26" s="80">
        <f t="shared" si="1"/>
        <v>467334000</v>
      </c>
      <c r="L26" s="80"/>
      <c r="M26" s="80">
        <v>385838000</v>
      </c>
      <c r="N26" s="80"/>
      <c r="O26" s="80">
        <v>853172000</v>
      </c>
      <c r="P26" s="80"/>
      <c r="Q26" s="80">
        <v>386234000</v>
      </c>
      <c r="R26" s="80"/>
      <c r="S26" s="23">
        <f t="shared" si="2"/>
        <v>35678000</v>
      </c>
      <c r="T26" s="80"/>
      <c r="U26" s="80">
        <v>268514000</v>
      </c>
      <c r="V26" s="80"/>
      <c r="W26" s="80">
        <v>690426000</v>
      </c>
      <c r="X26" s="81"/>
      <c r="Y26" s="81">
        <f t="shared" si="3"/>
        <v>0</v>
      </c>
    </row>
    <row r="27" spans="1:25" ht="12.75">
      <c r="A27" s="30" t="s">
        <v>26</v>
      </c>
      <c r="B27" s="30"/>
      <c r="C27" s="80">
        <f t="shared" si="0"/>
        <v>21100529</v>
      </c>
      <c r="D27" s="80"/>
      <c r="E27" s="80">
        <f>8822379+71836172</f>
        <v>80658551</v>
      </c>
      <c r="F27" s="80"/>
      <c r="G27" s="80">
        <v>5335050</v>
      </c>
      <c r="H27" s="80"/>
      <c r="I27" s="80">
        <v>107094130</v>
      </c>
      <c r="J27" s="80"/>
      <c r="K27" s="80">
        <f t="shared" si="1"/>
        <v>12039605</v>
      </c>
      <c r="L27" s="80"/>
      <c r="M27" s="80">
        <v>4556869</v>
      </c>
      <c r="N27" s="80"/>
      <c r="O27" s="80">
        <v>16596474</v>
      </c>
      <c r="P27" s="80"/>
      <c r="Q27" s="80">
        <v>72310551</v>
      </c>
      <c r="R27" s="80"/>
      <c r="S27" s="23">
        <f t="shared" si="2"/>
        <v>13344570</v>
      </c>
      <c r="T27" s="80"/>
      <c r="U27" s="80">
        <v>4842535</v>
      </c>
      <c r="V27" s="80"/>
      <c r="W27" s="80">
        <v>90497656</v>
      </c>
      <c r="X27" s="81"/>
      <c r="Y27" s="81">
        <f t="shared" si="3"/>
        <v>0</v>
      </c>
    </row>
    <row r="28" spans="1:25" ht="12.75">
      <c r="A28" s="30" t="s">
        <v>27</v>
      </c>
      <c r="B28" s="30"/>
      <c r="C28" s="80">
        <f aca="true" t="shared" si="4" ref="C28:C74">+I28-E28-G28</f>
        <v>38319081</v>
      </c>
      <c r="D28" s="80"/>
      <c r="E28" s="80">
        <v>50702405</v>
      </c>
      <c r="F28" s="80"/>
      <c r="G28" s="80">
        <v>0</v>
      </c>
      <c r="H28" s="80"/>
      <c r="I28" s="80">
        <v>89021486</v>
      </c>
      <c r="J28" s="80"/>
      <c r="K28" s="80">
        <f aca="true" t="shared" si="5" ref="K28:K74">+O28-M28</f>
        <v>9819960</v>
      </c>
      <c r="L28" s="80"/>
      <c r="M28" s="80">
        <v>5104227</v>
      </c>
      <c r="N28" s="80"/>
      <c r="O28" s="80">
        <v>14924187</v>
      </c>
      <c r="P28" s="80"/>
      <c r="Q28" s="80">
        <v>46518406</v>
      </c>
      <c r="R28" s="80"/>
      <c r="S28" s="23">
        <f aca="true" t="shared" si="6" ref="S28:S74">W28-U28-Q28</f>
        <v>18970753</v>
      </c>
      <c r="T28" s="80"/>
      <c r="U28" s="80">
        <v>8608140</v>
      </c>
      <c r="V28" s="80"/>
      <c r="W28" s="80">
        <v>74097299</v>
      </c>
      <c r="X28" s="81"/>
      <c r="Y28" s="81">
        <f aca="true" t="shared" si="7" ref="Y28:Y74">I28-O28-W28</f>
        <v>0</v>
      </c>
    </row>
    <row r="29" spans="1:25" ht="12.75">
      <c r="A29" s="30" t="s">
        <v>28</v>
      </c>
      <c r="B29" s="30"/>
      <c r="C29" s="80">
        <f t="shared" si="4"/>
        <v>114033889</v>
      </c>
      <c r="D29" s="80"/>
      <c r="E29" s="80">
        <f>80952378+50329123</f>
        <v>131281501</v>
      </c>
      <c r="F29" s="80"/>
      <c r="G29" s="80">
        <v>0</v>
      </c>
      <c r="H29" s="80"/>
      <c r="I29" s="80">
        <v>245315390</v>
      </c>
      <c r="J29" s="80"/>
      <c r="K29" s="80">
        <f t="shared" si="5"/>
        <v>32627389</v>
      </c>
      <c r="L29" s="80"/>
      <c r="M29" s="80">
        <v>44176162</v>
      </c>
      <c r="N29" s="80"/>
      <c r="O29" s="80">
        <v>76803551</v>
      </c>
      <c r="P29" s="80"/>
      <c r="Q29" s="80">
        <v>97188238</v>
      </c>
      <c r="R29" s="80"/>
      <c r="S29" s="23">
        <f t="shared" si="6"/>
        <v>49326343</v>
      </c>
      <c r="T29" s="80"/>
      <c r="U29" s="80">
        <v>21997258</v>
      </c>
      <c r="V29" s="80"/>
      <c r="W29" s="80">
        <v>168511839</v>
      </c>
      <c r="X29" s="81"/>
      <c r="Y29" s="81">
        <f t="shared" si="7"/>
        <v>0</v>
      </c>
    </row>
    <row r="30" spans="1:25" ht="12.75">
      <c r="A30" s="30" t="s">
        <v>29</v>
      </c>
      <c r="B30" s="30"/>
      <c r="C30" s="80">
        <f t="shared" si="4"/>
        <v>44880850</v>
      </c>
      <c r="D30" s="80"/>
      <c r="E30" s="80">
        <v>62922641</v>
      </c>
      <c r="F30" s="80"/>
      <c r="G30" s="80">
        <v>0</v>
      </c>
      <c r="H30" s="80"/>
      <c r="I30" s="80">
        <v>107803491</v>
      </c>
      <c r="J30" s="80"/>
      <c r="K30" s="80">
        <f t="shared" si="5"/>
        <v>32479015</v>
      </c>
      <c r="L30" s="80"/>
      <c r="M30" s="80">
        <v>9449807</v>
      </c>
      <c r="N30" s="80"/>
      <c r="O30" s="80">
        <v>41928822</v>
      </c>
      <c r="P30" s="80"/>
      <c r="Q30" s="80">
        <v>41916863</v>
      </c>
      <c r="R30" s="80"/>
      <c r="S30" s="23">
        <f t="shared" si="6"/>
        <v>16579162</v>
      </c>
      <c r="T30" s="80"/>
      <c r="U30" s="80">
        <v>7378644</v>
      </c>
      <c r="V30" s="80"/>
      <c r="W30" s="80">
        <v>65874669</v>
      </c>
      <c r="X30" s="81"/>
      <c r="Y30" s="81">
        <f t="shared" si="7"/>
        <v>0</v>
      </c>
    </row>
    <row r="31" spans="1:25" ht="12.75">
      <c r="A31" s="30" t="s">
        <v>30</v>
      </c>
      <c r="B31" s="30"/>
      <c r="C31" s="80">
        <f t="shared" si="4"/>
        <v>78011883</v>
      </c>
      <c r="D31" s="80"/>
      <c r="E31" s="80">
        <f>6869543+156886059</f>
        <v>163755602</v>
      </c>
      <c r="F31" s="80"/>
      <c r="G31" s="80">
        <v>298154</v>
      </c>
      <c r="H31" s="80"/>
      <c r="I31" s="80">
        <v>242065639</v>
      </c>
      <c r="J31" s="80"/>
      <c r="K31" s="80">
        <f t="shared" si="5"/>
        <v>30310222</v>
      </c>
      <c r="L31" s="80"/>
      <c r="M31" s="80">
        <v>25032173</v>
      </c>
      <c r="N31" s="80"/>
      <c r="O31" s="80">
        <v>55342395</v>
      </c>
      <c r="P31" s="80"/>
      <c r="Q31" s="80">
        <v>142299892</v>
      </c>
      <c r="R31" s="80"/>
      <c r="S31" s="23">
        <f t="shared" si="6"/>
        <v>29901017</v>
      </c>
      <c r="T31" s="80"/>
      <c r="U31" s="80">
        <v>14522335</v>
      </c>
      <c r="V31" s="80"/>
      <c r="W31" s="80">
        <v>186723244</v>
      </c>
      <c r="X31" s="81"/>
      <c r="Y31" s="81">
        <f t="shared" si="7"/>
        <v>0</v>
      </c>
    </row>
    <row r="32" spans="1:25" ht="12.75" hidden="1">
      <c r="A32" s="30" t="s">
        <v>31</v>
      </c>
      <c r="B32" s="30"/>
      <c r="C32" s="80">
        <f t="shared" si="4"/>
        <v>0</v>
      </c>
      <c r="D32" s="80"/>
      <c r="E32" s="80">
        <v>0</v>
      </c>
      <c r="F32" s="80"/>
      <c r="G32" s="80">
        <v>0</v>
      </c>
      <c r="H32" s="80"/>
      <c r="I32" s="80">
        <v>0</v>
      </c>
      <c r="J32" s="80"/>
      <c r="K32" s="80">
        <f t="shared" si="5"/>
        <v>0</v>
      </c>
      <c r="L32" s="80"/>
      <c r="M32" s="80">
        <v>0</v>
      </c>
      <c r="N32" s="80"/>
      <c r="O32" s="80">
        <v>0</v>
      </c>
      <c r="P32" s="80"/>
      <c r="Q32" s="80">
        <v>0</v>
      </c>
      <c r="R32" s="80"/>
      <c r="S32" s="23">
        <f t="shared" si="6"/>
        <v>0</v>
      </c>
      <c r="T32" s="80"/>
      <c r="U32" s="80">
        <v>0</v>
      </c>
      <c r="V32" s="80"/>
      <c r="W32" s="80">
        <v>0</v>
      </c>
      <c r="X32" s="81"/>
      <c r="Y32" s="81">
        <f t="shared" si="7"/>
        <v>0</v>
      </c>
    </row>
    <row r="33" spans="1:25" s="82" customFormat="1" ht="12.75">
      <c r="A33" s="79" t="s">
        <v>32</v>
      </c>
      <c r="B33" s="79"/>
      <c r="C33" s="80">
        <f t="shared" si="4"/>
        <v>996487000</v>
      </c>
      <c r="D33" s="80"/>
      <c r="E33" s="80">
        <f>52707000+378175000</f>
        <v>430882000</v>
      </c>
      <c r="F33" s="80"/>
      <c r="G33" s="80">
        <v>450000</v>
      </c>
      <c r="H33" s="80"/>
      <c r="I33" s="80">
        <v>1427819000</v>
      </c>
      <c r="J33" s="80"/>
      <c r="K33" s="80">
        <f t="shared" si="5"/>
        <v>481783000</v>
      </c>
      <c r="L33" s="80"/>
      <c r="M33" s="80">
        <v>163000000</v>
      </c>
      <c r="N33" s="80"/>
      <c r="O33" s="80">
        <v>644783000</v>
      </c>
      <c r="P33" s="80"/>
      <c r="Q33" s="80">
        <v>308863000</v>
      </c>
      <c r="R33" s="80"/>
      <c r="S33" s="23">
        <f t="shared" si="6"/>
        <v>347546000</v>
      </c>
      <c r="T33" s="80"/>
      <c r="U33" s="80">
        <v>126627000</v>
      </c>
      <c r="V33" s="80"/>
      <c r="W33" s="80">
        <v>783036000</v>
      </c>
      <c r="X33" s="81"/>
      <c r="Y33" s="81">
        <f t="shared" si="7"/>
        <v>0</v>
      </c>
    </row>
    <row r="34" spans="1:25" ht="12.75">
      <c r="A34" s="30" t="s">
        <v>33</v>
      </c>
      <c r="B34" s="30"/>
      <c r="C34" s="80">
        <f t="shared" si="4"/>
        <v>30496405</v>
      </c>
      <c r="D34" s="80"/>
      <c r="E34" s="80">
        <v>37283324</v>
      </c>
      <c r="F34" s="80"/>
      <c r="G34" s="80">
        <v>0</v>
      </c>
      <c r="H34" s="80"/>
      <c r="I34" s="80">
        <v>67779729</v>
      </c>
      <c r="J34" s="80"/>
      <c r="K34" s="80">
        <f t="shared" si="5"/>
        <v>9602019</v>
      </c>
      <c r="L34" s="80"/>
      <c r="M34" s="80">
        <v>2178489</v>
      </c>
      <c r="N34" s="80"/>
      <c r="O34" s="80">
        <v>11780508</v>
      </c>
      <c r="P34" s="80"/>
      <c r="Q34" s="80">
        <v>36810688</v>
      </c>
      <c r="R34" s="80"/>
      <c r="S34" s="23">
        <f t="shared" si="6"/>
        <v>15961022</v>
      </c>
      <c r="T34" s="80"/>
      <c r="U34" s="80">
        <v>3227511</v>
      </c>
      <c r="V34" s="80"/>
      <c r="W34" s="80">
        <v>55999221</v>
      </c>
      <c r="X34" s="81"/>
      <c r="Y34" s="81">
        <f t="shared" si="7"/>
        <v>0</v>
      </c>
    </row>
    <row r="35" spans="1:25" ht="12.75">
      <c r="A35" s="30" t="s">
        <v>34</v>
      </c>
      <c r="B35" s="30"/>
      <c r="C35" s="80">
        <f t="shared" si="4"/>
        <v>14140677</v>
      </c>
      <c r="D35" s="80"/>
      <c r="E35" s="80">
        <f>488565+8174383</f>
        <v>8662948</v>
      </c>
      <c r="F35" s="80"/>
      <c r="G35" s="80">
        <v>0</v>
      </c>
      <c r="H35" s="80"/>
      <c r="I35" s="80">
        <v>22803625</v>
      </c>
      <c r="J35" s="80"/>
      <c r="K35" s="80">
        <f t="shared" si="5"/>
        <v>5515793</v>
      </c>
      <c r="L35" s="80"/>
      <c r="M35" s="80">
        <v>948058</v>
      </c>
      <c r="N35" s="80"/>
      <c r="O35" s="80">
        <v>6463851</v>
      </c>
      <c r="P35" s="80"/>
      <c r="Q35" s="80">
        <v>7994890</v>
      </c>
      <c r="R35" s="80"/>
      <c r="S35" s="23">
        <f t="shared" si="6"/>
        <v>7043777</v>
      </c>
      <c r="T35" s="80"/>
      <c r="U35" s="80">
        <v>1301107</v>
      </c>
      <c r="V35" s="80"/>
      <c r="W35" s="80">
        <v>16339774</v>
      </c>
      <c r="X35" s="81"/>
      <c r="Y35" s="81">
        <f t="shared" si="7"/>
        <v>0</v>
      </c>
    </row>
    <row r="36" spans="1:25" ht="12.75">
      <c r="A36" s="30" t="s">
        <v>35</v>
      </c>
      <c r="B36" s="30"/>
      <c r="C36" s="80">
        <f t="shared" si="4"/>
        <v>73336563</v>
      </c>
      <c r="D36" s="80"/>
      <c r="E36" s="80">
        <f>105490553+41268358</f>
        <v>146758911</v>
      </c>
      <c r="F36" s="80"/>
      <c r="G36" s="80">
        <v>0</v>
      </c>
      <c r="H36" s="80"/>
      <c r="I36" s="80">
        <v>220095474</v>
      </c>
      <c r="J36" s="80"/>
      <c r="K36" s="80">
        <f t="shared" si="5"/>
        <v>37514469</v>
      </c>
      <c r="L36" s="80"/>
      <c r="M36" s="80">
        <v>5789885</v>
      </c>
      <c r="N36" s="80"/>
      <c r="O36" s="80">
        <v>43304354</v>
      </c>
      <c r="P36" s="80"/>
      <c r="Q36" s="80">
        <v>132264949</v>
      </c>
      <c r="R36" s="80"/>
      <c r="S36" s="23">
        <f t="shared" si="6"/>
        <v>34507298</v>
      </c>
      <c r="T36" s="80"/>
      <c r="U36" s="80">
        <v>10018873</v>
      </c>
      <c r="V36" s="80"/>
      <c r="W36" s="80">
        <v>176791120</v>
      </c>
      <c r="X36" s="81"/>
      <c r="Y36" s="81">
        <f t="shared" si="7"/>
        <v>0</v>
      </c>
    </row>
    <row r="37" spans="1:25" s="82" customFormat="1" ht="12.75">
      <c r="A37" s="79" t="s">
        <v>189</v>
      </c>
      <c r="B37" s="79"/>
      <c r="C37" s="80">
        <f t="shared" si="4"/>
        <v>99792261</v>
      </c>
      <c r="D37" s="80"/>
      <c r="E37" s="80">
        <f>32988498+131635804</f>
        <v>164624302</v>
      </c>
      <c r="F37" s="80"/>
      <c r="G37" s="80">
        <v>0</v>
      </c>
      <c r="H37" s="80"/>
      <c r="I37" s="80">
        <v>264416563</v>
      </c>
      <c r="J37" s="80"/>
      <c r="K37" s="80">
        <f t="shared" si="5"/>
        <v>55287952</v>
      </c>
      <c r="L37" s="80"/>
      <c r="M37" s="80">
        <v>21693817</v>
      </c>
      <c r="N37" s="80"/>
      <c r="O37" s="80">
        <v>76981769</v>
      </c>
      <c r="P37" s="80"/>
      <c r="Q37" s="80">
        <v>145667142</v>
      </c>
      <c r="R37" s="80"/>
      <c r="S37" s="80">
        <f t="shared" si="6"/>
        <v>34048895</v>
      </c>
      <c r="T37" s="80"/>
      <c r="U37" s="80">
        <v>7718757</v>
      </c>
      <c r="V37" s="80"/>
      <c r="W37" s="80">
        <v>187434794</v>
      </c>
      <c r="X37" s="81"/>
      <c r="Y37" s="81">
        <f t="shared" si="7"/>
        <v>0</v>
      </c>
    </row>
    <row r="38" spans="1:25" ht="12.75" hidden="1">
      <c r="A38" s="30" t="s">
        <v>36</v>
      </c>
      <c r="B38" s="30"/>
      <c r="C38" s="80">
        <f t="shared" si="4"/>
        <v>0</v>
      </c>
      <c r="D38" s="80"/>
      <c r="E38" s="80">
        <v>0</v>
      </c>
      <c r="F38" s="80"/>
      <c r="G38" s="80">
        <v>0</v>
      </c>
      <c r="H38" s="80"/>
      <c r="I38" s="80">
        <v>0</v>
      </c>
      <c r="J38" s="80"/>
      <c r="K38" s="80">
        <f t="shared" si="5"/>
        <v>0</v>
      </c>
      <c r="L38" s="80"/>
      <c r="M38" s="80">
        <v>0</v>
      </c>
      <c r="N38" s="80"/>
      <c r="O38" s="80">
        <v>0</v>
      </c>
      <c r="P38" s="80"/>
      <c r="Q38" s="80">
        <v>0</v>
      </c>
      <c r="R38" s="80"/>
      <c r="S38" s="23">
        <f t="shared" si="6"/>
        <v>0</v>
      </c>
      <c r="T38" s="80"/>
      <c r="U38" s="80">
        <v>0</v>
      </c>
      <c r="V38" s="80"/>
      <c r="W38" s="80">
        <v>0</v>
      </c>
      <c r="X38" s="81"/>
      <c r="Y38" s="81">
        <f t="shared" si="7"/>
        <v>0</v>
      </c>
    </row>
    <row r="39" spans="1:25" s="120" customFormat="1" ht="12.75" hidden="1">
      <c r="A39" s="116" t="s">
        <v>37</v>
      </c>
      <c r="B39" s="116"/>
      <c r="C39" s="117">
        <f t="shared" si="4"/>
        <v>0</v>
      </c>
      <c r="D39" s="117"/>
      <c r="E39" s="80">
        <v>0</v>
      </c>
      <c r="F39" s="117"/>
      <c r="G39" s="80">
        <v>0</v>
      </c>
      <c r="H39" s="117"/>
      <c r="I39" s="80">
        <v>0</v>
      </c>
      <c r="J39" s="117"/>
      <c r="K39" s="80">
        <f t="shared" si="5"/>
        <v>0</v>
      </c>
      <c r="L39" s="117"/>
      <c r="M39" s="80">
        <v>0</v>
      </c>
      <c r="N39" s="117"/>
      <c r="O39" s="80">
        <v>0</v>
      </c>
      <c r="P39" s="117"/>
      <c r="Q39" s="80">
        <v>0</v>
      </c>
      <c r="R39" s="117"/>
      <c r="S39" s="118">
        <f t="shared" si="6"/>
        <v>0</v>
      </c>
      <c r="T39" s="117"/>
      <c r="U39" s="80">
        <v>0</v>
      </c>
      <c r="V39" s="117"/>
      <c r="W39" s="80">
        <v>0</v>
      </c>
      <c r="X39" s="119"/>
      <c r="Y39" s="119">
        <f t="shared" si="7"/>
        <v>0</v>
      </c>
    </row>
    <row r="40" spans="1:25" ht="12.75">
      <c r="A40" s="30" t="s">
        <v>38</v>
      </c>
      <c r="B40" s="30"/>
      <c r="C40" s="80">
        <f t="shared" si="4"/>
        <v>33109099</v>
      </c>
      <c r="D40" s="80"/>
      <c r="E40" s="80">
        <f>26978921+54568974</f>
        <v>81547895</v>
      </c>
      <c r="F40" s="80"/>
      <c r="G40" s="80">
        <v>11016459</v>
      </c>
      <c r="H40" s="80"/>
      <c r="I40" s="80">
        <v>125673453</v>
      </c>
      <c r="J40" s="80"/>
      <c r="K40" s="80">
        <f t="shared" si="5"/>
        <v>19408285</v>
      </c>
      <c r="L40" s="80"/>
      <c r="M40" s="80">
        <v>13689140</v>
      </c>
      <c r="N40" s="80"/>
      <c r="O40" s="80">
        <v>33097425</v>
      </c>
      <c r="P40" s="80"/>
      <c r="Q40" s="80">
        <v>73633589</v>
      </c>
      <c r="R40" s="80"/>
      <c r="S40" s="23">
        <f t="shared" si="6"/>
        <v>14977222</v>
      </c>
      <c r="T40" s="80"/>
      <c r="U40" s="80">
        <v>3965217</v>
      </c>
      <c r="V40" s="80"/>
      <c r="W40" s="80">
        <v>92576028</v>
      </c>
      <c r="X40" s="81"/>
      <c r="Y40" s="81">
        <f t="shared" si="7"/>
        <v>0</v>
      </c>
    </row>
    <row r="41" spans="1:25" ht="12.75" hidden="1">
      <c r="A41" s="30" t="s">
        <v>172</v>
      </c>
      <c r="B41" s="30"/>
      <c r="C41" s="80">
        <f t="shared" si="4"/>
        <v>0</v>
      </c>
      <c r="D41" s="80"/>
      <c r="E41" s="80">
        <v>0</v>
      </c>
      <c r="F41" s="80"/>
      <c r="G41" s="80">
        <v>0</v>
      </c>
      <c r="H41" s="80"/>
      <c r="I41" s="80">
        <v>0</v>
      </c>
      <c r="J41" s="80"/>
      <c r="K41" s="80">
        <f t="shared" si="5"/>
        <v>0</v>
      </c>
      <c r="L41" s="80"/>
      <c r="M41" s="80">
        <v>0</v>
      </c>
      <c r="N41" s="80"/>
      <c r="O41" s="80">
        <v>0</v>
      </c>
      <c r="P41" s="80"/>
      <c r="Q41" s="80">
        <v>0</v>
      </c>
      <c r="R41" s="80"/>
      <c r="S41" s="23">
        <f t="shared" si="6"/>
        <v>0</v>
      </c>
      <c r="T41" s="80"/>
      <c r="U41" s="80">
        <v>0</v>
      </c>
      <c r="V41" s="80"/>
      <c r="W41" s="80">
        <v>0</v>
      </c>
      <c r="X41" s="81"/>
      <c r="Y41" s="81">
        <f t="shared" si="7"/>
        <v>0</v>
      </c>
    </row>
    <row r="42" spans="1:25" ht="12.75" hidden="1">
      <c r="A42" s="30" t="s">
        <v>39</v>
      </c>
      <c r="B42" s="30"/>
      <c r="C42" s="80">
        <f t="shared" si="4"/>
        <v>0</v>
      </c>
      <c r="D42" s="80"/>
      <c r="E42" s="80">
        <v>0</v>
      </c>
      <c r="F42" s="80"/>
      <c r="G42" s="80">
        <v>0</v>
      </c>
      <c r="H42" s="80"/>
      <c r="I42" s="80">
        <v>0</v>
      </c>
      <c r="J42" s="80"/>
      <c r="K42" s="80">
        <f t="shared" si="5"/>
        <v>0</v>
      </c>
      <c r="L42" s="80"/>
      <c r="M42" s="80">
        <v>0</v>
      </c>
      <c r="N42" s="80"/>
      <c r="O42" s="80">
        <v>0</v>
      </c>
      <c r="P42" s="80"/>
      <c r="Q42" s="80">
        <v>0</v>
      </c>
      <c r="R42" s="80"/>
      <c r="S42" s="23">
        <f t="shared" si="6"/>
        <v>0</v>
      </c>
      <c r="T42" s="80"/>
      <c r="U42" s="80">
        <v>0</v>
      </c>
      <c r="V42" s="80"/>
      <c r="W42" s="80">
        <v>0</v>
      </c>
      <c r="X42" s="81"/>
      <c r="Y42" s="81">
        <f t="shared" si="7"/>
        <v>0</v>
      </c>
    </row>
    <row r="43" spans="1:25" ht="12.75">
      <c r="A43" s="30" t="s">
        <v>40</v>
      </c>
      <c r="B43" s="30"/>
      <c r="C43" s="80">
        <f t="shared" si="4"/>
        <v>19504524</v>
      </c>
      <c r="D43" s="80"/>
      <c r="E43" s="80">
        <v>36824821</v>
      </c>
      <c r="F43" s="80"/>
      <c r="G43" s="80">
        <v>6893914</v>
      </c>
      <c r="H43" s="80"/>
      <c r="I43" s="80">
        <v>63223259</v>
      </c>
      <c r="J43" s="80"/>
      <c r="K43" s="80">
        <f t="shared" si="5"/>
        <v>12950562</v>
      </c>
      <c r="L43" s="80"/>
      <c r="M43" s="80">
        <v>3401109</v>
      </c>
      <c r="N43" s="80"/>
      <c r="O43" s="80">
        <v>16351671</v>
      </c>
      <c r="P43" s="80"/>
      <c r="Q43" s="80">
        <v>30371684</v>
      </c>
      <c r="R43" s="80"/>
      <c r="S43" s="23">
        <f t="shared" si="6"/>
        <v>14801507</v>
      </c>
      <c r="T43" s="80"/>
      <c r="U43" s="80">
        <v>1698397</v>
      </c>
      <c r="V43" s="80"/>
      <c r="W43" s="80">
        <v>46871588</v>
      </c>
      <c r="X43" s="81"/>
      <c r="Y43" s="81">
        <f t="shared" si="7"/>
        <v>0</v>
      </c>
    </row>
    <row r="44" spans="1:25" ht="12.75" hidden="1">
      <c r="A44" s="30" t="s">
        <v>41</v>
      </c>
      <c r="B44" s="30"/>
      <c r="C44" s="80">
        <f t="shared" si="4"/>
        <v>0</v>
      </c>
      <c r="D44" s="80"/>
      <c r="E44" s="80">
        <v>0</v>
      </c>
      <c r="F44" s="80"/>
      <c r="G44" s="80">
        <v>0</v>
      </c>
      <c r="H44" s="80"/>
      <c r="I44" s="80">
        <v>0</v>
      </c>
      <c r="J44" s="80"/>
      <c r="K44" s="80">
        <f t="shared" si="5"/>
        <v>0</v>
      </c>
      <c r="L44" s="80"/>
      <c r="M44" s="80">
        <v>0</v>
      </c>
      <c r="N44" s="80"/>
      <c r="O44" s="80">
        <v>0</v>
      </c>
      <c r="P44" s="80"/>
      <c r="Q44" s="80">
        <v>0</v>
      </c>
      <c r="R44" s="80"/>
      <c r="S44" s="23">
        <f t="shared" si="6"/>
        <v>0</v>
      </c>
      <c r="T44" s="80"/>
      <c r="U44" s="80">
        <v>0</v>
      </c>
      <c r="V44" s="80"/>
      <c r="W44" s="80">
        <v>0</v>
      </c>
      <c r="X44" s="81"/>
      <c r="Y44" s="81">
        <f t="shared" si="7"/>
        <v>0</v>
      </c>
    </row>
    <row r="45" spans="1:25" ht="12.75">
      <c r="A45" s="30" t="s">
        <v>42</v>
      </c>
      <c r="B45" s="30"/>
      <c r="C45" s="80">
        <f t="shared" si="4"/>
        <v>14059674</v>
      </c>
      <c r="D45" s="80"/>
      <c r="E45" s="80">
        <f>700589+8189531</f>
        <v>8890120</v>
      </c>
      <c r="F45" s="80"/>
      <c r="G45" s="80">
        <v>4628562</v>
      </c>
      <c r="H45" s="80"/>
      <c r="I45" s="80">
        <v>27578356</v>
      </c>
      <c r="J45" s="80"/>
      <c r="K45" s="80">
        <f t="shared" si="5"/>
        <v>5869730</v>
      </c>
      <c r="L45" s="80"/>
      <c r="M45" s="80">
        <v>1826644</v>
      </c>
      <c r="N45" s="80"/>
      <c r="O45" s="80">
        <v>7696374</v>
      </c>
      <c r="P45" s="80"/>
      <c r="Q45" s="80">
        <v>7535334</v>
      </c>
      <c r="R45" s="80"/>
      <c r="S45" s="23">
        <f t="shared" si="6"/>
        <v>9947954</v>
      </c>
      <c r="T45" s="80"/>
      <c r="U45" s="80">
        <v>2398694</v>
      </c>
      <c r="V45" s="80"/>
      <c r="W45" s="80">
        <v>19881982</v>
      </c>
      <c r="X45" s="81"/>
      <c r="Y45" s="81">
        <f t="shared" si="7"/>
        <v>0</v>
      </c>
    </row>
    <row r="46" spans="1:25" ht="12.75">
      <c r="A46" s="30" t="s">
        <v>43</v>
      </c>
      <c r="B46" s="30"/>
      <c r="C46" s="80">
        <f t="shared" si="4"/>
        <v>15230380</v>
      </c>
      <c r="D46" s="80"/>
      <c r="E46" s="80">
        <v>27011933</v>
      </c>
      <c r="F46" s="80"/>
      <c r="G46" s="80">
        <v>5906453</v>
      </c>
      <c r="H46" s="80"/>
      <c r="I46" s="80">
        <v>48148766</v>
      </c>
      <c r="J46" s="80"/>
      <c r="K46" s="80">
        <f t="shared" si="5"/>
        <v>8359541</v>
      </c>
      <c r="L46" s="80"/>
      <c r="M46" s="80">
        <v>4842654</v>
      </c>
      <c r="N46" s="80"/>
      <c r="O46" s="80">
        <v>13202195</v>
      </c>
      <c r="P46" s="80"/>
      <c r="Q46" s="80">
        <v>22296933</v>
      </c>
      <c r="R46" s="80"/>
      <c r="S46" s="23">
        <f t="shared" si="6"/>
        <v>10857996</v>
      </c>
      <c r="T46" s="80"/>
      <c r="U46" s="80">
        <v>1791642</v>
      </c>
      <c r="V46" s="80"/>
      <c r="W46" s="80">
        <v>34946571</v>
      </c>
      <c r="X46" s="81"/>
      <c r="Y46" s="81">
        <f t="shared" si="7"/>
        <v>0</v>
      </c>
    </row>
    <row r="47" spans="1:25" ht="12.75">
      <c r="A47" s="30" t="s">
        <v>44</v>
      </c>
      <c r="B47" s="30"/>
      <c r="C47" s="80">
        <f t="shared" si="4"/>
        <v>19164089</v>
      </c>
      <c r="D47" s="80"/>
      <c r="E47" s="80">
        <f>1213483+34687037</f>
        <v>35900520</v>
      </c>
      <c r="F47" s="80"/>
      <c r="G47" s="80">
        <v>4530604</v>
      </c>
      <c r="H47" s="80"/>
      <c r="I47" s="80">
        <v>59595213</v>
      </c>
      <c r="J47" s="80"/>
      <c r="K47" s="80">
        <f t="shared" si="5"/>
        <v>8804085</v>
      </c>
      <c r="L47" s="80"/>
      <c r="M47" s="80">
        <v>8659136</v>
      </c>
      <c r="N47" s="80"/>
      <c r="O47" s="80">
        <v>17463221</v>
      </c>
      <c r="P47" s="80"/>
      <c r="Q47" s="80">
        <v>28383472</v>
      </c>
      <c r="R47" s="80"/>
      <c r="S47" s="23">
        <f t="shared" si="6"/>
        <v>10498921</v>
      </c>
      <c r="T47" s="80"/>
      <c r="U47" s="80">
        <v>3249599</v>
      </c>
      <c r="V47" s="80"/>
      <c r="W47" s="80">
        <v>42131992</v>
      </c>
      <c r="X47" s="81"/>
      <c r="Y47" s="81">
        <f t="shared" si="7"/>
        <v>0</v>
      </c>
    </row>
    <row r="48" spans="1:25" ht="12.75" hidden="1">
      <c r="A48" s="30" t="s">
        <v>45</v>
      </c>
      <c r="B48" s="30"/>
      <c r="C48" s="80">
        <f t="shared" si="4"/>
        <v>0</v>
      </c>
      <c r="D48" s="80"/>
      <c r="E48" s="80">
        <v>0</v>
      </c>
      <c r="F48" s="80"/>
      <c r="G48" s="80">
        <v>0</v>
      </c>
      <c r="H48" s="80"/>
      <c r="I48" s="80">
        <v>0</v>
      </c>
      <c r="J48" s="80"/>
      <c r="K48" s="80">
        <f t="shared" si="5"/>
        <v>0</v>
      </c>
      <c r="L48" s="80"/>
      <c r="M48" s="80">
        <v>0</v>
      </c>
      <c r="N48" s="80"/>
      <c r="O48" s="80">
        <v>0</v>
      </c>
      <c r="P48" s="80"/>
      <c r="Q48" s="80">
        <v>0</v>
      </c>
      <c r="R48" s="80"/>
      <c r="S48" s="23">
        <f t="shared" si="6"/>
        <v>0</v>
      </c>
      <c r="T48" s="80"/>
      <c r="U48" s="80">
        <v>0</v>
      </c>
      <c r="V48" s="80"/>
      <c r="W48" s="80">
        <v>0</v>
      </c>
      <c r="X48" s="81"/>
      <c r="Y48" s="81">
        <f t="shared" si="7"/>
        <v>0</v>
      </c>
    </row>
    <row r="49" spans="1:25" ht="12.75">
      <c r="A49" s="30" t="s">
        <v>46</v>
      </c>
      <c r="B49" s="30"/>
      <c r="C49" s="80">
        <f t="shared" si="4"/>
        <v>34395540</v>
      </c>
      <c r="D49" s="80"/>
      <c r="E49" s="80">
        <f>5059137+85824080</f>
        <v>90883217</v>
      </c>
      <c r="F49" s="80"/>
      <c r="G49" s="80">
        <v>9943766</v>
      </c>
      <c r="H49" s="80"/>
      <c r="I49" s="80">
        <v>135222523</v>
      </c>
      <c r="J49" s="80"/>
      <c r="K49" s="80">
        <f t="shared" si="5"/>
        <v>18309777</v>
      </c>
      <c r="L49" s="80"/>
      <c r="M49" s="80">
        <v>30960861</v>
      </c>
      <c r="N49" s="80"/>
      <c r="O49" s="80">
        <v>49270638</v>
      </c>
      <c r="P49" s="80"/>
      <c r="Q49" s="80">
        <v>63347036</v>
      </c>
      <c r="R49" s="80"/>
      <c r="S49" s="23">
        <f t="shared" si="6"/>
        <v>26131114</v>
      </c>
      <c r="T49" s="80"/>
      <c r="U49" s="80">
        <v>-3526265</v>
      </c>
      <c r="V49" s="80"/>
      <c r="W49" s="80">
        <v>85951885</v>
      </c>
      <c r="X49" s="81"/>
      <c r="Y49" s="81">
        <f t="shared" si="7"/>
        <v>0</v>
      </c>
    </row>
    <row r="50" spans="1:27" ht="12.75">
      <c r="A50" s="30" t="s">
        <v>47</v>
      </c>
      <c r="B50" s="30"/>
      <c r="C50" s="80">
        <f t="shared" si="4"/>
        <v>24061028</v>
      </c>
      <c r="D50" s="80"/>
      <c r="E50" s="80">
        <f>4242152+50779515</f>
        <v>55021667</v>
      </c>
      <c r="F50" s="80"/>
      <c r="G50" s="80">
        <v>7163022</v>
      </c>
      <c r="H50" s="80"/>
      <c r="I50" s="80">
        <v>86245717</v>
      </c>
      <c r="J50" s="80"/>
      <c r="K50" s="80">
        <f t="shared" si="5"/>
        <v>10935538</v>
      </c>
      <c r="L50" s="80"/>
      <c r="M50" s="80">
        <v>10778825</v>
      </c>
      <c r="N50" s="80"/>
      <c r="O50" s="80">
        <v>21714363</v>
      </c>
      <c r="P50" s="80"/>
      <c r="Q50" s="80">
        <v>43886006</v>
      </c>
      <c r="R50" s="80"/>
      <c r="S50" s="23">
        <f t="shared" si="6"/>
        <v>15671783</v>
      </c>
      <c r="T50" s="80"/>
      <c r="U50" s="80">
        <v>4973565</v>
      </c>
      <c r="V50" s="80"/>
      <c r="W50" s="80">
        <v>64531354</v>
      </c>
      <c r="X50" s="81"/>
      <c r="Y50" s="81">
        <f t="shared" si="7"/>
        <v>0</v>
      </c>
      <c r="AA50" t="s">
        <v>240</v>
      </c>
    </row>
    <row r="51" spans="1:25" s="82" customFormat="1" ht="12.75">
      <c r="A51" s="79" t="s">
        <v>48</v>
      </c>
      <c r="B51" s="79"/>
      <c r="C51" s="80">
        <f t="shared" si="4"/>
        <v>129854769</v>
      </c>
      <c r="D51" s="80"/>
      <c r="E51" s="80">
        <f>25040763+159847578</f>
        <v>184888341</v>
      </c>
      <c r="F51" s="80"/>
      <c r="G51" s="80">
        <v>36298329</v>
      </c>
      <c r="H51" s="80"/>
      <c r="I51" s="80">
        <v>351041439</v>
      </c>
      <c r="J51" s="80"/>
      <c r="K51" s="80">
        <f t="shared" si="5"/>
        <v>49465652</v>
      </c>
      <c r="L51" s="80"/>
      <c r="M51" s="80">
        <v>42736604</v>
      </c>
      <c r="N51" s="80"/>
      <c r="O51" s="80">
        <v>92202256</v>
      </c>
      <c r="P51" s="80"/>
      <c r="Q51" s="80">
        <v>157613841</v>
      </c>
      <c r="R51" s="80"/>
      <c r="S51" s="80">
        <f t="shared" si="6"/>
        <v>71530037</v>
      </c>
      <c r="T51" s="80"/>
      <c r="U51" s="80">
        <v>29695305</v>
      </c>
      <c r="V51" s="80"/>
      <c r="W51" s="80">
        <v>258839183</v>
      </c>
      <c r="X51" s="81"/>
      <c r="Y51" s="81">
        <f t="shared" si="7"/>
        <v>0</v>
      </c>
    </row>
    <row r="52" spans="1:25" ht="12.75" hidden="1">
      <c r="A52" s="30" t="s">
        <v>233</v>
      </c>
      <c r="B52" s="30"/>
      <c r="C52" s="80">
        <f t="shared" si="4"/>
        <v>0</v>
      </c>
      <c r="D52" s="80"/>
      <c r="E52" s="80">
        <v>0</v>
      </c>
      <c r="F52" s="80"/>
      <c r="G52" s="80">
        <v>0</v>
      </c>
      <c r="H52" s="80"/>
      <c r="I52" s="80">
        <v>0</v>
      </c>
      <c r="J52" s="80"/>
      <c r="K52" s="80">
        <f t="shared" si="5"/>
        <v>0</v>
      </c>
      <c r="L52" s="80"/>
      <c r="M52" s="80">
        <v>0</v>
      </c>
      <c r="N52" s="80"/>
      <c r="O52" s="80">
        <v>0</v>
      </c>
      <c r="P52" s="80"/>
      <c r="Q52" s="80">
        <v>0</v>
      </c>
      <c r="R52" s="80"/>
      <c r="S52" s="23">
        <f t="shared" si="6"/>
        <v>0</v>
      </c>
      <c r="T52" s="80"/>
      <c r="U52" s="80">
        <v>0</v>
      </c>
      <c r="V52" s="80"/>
      <c r="W52" s="80">
        <v>0</v>
      </c>
      <c r="X52" s="81"/>
      <c r="Y52" s="81">
        <f t="shared" si="7"/>
        <v>0</v>
      </c>
    </row>
    <row r="53" spans="1:25" ht="12.75">
      <c r="A53" s="30" t="s">
        <v>49</v>
      </c>
      <c r="B53" s="30"/>
      <c r="C53" s="80">
        <f t="shared" si="4"/>
        <v>47882288</v>
      </c>
      <c r="D53" s="80"/>
      <c r="E53" s="80">
        <f>6634633+54043922</f>
        <v>60678555</v>
      </c>
      <c r="F53" s="80"/>
      <c r="G53" s="80">
        <v>22948300</v>
      </c>
      <c r="H53" s="80"/>
      <c r="I53" s="80">
        <v>131509143</v>
      </c>
      <c r="J53" s="80"/>
      <c r="K53" s="80">
        <f t="shared" si="5"/>
        <v>34349458</v>
      </c>
      <c r="L53" s="80"/>
      <c r="M53" s="80">
        <v>11422851</v>
      </c>
      <c r="N53" s="80"/>
      <c r="O53" s="80">
        <v>45772309</v>
      </c>
      <c r="P53" s="80"/>
      <c r="Q53" s="80">
        <v>47444640</v>
      </c>
      <c r="R53" s="80"/>
      <c r="S53" s="23">
        <f t="shared" si="6"/>
        <v>19955039</v>
      </c>
      <c r="T53" s="80"/>
      <c r="U53" s="80">
        <v>18337155</v>
      </c>
      <c r="V53" s="80"/>
      <c r="W53" s="80">
        <v>85736834</v>
      </c>
      <c r="X53" s="81"/>
      <c r="Y53" s="81">
        <f t="shared" si="7"/>
        <v>0</v>
      </c>
    </row>
    <row r="54" spans="1:25" ht="12.75">
      <c r="A54" s="30" t="s">
        <v>50</v>
      </c>
      <c r="B54" s="30"/>
      <c r="C54" s="80">
        <f t="shared" si="4"/>
        <v>32624919</v>
      </c>
      <c r="D54" s="80"/>
      <c r="E54" s="80">
        <f>60033301+9876213</f>
        <v>69909514</v>
      </c>
      <c r="F54" s="80"/>
      <c r="G54" s="80">
        <v>0</v>
      </c>
      <c r="H54" s="80"/>
      <c r="I54" s="80">
        <v>102534433</v>
      </c>
      <c r="J54" s="80"/>
      <c r="K54" s="80">
        <f t="shared" si="5"/>
        <v>19196331</v>
      </c>
      <c r="L54" s="80"/>
      <c r="M54" s="80">
        <v>7521085</v>
      </c>
      <c r="N54" s="80"/>
      <c r="O54" s="80">
        <v>26717416</v>
      </c>
      <c r="P54" s="80"/>
      <c r="Q54" s="80">
        <v>52869514</v>
      </c>
      <c r="R54" s="80"/>
      <c r="S54" s="23">
        <f>W54-U54-Q54</f>
        <v>4857225</v>
      </c>
      <c r="T54" s="80"/>
      <c r="U54" s="80">
        <v>18090278</v>
      </c>
      <c r="V54" s="80"/>
      <c r="W54" s="80">
        <v>75817017</v>
      </c>
      <c r="X54" s="81"/>
      <c r="Y54" s="81">
        <f t="shared" si="7"/>
        <v>0</v>
      </c>
    </row>
    <row r="55" spans="1:25" ht="12.75">
      <c r="A55" s="30" t="s">
        <v>51</v>
      </c>
      <c r="B55" s="30"/>
      <c r="C55" s="80">
        <f t="shared" si="4"/>
        <v>212209728</v>
      </c>
      <c r="D55" s="80"/>
      <c r="E55" s="80">
        <f>7614049+127993237</f>
        <v>135607286</v>
      </c>
      <c r="F55" s="80"/>
      <c r="G55" s="80">
        <v>0</v>
      </c>
      <c r="H55" s="80"/>
      <c r="I55" s="80">
        <v>347817014</v>
      </c>
      <c r="J55" s="80"/>
      <c r="K55" s="80">
        <f t="shared" si="5"/>
        <v>27652557</v>
      </c>
      <c r="L55" s="80"/>
      <c r="M55" s="80">
        <v>37942520</v>
      </c>
      <c r="N55" s="80"/>
      <c r="O55" s="80">
        <v>65595077</v>
      </c>
      <c r="P55" s="80"/>
      <c r="Q55" s="80">
        <v>104113393</v>
      </c>
      <c r="R55" s="80"/>
      <c r="S55" s="23">
        <f>W55-U55-Q55</f>
        <v>0</v>
      </c>
      <c r="T55" s="80"/>
      <c r="U55" s="80">
        <v>178108544</v>
      </c>
      <c r="V55" s="80"/>
      <c r="W55" s="80">
        <v>282221937</v>
      </c>
      <c r="X55" s="81"/>
      <c r="Y55" s="81">
        <f t="shared" si="7"/>
        <v>0</v>
      </c>
    </row>
    <row r="56" spans="1:25" ht="12.75">
      <c r="A56" s="30" t="s">
        <v>190</v>
      </c>
      <c r="B56" s="30"/>
      <c r="C56" s="80">
        <f>+I56-E56-G56</f>
        <v>371057000</v>
      </c>
      <c r="D56" s="80"/>
      <c r="E56" s="80">
        <f>30324000+221732000</f>
        <v>252056000</v>
      </c>
      <c r="F56" s="80"/>
      <c r="G56" s="80">
        <v>0</v>
      </c>
      <c r="H56" s="80"/>
      <c r="I56" s="80">
        <v>623113000</v>
      </c>
      <c r="J56" s="80"/>
      <c r="K56" s="80">
        <f t="shared" si="5"/>
        <v>57132000</v>
      </c>
      <c r="L56" s="80"/>
      <c r="M56" s="80">
        <v>85382000</v>
      </c>
      <c r="N56" s="80"/>
      <c r="O56" s="80">
        <v>142514000</v>
      </c>
      <c r="P56" s="80"/>
      <c r="Q56" s="80">
        <v>163910000</v>
      </c>
      <c r="R56" s="80"/>
      <c r="S56" s="23">
        <f t="shared" si="6"/>
        <v>18027000</v>
      </c>
      <c r="T56" s="80"/>
      <c r="U56" s="80">
        <v>298662000</v>
      </c>
      <c r="V56" s="80"/>
      <c r="W56" s="80">
        <v>480599000</v>
      </c>
      <c r="X56" s="81"/>
      <c r="Y56" s="81">
        <f t="shared" si="7"/>
        <v>0</v>
      </c>
    </row>
    <row r="57" spans="1:25" ht="12.75" hidden="1">
      <c r="A57" s="30" t="s">
        <v>52</v>
      </c>
      <c r="B57" s="30"/>
      <c r="C57" s="80">
        <f t="shared" si="4"/>
        <v>0</v>
      </c>
      <c r="D57" s="80"/>
      <c r="E57" s="80">
        <v>0</v>
      </c>
      <c r="F57" s="80"/>
      <c r="G57" s="80">
        <v>0</v>
      </c>
      <c r="H57" s="80"/>
      <c r="I57" s="80">
        <v>0</v>
      </c>
      <c r="J57" s="80"/>
      <c r="K57" s="80">
        <f t="shared" si="5"/>
        <v>0</v>
      </c>
      <c r="L57" s="80"/>
      <c r="M57" s="80">
        <v>0</v>
      </c>
      <c r="N57" s="80"/>
      <c r="O57" s="80">
        <v>0</v>
      </c>
      <c r="P57" s="80"/>
      <c r="Q57" s="80">
        <v>0</v>
      </c>
      <c r="R57" s="80"/>
      <c r="S57" s="23">
        <f t="shared" si="6"/>
        <v>0</v>
      </c>
      <c r="T57" s="80"/>
      <c r="U57" s="80">
        <v>0</v>
      </c>
      <c r="V57" s="80"/>
      <c r="W57" s="80">
        <v>0</v>
      </c>
      <c r="X57" s="81"/>
      <c r="Y57" s="81">
        <f t="shared" si="7"/>
        <v>0</v>
      </c>
    </row>
    <row r="58" spans="1:26" s="126" customFormat="1" ht="12.75" hidden="1">
      <c r="A58" s="153" t="s">
        <v>53</v>
      </c>
      <c r="B58" s="153"/>
      <c r="C58" s="154">
        <f t="shared" si="4"/>
        <v>0</v>
      </c>
      <c r="D58" s="154"/>
      <c r="E58" s="154">
        <v>0</v>
      </c>
      <c r="F58" s="154"/>
      <c r="G58" s="154">
        <v>0</v>
      </c>
      <c r="H58" s="154"/>
      <c r="I58" s="154">
        <v>0</v>
      </c>
      <c r="J58" s="154"/>
      <c r="K58" s="154">
        <f t="shared" si="5"/>
        <v>0</v>
      </c>
      <c r="L58" s="154"/>
      <c r="M58" s="154">
        <v>0</v>
      </c>
      <c r="N58" s="154"/>
      <c r="O58" s="154">
        <v>0</v>
      </c>
      <c r="P58" s="154"/>
      <c r="Q58" s="154">
        <v>0</v>
      </c>
      <c r="R58" s="154"/>
      <c r="S58" s="155">
        <f t="shared" si="6"/>
        <v>0</v>
      </c>
      <c r="T58" s="154"/>
      <c r="U58" s="154">
        <v>0</v>
      </c>
      <c r="V58" s="154"/>
      <c r="W58" s="154">
        <v>0</v>
      </c>
      <c r="X58" s="156"/>
      <c r="Y58" s="156">
        <f t="shared" si="7"/>
        <v>0</v>
      </c>
      <c r="Z58" s="157" t="s">
        <v>256</v>
      </c>
    </row>
    <row r="59" spans="1:25" ht="12.75">
      <c r="A59" s="30" t="s">
        <v>54</v>
      </c>
      <c r="B59" s="30"/>
      <c r="C59" s="80">
        <f t="shared" si="4"/>
        <v>29578055</v>
      </c>
      <c r="D59" s="80"/>
      <c r="E59" s="80">
        <f>7371126+41960041</f>
        <v>49331167</v>
      </c>
      <c r="F59" s="80"/>
      <c r="G59" s="80">
        <v>6711554</v>
      </c>
      <c r="H59" s="80"/>
      <c r="I59" s="80">
        <v>85620776</v>
      </c>
      <c r="J59" s="80"/>
      <c r="K59" s="80">
        <f t="shared" si="5"/>
        <v>9218434</v>
      </c>
      <c r="L59" s="80"/>
      <c r="M59" s="80">
        <v>10235485</v>
      </c>
      <c r="N59" s="80"/>
      <c r="O59" s="80">
        <v>19453919</v>
      </c>
      <c r="P59" s="80"/>
      <c r="Q59" s="80">
        <v>43101269</v>
      </c>
      <c r="R59" s="80"/>
      <c r="S59" s="23">
        <f t="shared" si="6"/>
        <v>19405997</v>
      </c>
      <c r="T59" s="80"/>
      <c r="U59" s="80">
        <v>3659591</v>
      </c>
      <c r="V59" s="80"/>
      <c r="W59" s="80">
        <v>66166857</v>
      </c>
      <c r="X59" s="81"/>
      <c r="Y59" s="81">
        <f t="shared" si="7"/>
        <v>0</v>
      </c>
    </row>
    <row r="60" spans="1:25" ht="12.75">
      <c r="A60" s="30" t="s">
        <v>55</v>
      </c>
      <c r="B60" s="30"/>
      <c r="C60" s="80">
        <f t="shared" si="4"/>
        <v>82503849</v>
      </c>
      <c r="D60" s="80"/>
      <c r="E60" s="80">
        <v>43987839</v>
      </c>
      <c r="F60" s="80"/>
      <c r="G60" s="80">
        <v>21884791</v>
      </c>
      <c r="H60" s="80"/>
      <c r="I60" s="80">
        <v>148376479</v>
      </c>
      <c r="J60" s="80"/>
      <c r="K60" s="80">
        <f t="shared" si="5"/>
        <v>34643269</v>
      </c>
      <c r="L60" s="80"/>
      <c r="M60" s="80">
        <v>15249316</v>
      </c>
      <c r="N60" s="80"/>
      <c r="O60" s="80">
        <v>49892585</v>
      </c>
      <c r="P60" s="80"/>
      <c r="Q60" s="80">
        <v>50611636</v>
      </c>
      <c r="R60" s="80"/>
      <c r="S60" s="23">
        <f t="shared" si="6"/>
        <v>38043364</v>
      </c>
      <c r="T60" s="80"/>
      <c r="U60" s="80">
        <v>9828894</v>
      </c>
      <c r="V60" s="80"/>
      <c r="W60" s="80">
        <v>98483894</v>
      </c>
      <c r="X60" s="81"/>
      <c r="Y60" s="81">
        <f t="shared" si="7"/>
        <v>0</v>
      </c>
    </row>
    <row r="61" spans="1:25" ht="12.75" hidden="1">
      <c r="A61" s="30" t="s">
        <v>175</v>
      </c>
      <c r="B61" s="30"/>
      <c r="C61" s="80">
        <f t="shared" si="4"/>
        <v>0</v>
      </c>
      <c r="D61" s="80"/>
      <c r="E61" s="80">
        <v>0</v>
      </c>
      <c r="F61" s="80"/>
      <c r="G61" s="80">
        <v>0</v>
      </c>
      <c r="H61" s="80"/>
      <c r="I61" s="80">
        <v>0</v>
      </c>
      <c r="J61" s="80"/>
      <c r="K61" s="80">
        <f t="shared" si="5"/>
        <v>0</v>
      </c>
      <c r="L61" s="80"/>
      <c r="M61" s="80">
        <v>0</v>
      </c>
      <c r="N61" s="80"/>
      <c r="O61" s="80">
        <v>0</v>
      </c>
      <c r="P61" s="80"/>
      <c r="Q61" s="80">
        <v>0</v>
      </c>
      <c r="R61" s="80"/>
      <c r="S61" s="23">
        <f t="shared" si="6"/>
        <v>0</v>
      </c>
      <c r="T61" s="80"/>
      <c r="U61" s="80">
        <v>0</v>
      </c>
      <c r="V61" s="80"/>
      <c r="W61" s="80">
        <v>0</v>
      </c>
      <c r="X61" s="81"/>
      <c r="Y61" s="81">
        <f t="shared" si="7"/>
        <v>0</v>
      </c>
    </row>
    <row r="62" spans="1:25" ht="12.75" hidden="1">
      <c r="A62" s="30" t="s">
        <v>56</v>
      </c>
      <c r="B62" s="30"/>
      <c r="C62" s="80">
        <f t="shared" si="4"/>
        <v>0</v>
      </c>
      <c r="D62" s="80"/>
      <c r="E62" s="80">
        <v>0</v>
      </c>
      <c r="F62" s="80"/>
      <c r="G62" s="80">
        <v>0</v>
      </c>
      <c r="H62" s="80"/>
      <c r="I62" s="80">
        <v>0</v>
      </c>
      <c r="J62" s="80"/>
      <c r="K62" s="80">
        <f t="shared" si="5"/>
        <v>0</v>
      </c>
      <c r="L62" s="80"/>
      <c r="M62" s="80">
        <v>0</v>
      </c>
      <c r="N62" s="80"/>
      <c r="O62" s="80">
        <v>0</v>
      </c>
      <c r="P62" s="80"/>
      <c r="Q62" s="80">
        <v>0</v>
      </c>
      <c r="R62" s="80"/>
      <c r="S62" s="23">
        <f t="shared" si="6"/>
        <v>0</v>
      </c>
      <c r="T62" s="80"/>
      <c r="U62" s="80">
        <v>0</v>
      </c>
      <c r="V62" s="80"/>
      <c r="W62" s="80">
        <v>0</v>
      </c>
      <c r="X62" s="81"/>
      <c r="Y62" s="81">
        <f t="shared" si="7"/>
        <v>0</v>
      </c>
    </row>
    <row r="63" spans="1:25" ht="12.75">
      <c r="A63" s="30" t="s">
        <v>57</v>
      </c>
      <c r="B63" s="30"/>
      <c r="C63" s="80">
        <f t="shared" si="4"/>
        <v>63623997</v>
      </c>
      <c r="D63" s="80"/>
      <c r="E63" s="80">
        <f>5549402+75328040</f>
        <v>80877442</v>
      </c>
      <c r="F63" s="80"/>
      <c r="G63" s="80">
        <v>11759055</v>
      </c>
      <c r="H63" s="80"/>
      <c r="I63" s="80">
        <v>156260494</v>
      </c>
      <c r="J63" s="80"/>
      <c r="K63" s="80">
        <f t="shared" si="5"/>
        <v>17210804</v>
      </c>
      <c r="L63" s="80"/>
      <c r="M63" s="80">
        <v>9915047</v>
      </c>
      <c r="N63" s="80"/>
      <c r="O63" s="80">
        <v>27125851</v>
      </c>
      <c r="P63" s="80"/>
      <c r="Q63" s="80">
        <v>74284895</v>
      </c>
      <c r="R63" s="80"/>
      <c r="S63" s="23">
        <f t="shared" si="6"/>
        <v>39750610</v>
      </c>
      <c r="T63" s="80"/>
      <c r="U63" s="80">
        <v>15099138</v>
      </c>
      <c r="V63" s="80"/>
      <c r="W63" s="80">
        <v>129134643</v>
      </c>
      <c r="X63" s="81"/>
      <c r="Y63" s="81">
        <f t="shared" si="7"/>
        <v>0</v>
      </c>
    </row>
    <row r="64" spans="1:25" ht="12.75">
      <c r="A64" s="30" t="s">
        <v>58</v>
      </c>
      <c r="B64" s="30"/>
      <c r="C64" s="80">
        <f t="shared" si="4"/>
        <v>7404542</v>
      </c>
      <c r="D64" s="80"/>
      <c r="E64" s="80">
        <v>3945364</v>
      </c>
      <c r="F64" s="80"/>
      <c r="G64" s="80">
        <v>1149086</v>
      </c>
      <c r="H64" s="80"/>
      <c r="I64" s="80">
        <v>12498992</v>
      </c>
      <c r="J64" s="80"/>
      <c r="K64" s="80">
        <f t="shared" si="5"/>
        <v>2132388</v>
      </c>
      <c r="L64" s="80"/>
      <c r="M64" s="80">
        <v>363686</v>
      </c>
      <c r="N64" s="80"/>
      <c r="O64" s="80">
        <v>2496074</v>
      </c>
      <c r="P64" s="80"/>
      <c r="Q64" s="80">
        <v>3720117</v>
      </c>
      <c r="R64" s="80"/>
      <c r="S64" s="23">
        <f t="shared" si="6"/>
        <v>5880000</v>
      </c>
      <c r="T64" s="80"/>
      <c r="U64" s="80">
        <v>402801</v>
      </c>
      <c r="V64" s="80"/>
      <c r="W64" s="80">
        <v>10002918</v>
      </c>
      <c r="X64" s="81"/>
      <c r="Y64" s="81">
        <f t="shared" si="7"/>
        <v>0</v>
      </c>
    </row>
    <row r="65" spans="1:25" ht="12.75">
      <c r="A65" s="30" t="s">
        <v>59</v>
      </c>
      <c r="B65" s="30"/>
      <c r="C65" s="80">
        <f t="shared" si="4"/>
        <v>-213053627</v>
      </c>
      <c r="D65" s="80"/>
      <c r="E65" s="80">
        <f>974552489+128399497</f>
        <v>1102951986</v>
      </c>
      <c r="F65" s="80"/>
      <c r="G65" s="80">
        <v>121293227</v>
      </c>
      <c r="H65" s="80"/>
      <c r="I65" s="80">
        <v>1011191586</v>
      </c>
      <c r="J65" s="80"/>
      <c r="K65" s="80">
        <f t="shared" si="5"/>
        <v>185205645</v>
      </c>
      <c r="L65" s="80"/>
      <c r="M65" s="80">
        <v>70076499</v>
      </c>
      <c r="N65" s="80"/>
      <c r="O65" s="80">
        <v>255282144</v>
      </c>
      <c r="P65" s="80"/>
      <c r="Q65" s="80">
        <v>452461084</v>
      </c>
      <c r="R65" s="80"/>
      <c r="S65" s="23">
        <f t="shared" si="6"/>
        <v>123354515</v>
      </c>
      <c r="T65" s="80"/>
      <c r="U65" s="80">
        <v>180093843</v>
      </c>
      <c r="V65" s="80"/>
      <c r="W65" s="80">
        <v>755909442</v>
      </c>
      <c r="X65" s="81"/>
      <c r="Y65" s="81">
        <f t="shared" si="7"/>
        <v>0</v>
      </c>
    </row>
    <row r="66" spans="1:25" ht="12.75" hidden="1">
      <c r="A66" s="30" t="s">
        <v>60</v>
      </c>
      <c r="B66" s="30"/>
      <c r="C66" s="80">
        <f t="shared" si="4"/>
        <v>0</v>
      </c>
      <c r="D66" s="80"/>
      <c r="E66" s="80">
        <v>0</v>
      </c>
      <c r="F66" s="80"/>
      <c r="G66" s="80">
        <v>0</v>
      </c>
      <c r="H66" s="80"/>
      <c r="I66" s="80">
        <v>0</v>
      </c>
      <c r="J66" s="80"/>
      <c r="K66" s="80">
        <f t="shared" si="5"/>
        <v>0</v>
      </c>
      <c r="L66" s="80"/>
      <c r="M66" s="80">
        <v>0</v>
      </c>
      <c r="N66" s="80"/>
      <c r="O66" s="80">
        <v>0</v>
      </c>
      <c r="P66" s="80"/>
      <c r="Q66" s="80">
        <v>0</v>
      </c>
      <c r="R66" s="80"/>
      <c r="S66" s="23">
        <f t="shared" si="6"/>
        <v>0</v>
      </c>
      <c r="T66" s="80"/>
      <c r="U66" s="80">
        <v>0</v>
      </c>
      <c r="V66" s="80"/>
      <c r="W66" s="80">
        <v>0</v>
      </c>
      <c r="X66" s="81"/>
      <c r="Y66" s="81">
        <f t="shared" si="7"/>
        <v>0</v>
      </c>
    </row>
    <row r="67" spans="1:25" ht="12.75">
      <c r="A67" s="30" t="s">
        <v>97</v>
      </c>
      <c r="B67" s="30"/>
      <c r="C67" s="80">
        <f t="shared" si="4"/>
        <v>15284815</v>
      </c>
      <c r="D67" s="80"/>
      <c r="E67" s="80">
        <v>29983306</v>
      </c>
      <c r="F67" s="80"/>
      <c r="G67" s="80">
        <v>3970344</v>
      </c>
      <c r="H67" s="80"/>
      <c r="I67" s="80">
        <v>49238465</v>
      </c>
      <c r="J67" s="80"/>
      <c r="K67" s="80">
        <f t="shared" si="5"/>
        <v>10734385</v>
      </c>
      <c r="L67" s="80"/>
      <c r="M67" s="80">
        <v>3071227</v>
      </c>
      <c r="N67" s="80"/>
      <c r="O67" s="80">
        <v>13805612</v>
      </c>
      <c r="P67" s="80"/>
      <c r="Q67" s="80">
        <v>22462790</v>
      </c>
      <c r="R67" s="80"/>
      <c r="S67" s="23">
        <f t="shared" si="6"/>
        <v>11283689</v>
      </c>
      <c r="T67" s="80"/>
      <c r="U67" s="80">
        <v>1686374</v>
      </c>
      <c r="V67" s="80"/>
      <c r="W67" s="80">
        <v>35432853</v>
      </c>
      <c r="X67" s="81"/>
      <c r="Y67" s="81">
        <f t="shared" si="7"/>
        <v>0</v>
      </c>
    </row>
    <row r="68" spans="1:25" ht="12.75">
      <c r="A68" s="30" t="s">
        <v>61</v>
      </c>
      <c r="B68" s="30"/>
      <c r="C68" s="80">
        <f t="shared" si="4"/>
        <v>49629886</v>
      </c>
      <c r="D68" s="80"/>
      <c r="E68" s="80">
        <f>38838985+66275665</f>
        <v>105114650</v>
      </c>
      <c r="F68" s="80"/>
      <c r="G68" s="80">
        <v>11688178</v>
      </c>
      <c r="H68" s="80"/>
      <c r="I68" s="80">
        <v>166432714</v>
      </c>
      <c r="J68" s="80"/>
      <c r="K68" s="80">
        <f t="shared" si="5"/>
        <v>21202662</v>
      </c>
      <c r="L68" s="80"/>
      <c r="M68" s="80">
        <v>29134657</v>
      </c>
      <c r="N68" s="80"/>
      <c r="O68" s="80">
        <v>50337319</v>
      </c>
      <c r="P68" s="80"/>
      <c r="Q68" s="80">
        <v>76094042</v>
      </c>
      <c r="R68" s="80"/>
      <c r="S68" s="23">
        <f t="shared" si="6"/>
        <v>29752642</v>
      </c>
      <c r="T68" s="80"/>
      <c r="U68" s="80">
        <v>10248711</v>
      </c>
      <c r="V68" s="80"/>
      <c r="W68" s="80">
        <v>116095395</v>
      </c>
      <c r="X68" s="81"/>
      <c r="Y68" s="81">
        <f t="shared" si="7"/>
        <v>0</v>
      </c>
    </row>
    <row r="69" spans="1:25" ht="12.75">
      <c r="A69" s="30" t="s">
        <v>62</v>
      </c>
      <c r="B69" s="30"/>
      <c r="C69" s="80">
        <f t="shared" si="4"/>
        <v>8875078</v>
      </c>
      <c r="D69" s="80"/>
      <c r="E69" s="80">
        <f>13227053+10187524</f>
        <v>23414577</v>
      </c>
      <c r="F69" s="80"/>
      <c r="G69" s="80">
        <v>0</v>
      </c>
      <c r="H69" s="80"/>
      <c r="I69" s="80">
        <v>32289655</v>
      </c>
      <c r="J69" s="80"/>
      <c r="K69" s="80">
        <f t="shared" si="5"/>
        <v>2599208</v>
      </c>
      <c r="L69" s="80"/>
      <c r="M69" s="80">
        <v>1102450</v>
      </c>
      <c r="N69" s="80"/>
      <c r="O69" s="80">
        <v>3701658</v>
      </c>
      <c r="P69" s="80"/>
      <c r="Q69" s="80">
        <v>22395532</v>
      </c>
      <c r="R69" s="80"/>
      <c r="S69" s="23">
        <f t="shared" si="6"/>
        <v>5447396</v>
      </c>
      <c r="T69" s="80"/>
      <c r="U69" s="80">
        <v>745069</v>
      </c>
      <c r="V69" s="80"/>
      <c r="W69" s="80">
        <v>28587997</v>
      </c>
      <c r="X69" s="81"/>
      <c r="Y69" s="81">
        <f t="shared" si="7"/>
        <v>0</v>
      </c>
    </row>
    <row r="70" spans="1:25" ht="12.75">
      <c r="A70" s="30" t="s">
        <v>236</v>
      </c>
      <c r="B70" s="30"/>
      <c r="C70" s="80">
        <f t="shared" si="4"/>
        <v>51188106</v>
      </c>
      <c r="D70" s="80"/>
      <c r="E70" s="80">
        <v>34115416</v>
      </c>
      <c r="F70" s="80"/>
      <c r="G70" s="80">
        <v>0</v>
      </c>
      <c r="H70" s="80"/>
      <c r="I70" s="80">
        <v>85303522</v>
      </c>
      <c r="J70" s="80"/>
      <c r="K70" s="80">
        <f t="shared" si="5"/>
        <v>14992260</v>
      </c>
      <c r="L70" s="80"/>
      <c r="M70" s="80">
        <v>24493416</v>
      </c>
      <c r="N70" s="80"/>
      <c r="O70" s="80">
        <v>39485676</v>
      </c>
      <c r="P70" s="80"/>
      <c r="Q70" s="80">
        <v>10000000</v>
      </c>
      <c r="R70" s="80"/>
      <c r="S70" s="23">
        <f t="shared" si="6"/>
        <v>32351363</v>
      </c>
      <c r="T70" s="80"/>
      <c r="U70" s="80">
        <v>3466483</v>
      </c>
      <c r="V70" s="80"/>
      <c r="W70" s="80">
        <v>45817846</v>
      </c>
      <c r="X70" s="81"/>
      <c r="Y70" s="81">
        <f t="shared" si="7"/>
        <v>0</v>
      </c>
    </row>
    <row r="71" spans="1:25" ht="12.75" hidden="1">
      <c r="A71" s="30" t="s">
        <v>132</v>
      </c>
      <c r="B71" s="30"/>
      <c r="C71" s="80">
        <f t="shared" si="4"/>
        <v>0</v>
      </c>
      <c r="D71" s="80"/>
      <c r="E71" s="80">
        <v>0</v>
      </c>
      <c r="F71" s="80"/>
      <c r="G71" s="80">
        <v>0</v>
      </c>
      <c r="H71" s="80"/>
      <c r="I71" s="80">
        <v>0</v>
      </c>
      <c r="J71" s="80"/>
      <c r="K71" s="80">
        <f t="shared" si="5"/>
        <v>0</v>
      </c>
      <c r="L71" s="80"/>
      <c r="M71" s="80">
        <v>0</v>
      </c>
      <c r="N71" s="80"/>
      <c r="O71" s="80">
        <v>0</v>
      </c>
      <c r="P71" s="80"/>
      <c r="Q71" s="80">
        <v>0</v>
      </c>
      <c r="R71" s="80"/>
      <c r="S71" s="23">
        <f t="shared" si="6"/>
        <v>0</v>
      </c>
      <c r="T71" s="80"/>
      <c r="U71" s="80">
        <v>0</v>
      </c>
      <c r="V71" s="80"/>
      <c r="W71" s="80">
        <v>0</v>
      </c>
      <c r="X71" s="81"/>
      <c r="Y71" s="81">
        <f t="shared" si="7"/>
        <v>0</v>
      </c>
    </row>
    <row r="72" spans="1:25" ht="12.75" hidden="1">
      <c r="A72" s="30" t="s">
        <v>64</v>
      </c>
      <c r="B72" s="30"/>
      <c r="C72" s="80">
        <f t="shared" si="4"/>
        <v>0</v>
      </c>
      <c r="D72" s="80"/>
      <c r="E72" s="80">
        <v>0</v>
      </c>
      <c r="F72" s="80"/>
      <c r="G72" s="80">
        <v>0</v>
      </c>
      <c r="H72" s="80"/>
      <c r="I72" s="80">
        <v>0</v>
      </c>
      <c r="J72" s="80"/>
      <c r="K72" s="80">
        <f t="shared" si="5"/>
        <v>0</v>
      </c>
      <c r="L72" s="80"/>
      <c r="M72" s="80">
        <v>0</v>
      </c>
      <c r="N72" s="80"/>
      <c r="O72" s="80">
        <v>0</v>
      </c>
      <c r="P72" s="80"/>
      <c r="Q72" s="80">
        <v>0</v>
      </c>
      <c r="R72" s="80"/>
      <c r="S72" s="23">
        <f t="shared" si="6"/>
        <v>0</v>
      </c>
      <c r="T72" s="80"/>
      <c r="U72" s="80">
        <v>0</v>
      </c>
      <c r="V72" s="80"/>
      <c r="W72" s="80">
        <v>0</v>
      </c>
      <c r="X72" s="81"/>
      <c r="Y72" s="81">
        <f t="shared" si="7"/>
        <v>0</v>
      </c>
    </row>
    <row r="73" spans="1:25" s="82" customFormat="1" ht="12.75">
      <c r="A73" s="79" t="s">
        <v>194</v>
      </c>
      <c r="B73" s="79"/>
      <c r="C73" s="80">
        <f t="shared" si="4"/>
        <v>19656778</v>
      </c>
      <c r="D73" s="80"/>
      <c r="E73" s="80">
        <f>1346505+26420955</f>
        <v>27767460</v>
      </c>
      <c r="F73" s="80"/>
      <c r="G73" s="80">
        <v>0</v>
      </c>
      <c r="H73" s="80"/>
      <c r="I73" s="80">
        <v>47424238</v>
      </c>
      <c r="J73" s="80"/>
      <c r="K73" s="80">
        <f t="shared" si="5"/>
        <v>8762047</v>
      </c>
      <c r="L73" s="80"/>
      <c r="M73" s="80">
        <v>2878151</v>
      </c>
      <c r="N73" s="80"/>
      <c r="O73" s="80">
        <v>11640198</v>
      </c>
      <c r="P73" s="80"/>
      <c r="Q73" s="80">
        <v>27410440</v>
      </c>
      <c r="R73" s="80"/>
      <c r="S73" s="23">
        <f t="shared" si="6"/>
        <v>9029576</v>
      </c>
      <c r="T73" s="80"/>
      <c r="U73" s="80">
        <v>-655976</v>
      </c>
      <c r="V73" s="80"/>
      <c r="W73" s="80">
        <v>35784040</v>
      </c>
      <c r="X73" s="81"/>
      <c r="Y73" s="81">
        <f t="shared" si="7"/>
        <v>0</v>
      </c>
    </row>
    <row r="74" spans="1:25" s="82" customFormat="1" ht="12.75">
      <c r="A74" s="79" t="s">
        <v>66</v>
      </c>
      <c r="B74" s="79"/>
      <c r="C74" s="80">
        <f t="shared" si="4"/>
        <v>17293004</v>
      </c>
      <c r="D74" s="80"/>
      <c r="E74" s="80">
        <f>1254103+10479796</f>
        <v>11733899</v>
      </c>
      <c r="F74" s="80"/>
      <c r="G74" s="80">
        <v>0</v>
      </c>
      <c r="H74" s="80"/>
      <c r="I74" s="80">
        <v>29026903</v>
      </c>
      <c r="J74" s="80"/>
      <c r="K74" s="80">
        <f t="shared" si="5"/>
        <v>6857662</v>
      </c>
      <c r="L74" s="80"/>
      <c r="M74" s="80">
        <v>1373698</v>
      </c>
      <c r="N74" s="80"/>
      <c r="O74" s="80">
        <v>8231360</v>
      </c>
      <c r="P74" s="80"/>
      <c r="Q74" s="80">
        <v>7373204</v>
      </c>
      <c r="R74" s="80"/>
      <c r="S74" s="23">
        <f t="shared" si="6"/>
        <v>10247092</v>
      </c>
      <c r="T74" s="80"/>
      <c r="U74" s="80">
        <v>3175247</v>
      </c>
      <c r="V74" s="80"/>
      <c r="W74" s="80">
        <v>20795543</v>
      </c>
      <c r="X74" s="81"/>
      <c r="Y74" s="81">
        <f t="shared" si="7"/>
        <v>0</v>
      </c>
    </row>
    <row r="75" spans="1:25" s="82" customFormat="1" ht="12.75">
      <c r="A75" s="79" t="s">
        <v>67</v>
      </c>
      <c r="B75" s="79"/>
      <c r="C75" s="80">
        <f aca="true" t="shared" si="8" ref="C75:C96">+I75-E75-G75</f>
        <v>100995295</v>
      </c>
      <c r="D75" s="80"/>
      <c r="E75" s="80">
        <f>8007041+82157125</f>
        <v>90164166</v>
      </c>
      <c r="F75" s="80"/>
      <c r="G75" s="80">
        <v>0</v>
      </c>
      <c r="H75" s="80"/>
      <c r="I75" s="80">
        <v>191159461</v>
      </c>
      <c r="J75" s="80"/>
      <c r="K75" s="80">
        <f aca="true" t="shared" si="9" ref="K75:K81">+O75-M75</f>
        <v>38801551</v>
      </c>
      <c r="L75" s="80"/>
      <c r="M75" s="80">
        <v>19570945</v>
      </c>
      <c r="N75" s="80"/>
      <c r="O75" s="80">
        <v>58372496</v>
      </c>
      <c r="P75" s="80"/>
      <c r="Q75" s="80">
        <v>72034942</v>
      </c>
      <c r="R75" s="80"/>
      <c r="S75" s="23">
        <f aca="true" t="shared" si="10" ref="S75:S96">W75-U75-Q75</f>
        <v>41659992</v>
      </c>
      <c r="T75" s="80"/>
      <c r="U75" s="80">
        <v>19092031</v>
      </c>
      <c r="V75" s="80"/>
      <c r="W75" s="80">
        <v>132786965</v>
      </c>
      <c r="X75" s="81"/>
      <c r="Y75" s="81">
        <f aca="true" t="shared" si="11" ref="Y75:Y96">I75-O75-W75</f>
        <v>0</v>
      </c>
    </row>
    <row r="76" spans="1:25" s="82" customFormat="1" ht="12.75">
      <c r="A76" s="79" t="s">
        <v>68</v>
      </c>
      <c r="B76" s="79"/>
      <c r="C76" s="80">
        <f t="shared" si="8"/>
        <v>19682206</v>
      </c>
      <c r="D76" s="80"/>
      <c r="E76" s="80">
        <f>2606451+11027485</f>
        <v>13633936</v>
      </c>
      <c r="F76" s="80"/>
      <c r="G76" s="80">
        <v>2845</v>
      </c>
      <c r="H76" s="80"/>
      <c r="I76" s="80">
        <v>33318987</v>
      </c>
      <c r="J76" s="80"/>
      <c r="K76" s="80">
        <f t="shared" si="9"/>
        <v>6931866</v>
      </c>
      <c r="L76" s="80"/>
      <c r="M76" s="80">
        <v>3540351</v>
      </c>
      <c r="N76" s="80"/>
      <c r="O76" s="80">
        <v>10472217</v>
      </c>
      <c r="P76" s="80"/>
      <c r="Q76" s="80">
        <v>9765286</v>
      </c>
      <c r="R76" s="80"/>
      <c r="S76" s="80">
        <f t="shared" si="10"/>
        <v>10285831</v>
      </c>
      <c r="T76" s="80"/>
      <c r="U76" s="80">
        <v>2795653</v>
      </c>
      <c r="V76" s="80"/>
      <c r="W76" s="80">
        <v>22846770</v>
      </c>
      <c r="X76" s="81"/>
      <c r="Y76" s="81">
        <f t="shared" si="11"/>
        <v>0</v>
      </c>
    </row>
    <row r="77" spans="1:25" ht="12.75" hidden="1">
      <c r="A77" s="30" t="s">
        <v>180</v>
      </c>
      <c r="B77" s="30"/>
      <c r="C77" s="80">
        <f t="shared" si="8"/>
        <v>0</v>
      </c>
      <c r="D77" s="80"/>
      <c r="E77" s="80">
        <v>0</v>
      </c>
      <c r="F77" s="80"/>
      <c r="G77" s="80">
        <v>0</v>
      </c>
      <c r="H77" s="80"/>
      <c r="I77" s="80">
        <v>0</v>
      </c>
      <c r="J77" s="80"/>
      <c r="K77" s="80">
        <f t="shared" si="9"/>
        <v>0</v>
      </c>
      <c r="L77" s="80"/>
      <c r="M77" s="80">
        <v>0</v>
      </c>
      <c r="N77" s="80"/>
      <c r="O77" s="80">
        <v>0</v>
      </c>
      <c r="P77" s="80"/>
      <c r="Q77" s="80">
        <v>0</v>
      </c>
      <c r="R77" s="80"/>
      <c r="S77" s="23">
        <f t="shared" si="10"/>
        <v>0</v>
      </c>
      <c r="T77" s="80"/>
      <c r="U77" s="80">
        <v>0</v>
      </c>
      <c r="V77" s="80"/>
      <c r="W77" s="80">
        <v>0</v>
      </c>
      <c r="X77" s="81"/>
      <c r="Y77" s="81">
        <f t="shared" si="11"/>
        <v>0</v>
      </c>
    </row>
    <row r="78" spans="1:25" ht="12.75">
      <c r="A78" s="30" t="s">
        <v>185</v>
      </c>
      <c r="B78" s="30"/>
      <c r="C78" s="80">
        <f t="shared" si="8"/>
        <v>98349718</v>
      </c>
      <c r="D78" s="80"/>
      <c r="E78" s="80">
        <f>4922364+78539709</f>
        <v>83462073</v>
      </c>
      <c r="F78" s="80"/>
      <c r="G78" s="80">
        <v>135598</v>
      </c>
      <c r="H78" s="80"/>
      <c r="I78" s="80">
        <v>181947389</v>
      </c>
      <c r="J78" s="80"/>
      <c r="K78" s="80">
        <f t="shared" si="9"/>
        <v>45120772</v>
      </c>
      <c r="L78" s="80"/>
      <c r="M78" s="80">
        <v>19430453</v>
      </c>
      <c r="N78" s="80"/>
      <c r="O78" s="80">
        <v>64551225</v>
      </c>
      <c r="P78" s="80"/>
      <c r="Q78" s="80">
        <v>64486902</v>
      </c>
      <c r="R78" s="80"/>
      <c r="S78" s="23">
        <f t="shared" si="10"/>
        <v>46628588</v>
      </c>
      <c r="T78" s="80"/>
      <c r="U78" s="80">
        <v>6280674</v>
      </c>
      <c r="V78" s="80"/>
      <c r="W78" s="80">
        <v>117396164</v>
      </c>
      <c r="X78" s="81"/>
      <c r="Y78" s="81">
        <f t="shared" si="11"/>
        <v>0</v>
      </c>
    </row>
    <row r="79" spans="1:25" ht="12.75">
      <c r="A79" s="30" t="s">
        <v>69</v>
      </c>
      <c r="B79" s="30"/>
      <c r="C79" s="80">
        <f t="shared" si="8"/>
        <v>23326367</v>
      </c>
      <c r="D79" s="80"/>
      <c r="E79" s="80">
        <f>2355826+38463014</f>
        <v>40818840</v>
      </c>
      <c r="F79" s="80"/>
      <c r="G79" s="80">
        <v>0</v>
      </c>
      <c r="H79" s="80"/>
      <c r="I79" s="80">
        <v>64145207</v>
      </c>
      <c r="J79" s="80"/>
      <c r="K79" s="80">
        <f t="shared" si="9"/>
        <v>15203068</v>
      </c>
      <c r="L79" s="80"/>
      <c r="M79" s="80">
        <v>10820479</v>
      </c>
      <c r="N79" s="80"/>
      <c r="O79" s="80">
        <v>26023547</v>
      </c>
      <c r="P79" s="80"/>
      <c r="Q79" s="80">
        <v>28465419</v>
      </c>
      <c r="R79" s="80"/>
      <c r="S79" s="23">
        <f t="shared" si="10"/>
        <v>8683288</v>
      </c>
      <c r="T79" s="80"/>
      <c r="U79" s="80">
        <v>972953</v>
      </c>
      <c r="V79" s="80"/>
      <c r="W79" s="80">
        <v>38121660</v>
      </c>
      <c r="X79" s="81"/>
      <c r="Y79" s="81">
        <f t="shared" si="11"/>
        <v>0</v>
      </c>
    </row>
    <row r="80" spans="1:25" ht="12.75">
      <c r="A80" s="30"/>
      <c r="B80" s="3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23"/>
      <c r="T80" s="80"/>
      <c r="U80" s="80"/>
      <c r="V80" s="80"/>
      <c r="W80" s="80" t="s">
        <v>257</v>
      </c>
      <c r="X80" s="81"/>
      <c r="Y80" s="81"/>
    </row>
    <row r="81" spans="1:25" ht="12.75">
      <c r="A81" s="30" t="s">
        <v>98</v>
      </c>
      <c r="B81" s="30"/>
      <c r="C81" s="142">
        <f t="shared" si="8"/>
        <v>37351154</v>
      </c>
      <c r="D81" s="142"/>
      <c r="E81" s="80">
        <v>41427655</v>
      </c>
      <c r="F81" s="142"/>
      <c r="G81" s="80">
        <v>0</v>
      </c>
      <c r="H81" s="142"/>
      <c r="I81" s="80">
        <v>78778809</v>
      </c>
      <c r="J81" s="142"/>
      <c r="K81" s="142">
        <f t="shared" si="9"/>
        <v>12690006</v>
      </c>
      <c r="L81" s="142"/>
      <c r="M81" s="80">
        <v>8140258</v>
      </c>
      <c r="N81" s="142"/>
      <c r="O81" s="80">
        <v>20830264</v>
      </c>
      <c r="P81" s="142"/>
      <c r="Q81" s="80">
        <v>34095900</v>
      </c>
      <c r="R81" s="142"/>
      <c r="S81" s="143">
        <f t="shared" si="10"/>
        <v>17601678</v>
      </c>
      <c r="T81" s="142"/>
      <c r="U81" s="80">
        <v>6250967</v>
      </c>
      <c r="V81" s="142"/>
      <c r="W81" s="80">
        <v>57948545</v>
      </c>
      <c r="X81" s="81"/>
      <c r="Y81" s="81">
        <f t="shared" si="11"/>
        <v>0</v>
      </c>
    </row>
    <row r="82" spans="1:25" ht="12.75">
      <c r="A82" s="30" t="s">
        <v>70</v>
      </c>
      <c r="B82" s="30"/>
      <c r="C82" s="80">
        <f t="shared" si="8"/>
        <v>25300940</v>
      </c>
      <c r="D82" s="80"/>
      <c r="E82" s="80">
        <f>13200146+29177398</f>
        <v>42377544</v>
      </c>
      <c r="F82" s="80"/>
      <c r="G82" s="80">
        <v>166296</v>
      </c>
      <c r="H82" s="80"/>
      <c r="I82" s="80">
        <v>67844780</v>
      </c>
      <c r="J82" s="80"/>
      <c r="K82" s="80">
        <f aca="true" t="shared" si="12" ref="K82:K96">+O82-M82</f>
        <v>12487459</v>
      </c>
      <c r="L82" s="80"/>
      <c r="M82" s="80">
        <v>13498132</v>
      </c>
      <c r="N82" s="80"/>
      <c r="O82" s="80">
        <v>25985591</v>
      </c>
      <c r="P82" s="80"/>
      <c r="Q82" s="80">
        <v>30786969</v>
      </c>
      <c r="R82" s="80"/>
      <c r="S82" s="23">
        <f t="shared" si="10"/>
        <v>12507684</v>
      </c>
      <c r="T82" s="80"/>
      <c r="U82" s="80">
        <v>-1435464</v>
      </c>
      <c r="V82" s="80"/>
      <c r="W82" s="80">
        <v>41859189</v>
      </c>
      <c r="X82" s="81"/>
      <c r="Y82" s="81">
        <f t="shared" si="11"/>
        <v>0</v>
      </c>
    </row>
    <row r="83" spans="1:25" s="82" customFormat="1" ht="12.75">
      <c r="A83" s="79" t="s">
        <v>71</v>
      </c>
      <c r="B83" s="79"/>
      <c r="C83" s="80">
        <f t="shared" si="8"/>
        <v>57183387</v>
      </c>
      <c r="D83" s="80"/>
      <c r="E83" s="80">
        <f>19671+8+36844289</f>
        <v>36863968</v>
      </c>
      <c r="F83" s="80"/>
      <c r="G83" s="80">
        <v>0</v>
      </c>
      <c r="H83" s="80"/>
      <c r="I83" s="80">
        <v>94047355</v>
      </c>
      <c r="J83" s="80"/>
      <c r="K83" s="80">
        <f t="shared" si="12"/>
        <v>11526889</v>
      </c>
      <c r="L83" s="80"/>
      <c r="M83" s="80">
        <v>6943262</v>
      </c>
      <c r="N83" s="80"/>
      <c r="O83" s="80">
        <v>18470151</v>
      </c>
      <c r="P83" s="80"/>
      <c r="Q83" s="80">
        <v>49455297</v>
      </c>
      <c r="R83" s="80"/>
      <c r="S83" s="80">
        <f t="shared" si="10"/>
        <v>19898780</v>
      </c>
      <c r="T83" s="80"/>
      <c r="U83" s="80">
        <v>6223127</v>
      </c>
      <c r="V83" s="80"/>
      <c r="W83" s="80">
        <v>75577204</v>
      </c>
      <c r="X83" s="81"/>
      <c r="Y83" s="81">
        <f t="shared" si="11"/>
        <v>0</v>
      </c>
    </row>
    <row r="84" spans="1:25" ht="12.75">
      <c r="A84" s="30" t="s">
        <v>72</v>
      </c>
      <c r="B84" s="30"/>
      <c r="C84" s="80">
        <f t="shared" si="8"/>
        <v>27732462</v>
      </c>
      <c r="D84" s="80"/>
      <c r="E84" s="80">
        <f>26746300+2529557</f>
        <v>29275857</v>
      </c>
      <c r="F84" s="80"/>
      <c r="G84" s="80">
        <v>9012</v>
      </c>
      <c r="H84" s="80"/>
      <c r="I84" s="80">
        <v>57017331</v>
      </c>
      <c r="J84" s="80"/>
      <c r="K84" s="80">
        <f t="shared" si="12"/>
        <v>10324605</v>
      </c>
      <c r="L84" s="80"/>
      <c r="M84" s="80">
        <v>2864216</v>
      </c>
      <c r="N84" s="80"/>
      <c r="O84" s="80">
        <v>13188821</v>
      </c>
      <c r="P84" s="80"/>
      <c r="Q84" s="80">
        <v>26998298</v>
      </c>
      <c r="R84" s="80"/>
      <c r="S84" s="23">
        <f t="shared" si="10"/>
        <v>14258420</v>
      </c>
      <c r="T84" s="80"/>
      <c r="U84" s="80">
        <v>2571792</v>
      </c>
      <c r="V84" s="80"/>
      <c r="W84" s="80">
        <v>43828510</v>
      </c>
      <c r="X84" s="81"/>
      <c r="Y84" s="81">
        <f t="shared" si="11"/>
        <v>0</v>
      </c>
    </row>
    <row r="85" spans="1:25" ht="12.75">
      <c r="A85" s="30" t="s">
        <v>73</v>
      </c>
      <c r="B85" s="30"/>
      <c r="C85" s="80">
        <f t="shared" si="8"/>
        <v>201172094</v>
      </c>
      <c r="D85" s="80"/>
      <c r="E85" s="80">
        <f>40489583+74357495</f>
        <v>114847078</v>
      </c>
      <c r="F85" s="80"/>
      <c r="G85" s="80">
        <v>0</v>
      </c>
      <c r="H85" s="80"/>
      <c r="I85" s="80">
        <v>316019172</v>
      </c>
      <c r="J85" s="80"/>
      <c r="K85" s="80">
        <f t="shared" si="12"/>
        <v>75477260</v>
      </c>
      <c r="L85" s="80"/>
      <c r="M85" s="80">
        <v>12189193</v>
      </c>
      <c r="N85" s="80"/>
      <c r="O85" s="80">
        <v>87666453</v>
      </c>
      <c r="P85" s="80"/>
      <c r="Q85" s="80">
        <v>114461580</v>
      </c>
      <c r="R85" s="80"/>
      <c r="S85" s="23">
        <f t="shared" si="10"/>
        <v>93223887</v>
      </c>
      <c r="T85" s="80"/>
      <c r="U85" s="80">
        <v>20667252</v>
      </c>
      <c r="V85" s="80"/>
      <c r="W85" s="80">
        <v>228352719</v>
      </c>
      <c r="X85" s="81"/>
      <c r="Y85" s="81">
        <f t="shared" si="11"/>
        <v>0</v>
      </c>
    </row>
    <row r="86" spans="1:25" s="82" customFormat="1" ht="12.75">
      <c r="A86" s="79" t="s">
        <v>74</v>
      </c>
      <c r="B86" s="79"/>
      <c r="C86" s="80">
        <f t="shared" si="8"/>
        <v>362460233</v>
      </c>
      <c r="D86" s="80"/>
      <c r="E86" s="80">
        <f>22016646+258114770</f>
        <v>280131416</v>
      </c>
      <c r="F86" s="80"/>
      <c r="G86" s="80">
        <v>602141</v>
      </c>
      <c r="H86" s="80"/>
      <c r="I86" s="80">
        <v>643193790</v>
      </c>
      <c r="J86" s="80"/>
      <c r="K86" s="80">
        <f t="shared" si="12"/>
        <v>162426532</v>
      </c>
      <c r="L86" s="80"/>
      <c r="M86" s="80">
        <v>107707855</v>
      </c>
      <c r="N86" s="80"/>
      <c r="O86" s="80">
        <v>270134387</v>
      </c>
      <c r="P86" s="80"/>
      <c r="Q86" s="80">
        <v>205829186</v>
      </c>
      <c r="R86" s="80"/>
      <c r="S86" s="80">
        <f t="shared" si="10"/>
        <v>58369948</v>
      </c>
      <c r="T86" s="80"/>
      <c r="U86" s="80">
        <v>108860269</v>
      </c>
      <c r="V86" s="80"/>
      <c r="W86" s="80">
        <v>373059403</v>
      </c>
      <c r="X86" s="81"/>
      <c r="Y86" s="81">
        <f t="shared" si="11"/>
        <v>0</v>
      </c>
    </row>
    <row r="87" spans="1:25" ht="12.75">
      <c r="A87" s="30" t="s">
        <v>75</v>
      </c>
      <c r="B87" s="30"/>
      <c r="C87" s="80">
        <f t="shared" si="8"/>
        <v>105328363</v>
      </c>
      <c r="D87" s="80"/>
      <c r="E87" s="80">
        <f>2448200+86201973</f>
        <v>88650173</v>
      </c>
      <c r="F87" s="80"/>
      <c r="G87" s="80">
        <v>154144</v>
      </c>
      <c r="H87" s="80"/>
      <c r="I87" s="80">
        <v>194132680</v>
      </c>
      <c r="J87" s="80"/>
      <c r="K87" s="80">
        <f t="shared" si="12"/>
        <v>37737814</v>
      </c>
      <c r="L87" s="80"/>
      <c r="M87" s="80">
        <v>31380309</v>
      </c>
      <c r="N87" s="80"/>
      <c r="O87" s="80">
        <v>69118123</v>
      </c>
      <c r="P87" s="80"/>
      <c r="Q87" s="80">
        <v>70708584</v>
      </c>
      <c r="R87" s="80"/>
      <c r="S87" s="23">
        <f t="shared" si="10"/>
        <v>48244226</v>
      </c>
      <c r="T87" s="80"/>
      <c r="U87" s="80">
        <v>6061747</v>
      </c>
      <c r="V87" s="80"/>
      <c r="W87" s="80">
        <v>125014557</v>
      </c>
      <c r="X87" s="81"/>
      <c r="Y87" s="81">
        <f t="shared" si="11"/>
        <v>0</v>
      </c>
    </row>
    <row r="88" spans="1:25" ht="12.75">
      <c r="A88" s="30" t="s">
        <v>76</v>
      </c>
      <c r="B88" s="30"/>
      <c r="C88" s="80">
        <f t="shared" si="8"/>
        <v>68295107</v>
      </c>
      <c r="D88" s="80"/>
      <c r="E88" s="80">
        <f>1829129+26452067</f>
        <v>28281196</v>
      </c>
      <c r="F88" s="80"/>
      <c r="G88" s="80">
        <v>0</v>
      </c>
      <c r="H88" s="80"/>
      <c r="I88" s="80">
        <v>96576303</v>
      </c>
      <c r="J88" s="80"/>
      <c r="K88" s="80">
        <f t="shared" si="12"/>
        <v>16759602</v>
      </c>
      <c r="L88" s="80"/>
      <c r="M88" s="80">
        <v>1928514</v>
      </c>
      <c r="N88" s="80"/>
      <c r="O88" s="80">
        <v>18688116</v>
      </c>
      <c r="P88" s="80"/>
      <c r="Q88" s="80">
        <v>28089189</v>
      </c>
      <c r="R88" s="80"/>
      <c r="S88" s="23">
        <f t="shared" si="10"/>
        <v>35482342</v>
      </c>
      <c r="T88" s="80"/>
      <c r="U88" s="80">
        <v>14316656</v>
      </c>
      <c r="V88" s="80"/>
      <c r="W88" s="80">
        <v>77888187</v>
      </c>
      <c r="X88" s="81"/>
      <c r="Y88" s="81">
        <f t="shared" si="11"/>
        <v>0</v>
      </c>
    </row>
    <row r="89" spans="1:25" ht="12.75">
      <c r="A89" s="30" t="s">
        <v>77</v>
      </c>
      <c r="B89" s="30"/>
      <c r="C89" s="80">
        <f t="shared" si="8"/>
        <v>35987569</v>
      </c>
      <c r="D89" s="80"/>
      <c r="E89" s="80">
        <f>41425788+17746450</f>
        <v>59172238</v>
      </c>
      <c r="F89" s="80"/>
      <c r="G89" s="80">
        <v>0</v>
      </c>
      <c r="H89" s="80"/>
      <c r="I89" s="80">
        <v>95159807</v>
      </c>
      <c r="J89" s="80"/>
      <c r="K89" s="80">
        <f t="shared" si="12"/>
        <v>14319337</v>
      </c>
      <c r="L89" s="80"/>
      <c r="M89" s="80">
        <v>7734249</v>
      </c>
      <c r="N89" s="80"/>
      <c r="O89" s="80">
        <v>22053586</v>
      </c>
      <c r="P89" s="80"/>
      <c r="Q89" s="80">
        <v>50863277</v>
      </c>
      <c r="R89" s="80"/>
      <c r="S89" s="23">
        <f t="shared" si="10"/>
        <v>15877917</v>
      </c>
      <c r="T89" s="80"/>
      <c r="U89" s="80">
        <v>6365027</v>
      </c>
      <c r="V89" s="80"/>
      <c r="W89" s="80">
        <v>73106221</v>
      </c>
      <c r="X89" s="81"/>
      <c r="Y89" s="81">
        <f t="shared" si="11"/>
        <v>0</v>
      </c>
    </row>
    <row r="90" spans="1:25" ht="12.75">
      <c r="A90" s="30" t="s">
        <v>78</v>
      </c>
      <c r="B90" s="30"/>
      <c r="C90" s="80">
        <f t="shared" si="8"/>
        <v>17098113</v>
      </c>
      <c r="D90" s="80"/>
      <c r="E90" s="80">
        <f>135099+17461128</f>
        <v>17596227</v>
      </c>
      <c r="F90" s="80"/>
      <c r="G90" s="80">
        <v>0</v>
      </c>
      <c r="H90" s="80"/>
      <c r="I90" s="80">
        <v>34694340</v>
      </c>
      <c r="J90" s="80"/>
      <c r="K90" s="80">
        <f t="shared" si="12"/>
        <v>10084551</v>
      </c>
      <c r="L90" s="80"/>
      <c r="M90" s="80">
        <v>2915702</v>
      </c>
      <c r="N90" s="80"/>
      <c r="O90" s="80">
        <v>13000253</v>
      </c>
      <c r="P90" s="80"/>
      <c r="Q90" s="80">
        <v>14873825</v>
      </c>
      <c r="R90" s="80"/>
      <c r="S90" s="23">
        <f t="shared" si="10"/>
        <v>9420241</v>
      </c>
      <c r="T90" s="80"/>
      <c r="U90" s="80">
        <v>-2599979</v>
      </c>
      <c r="V90" s="80"/>
      <c r="W90" s="80">
        <v>21694087</v>
      </c>
      <c r="X90" s="81"/>
      <c r="Y90" s="81">
        <f t="shared" si="11"/>
        <v>0</v>
      </c>
    </row>
    <row r="91" spans="1:25" ht="12.75">
      <c r="A91" s="30" t="s">
        <v>79</v>
      </c>
      <c r="B91" s="30"/>
      <c r="C91" s="80">
        <f t="shared" si="8"/>
        <v>10156110</v>
      </c>
      <c r="D91" s="80"/>
      <c r="E91" s="80">
        <f>58558+5567374</f>
        <v>5625932</v>
      </c>
      <c r="F91" s="80"/>
      <c r="G91" s="80">
        <v>0</v>
      </c>
      <c r="H91" s="80"/>
      <c r="I91" s="80">
        <v>15782042</v>
      </c>
      <c r="J91" s="80"/>
      <c r="K91" s="80">
        <f t="shared" si="12"/>
        <v>1683014</v>
      </c>
      <c r="L91" s="80"/>
      <c r="M91" s="80">
        <v>2540316</v>
      </c>
      <c r="N91" s="80"/>
      <c r="O91" s="80">
        <v>4223330</v>
      </c>
      <c r="P91" s="80"/>
      <c r="Q91" s="80">
        <v>3298242</v>
      </c>
      <c r="R91" s="80"/>
      <c r="S91" s="23">
        <f t="shared" si="10"/>
        <v>7687974</v>
      </c>
      <c r="T91" s="80"/>
      <c r="U91" s="80">
        <v>572496</v>
      </c>
      <c r="V91" s="80"/>
      <c r="W91" s="80">
        <v>11558712</v>
      </c>
      <c r="X91" s="81"/>
      <c r="Y91" s="81">
        <f t="shared" si="11"/>
        <v>0</v>
      </c>
    </row>
    <row r="92" spans="1:25" ht="12.75">
      <c r="A92" s="30" t="s">
        <v>80</v>
      </c>
      <c r="B92" s="30"/>
      <c r="C92" s="80">
        <f t="shared" si="8"/>
        <v>149868436</v>
      </c>
      <c r="D92" s="80"/>
      <c r="E92" s="80">
        <f>9018341+80262118</f>
        <v>89280459</v>
      </c>
      <c r="F92" s="80"/>
      <c r="G92" s="80">
        <v>0</v>
      </c>
      <c r="H92" s="80"/>
      <c r="I92" s="80">
        <v>239148895</v>
      </c>
      <c r="J92" s="80"/>
      <c r="K92" s="80">
        <f t="shared" si="12"/>
        <v>42628209</v>
      </c>
      <c r="L92" s="80"/>
      <c r="M92" s="80">
        <v>30259510</v>
      </c>
      <c r="N92" s="80"/>
      <c r="O92" s="80">
        <v>72887719</v>
      </c>
      <c r="P92" s="80"/>
      <c r="Q92" s="80">
        <v>81539279</v>
      </c>
      <c r="R92" s="80"/>
      <c r="S92" s="23">
        <f t="shared" si="10"/>
        <v>83902769</v>
      </c>
      <c r="T92" s="80"/>
      <c r="U92" s="80">
        <v>819128</v>
      </c>
      <c r="V92" s="80"/>
      <c r="W92" s="80">
        <v>166261176</v>
      </c>
      <c r="X92" s="81"/>
      <c r="Y92" s="81">
        <f t="shared" si="11"/>
        <v>0</v>
      </c>
    </row>
    <row r="93" spans="1:25" ht="12.75">
      <c r="A93" s="30" t="s">
        <v>81</v>
      </c>
      <c r="B93" s="30"/>
      <c r="C93" s="80">
        <f t="shared" si="8"/>
        <v>36263733</v>
      </c>
      <c r="D93" s="80"/>
      <c r="E93" s="80">
        <f>122855908+18341366</f>
        <v>141197274</v>
      </c>
      <c r="F93" s="80"/>
      <c r="G93" s="80">
        <v>84174</v>
      </c>
      <c r="H93" s="80"/>
      <c r="I93" s="80">
        <v>177545181</v>
      </c>
      <c r="J93" s="80"/>
      <c r="K93" s="80">
        <f t="shared" si="12"/>
        <v>13887670</v>
      </c>
      <c r="L93" s="80"/>
      <c r="M93" s="80">
        <v>6818535</v>
      </c>
      <c r="N93" s="80"/>
      <c r="O93" s="80">
        <v>20706205</v>
      </c>
      <c r="P93" s="80"/>
      <c r="Q93" s="80">
        <v>134114692</v>
      </c>
      <c r="R93" s="80"/>
      <c r="S93" s="23">
        <f t="shared" si="10"/>
        <v>15664358</v>
      </c>
      <c r="T93" s="80"/>
      <c r="U93" s="80">
        <v>7059926</v>
      </c>
      <c r="V93" s="80"/>
      <c r="W93" s="80">
        <v>156838976</v>
      </c>
      <c r="X93" s="81"/>
      <c r="Y93" s="81">
        <f t="shared" si="11"/>
        <v>0</v>
      </c>
    </row>
    <row r="94" spans="1:25" ht="12.75">
      <c r="A94" s="30" t="s">
        <v>82</v>
      </c>
      <c r="B94" s="30"/>
      <c r="C94" s="80">
        <f t="shared" si="8"/>
        <v>62877258</v>
      </c>
      <c r="D94" s="80"/>
      <c r="E94" s="80">
        <f>6194658+82110464</f>
        <v>88305122</v>
      </c>
      <c r="F94" s="80"/>
      <c r="G94" s="80">
        <v>88722</v>
      </c>
      <c r="H94" s="80"/>
      <c r="I94" s="80">
        <v>151271102</v>
      </c>
      <c r="J94" s="80"/>
      <c r="K94" s="80">
        <f t="shared" si="12"/>
        <v>22117131</v>
      </c>
      <c r="L94" s="80"/>
      <c r="M94" s="80">
        <v>12701050</v>
      </c>
      <c r="N94" s="80"/>
      <c r="O94" s="80">
        <v>34818181</v>
      </c>
      <c r="P94" s="80"/>
      <c r="Q94" s="80">
        <v>77166844</v>
      </c>
      <c r="R94" s="80"/>
      <c r="S94" s="23">
        <f t="shared" si="10"/>
        <v>28765948</v>
      </c>
      <c r="T94" s="80"/>
      <c r="U94" s="80">
        <v>10520129</v>
      </c>
      <c r="V94" s="80"/>
      <c r="W94" s="80">
        <v>116452921</v>
      </c>
      <c r="X94" s="81"/>
      <c r="Y94" s="81">
        <f t="shared" si="11"/>
        <v>0</v>
      </c>
    </row>
    <row r="95" spans="1:25" ht="12.75" hidden="1">
      <c r="A95" s="30" t="s">
        <v>178</v>
      </c>
      <c r="B95" s="30"/>
      <c r="C95" s="80">
        <f t="shared" si="8"/>
        <v>0</v>
      </c>
      <c r="D95" s="80"/>
      <c r="E95" s="80">
        <v>0</v>
      </c>
      <c r="F95" s="80"/>
      <c r="G95" s="80">
        <v>0</v>
      </c>
      <c r="H95" s="80"/>
      <c r="I95" s="80">
        <v>0</v>
      </c>
      <c r="J95" s="80"/>
      <c r="K95" s="80">
        <f t="shared" si="12"/>
        <v>0</v>
      </c>
      <c r="L95" s="80"/>
      <c r="M95" s="80">
        <v>0</v>
      </c>
      <c r="N95" s="80"/>
      <c r="O95" s="80">
        <v>0</v>
      </c>
      <c r="P95" s="80"/>
      <c r="Q95" s="80">
        <v>0</v>
      </c>
      <c r="R95" s="80"/>
      <c r="S95" s="23">
        <f t="shared" si="10"/>
        <v>0</v>
      </c>
      <c r="T95" s="80"/>
      <c r="U95" s="80">
        <v>0</v>
      </c>
      <c r="V95" s="80"/>
      <c r="W95" s="80">
        <v>0</v>
      </c>
      <c r="X95" s="81"/>
      <c r="Y95" s="81">
        <f t="shared" si="11"/>
        <v>0</v>
      </c>
    </row>
    <row r="96" spans="1:25" ht="12.75">
      <c r="A96" s="30" t="s">
        <v>83</v>
      </c>
      <c r="B96" s="30"/>
      <c r="C96" s="80">
        <f t="shared" si="8"/>
        <v>113148328</v>
      </c>
      <c r="D96" s="80"/>
      <c r="E96" s="80">
        <f>75915138+3029386</f>
        <v>78944524</v>
      </c>
      <c r="F96" s="80"/>
      <c r="G96" s="80">
        <v>0</v>
      </c>
      <c r="H96" s="80"/>
      <c r="I96" s="80">
        <v>192092852</v>
      </c>
      <c r="J96" s="80"/>
      <c r="K96" s="80">
        <f t="shared" si="12"/>
        <v>38110156</v>
      </c>
      <c r="L96" s="80"/>
      <c r="M96" s="80">
        <v>11180831</v>
      </c>
      <c r="N96" s="80"/>
      <c r="O96" s="80">
        <v>49290987</v>
      </c>
      <c r="P96" s="80"/>
      <c r="Q96" s="80">
        <v>74262614</v>
      </c>
      <c r="R96" s="80"/>
      <c r="S96" s="23">
        <f t="shared" si="10"/>
        <v>53382096</v>
      </c>
      <c r="T96" s="80"/>
      <c r="U96" s="80">
        <v>15157155</v>
      </c>
      <c r="V96" s="80"/>
      <c r="W96" s="80">
        <v>142801865</v>
      </c>
      <c r="X96" s="81"/>
      <c r="Y96" s="81">
        <f t="shared" si="11"/>
        <v>0</v>
      </c>
    </row>
    <row r="97" spans="1:25" ht="12.75" hidden="1">
      <c r="A97" s="30" t="s">
        <v>179</v>
      </c>
      <c r="B97" s="30"/>
      <c r="C97" s="80">
        <f>+I97-E97-G97</f>
        <v>0</v>
      </c>
      <c r="D97" s="80"/>
      <c r="E97" s="80">
        <v>0</v>
      </c>
      <c r="F97" s="80"/>
      <c r="G97" s="80">
        <v>0</v>
      </c>
      <c r="H97" s="80"/>
      <c r="I97" s="80">
        <v>0</v>
      </c>
      <c r="J97" s="80"/>
      <c r="K97" s="80">
        <f>+O97-M97</f>
        <v>0</v>
      </c>
      <c r="L97" s="80"/>
      <c r="M97" s="80">
        <v>0</v>
      </c>
      <c r="N97" s="80"/>
      <c r="O97" s="80">
        <v>0</v>
      </c>
      <c r="P97" s="80"/>
      <c r="Q97" s="80">
        <v>0</v>
      </c>
      <c r="R97" s="80"/>
      <c r="S97" s="23">
        <f>W97-U97-Q97</f>
        <v>0</v>
      </c>
      <c r="T97" s="80"/>
      <c r="U97" s="80">
        <v>0</v>
      </c>
      <c r="V97" s="80"/>
      <c r="W97" s="80">
        <v>0</v>
      </c>
      <c r="X97" s="81"/>
      <c r="Y97" s="81">
        <f>I97-O97-W97</f>
        <v>0</v>
      </c>
    </row>
    <row r="98" spans="1:25" ht="12.75">
      <c r="A98" s="30"/>
      <c r="B98" s="30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60"/>
      <c r="Y98" s="69"/>
    </row>
    <row r="99" spans="1:25" ht="12.75">
      <c r="A99" s="30"/>
      <c r="B99" s="30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60"/>
      <c r="Y99" s="69"/>
    </row>
    <row r="100" spans="1:25" ht="12.75">
      <c r="A100" s="20"/>
      <c r="B100" s="20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60"/>
      <c r="Y100" s="69"/>
    </row>
    <row r="101" spans="1:25" ht="12.75">
      <c r="A101" s="20"/>
      <c r="B101" s="20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60"/>
      <c r="Y101" s="69"/>
    </row>
    <row r="102" spans="1:25" ht="12.75">
      <c r="A102" s="20"/>
      <c r="B102" s="20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60"/>
      <c r="Y102" s="69"/>
    </row>
    <row r="103" spans="1:25" ht="12.75">
      <c r="A103" s="20"/>
      <c r="B103" s="20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60"/>
      <c r="Y103" s="69"/>
    </row>
    <row r="104" spans="1:25" ht="12.75">
      <c r="A104" s="20"/>
      <c r="B104" s="20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60"/>
      <c r="Y104" s="69"/>
    </row>
    <row r="105" spans="1:25" ht="12.75">
      <c r="A105" s="20"/>
      <c r="B105" s="20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60"/>
      <c r="Y105" s="69"/>
    </row>
    <row r="106" spans="1:25" ht="12.75">
      <c r="A106" s="20"/>
      <c r="B106" s="20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60"/>
      <c r="Y106" s="69"/>
    </row>
    <row r="107" spans="1:25" ht="12.75">
      <c r="A107" s="20"/>
      <c r="B107" s="20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60"/>
      <c r="Y107" s="69"/>
    </row>
    <row r="108" spans="1:25" ht="12.75">
      <c r="A108" s="20"/>
      <c r="B108" s="20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60"/>
      <c r="Y108" s="69"/>
    </row>
    <row r="109" spans="1:25" ht="12.75">
      <c r="A109" s="20"/>
      <c r="B109" s="20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60"/>
      <c r="Y109" s="69"/>
    </row>
    <row r="110" spans="1:25" ht="12.75">
      <c r="A110" s="20"/>
      <c r="B110" s="20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60"/>
      <c r="Y110" s="69"/>
    </row>
    <row r="111" spans="1:25" ht="12.75">
      <c r="A111" s="69"/>
      <c r="B111" s="69"/>
      <c r="C111" s="60"/>
      <c r="D111" s="60"/>
      <c r="E111" s="60"/>
      <c r="F111" s="60"/>
      <c r="G111" s="60"/>
      <c r="H111" s="60"/>
      <c r="I111" s="60"/>
      <c r="J111" s="60"/>
      <c r="X111" s="60"/>
      <c r="Y111" s="69"/>
    </row>
    <row r="112" spans="1:25" ht="12.75">
      <c r="A112" s="69"/>
      <c r="B112" s="69"/>
      <c r="C112" s="60"/>
      <c r="D112" s="60"/>
      <c r="E112" s="60"/>
      <c r="F112" s="60"/>
      <c r="G112" s="60"/>
      <c r="H112" s="60"/>
      <c r="I112" s="60"/>
      <c r="J112" s="60"/>
      <c r="X112" s="60"/>
      <c r="Y112" s="69"/>
    </row>
    <row r="113" spans="1:25" ht="12.75">
      <c r="A113" s="69"/>
      <c r="B113" s="69"/>
      <c r="C113" s="60"/>
      <c r="D113" s="60"/>
      <c r="E113" s="60"/>
      <c r="F113" s="60"/>
      <c r="G113" s="60"/>
      <c r="H113" s="60"/>
      <c r="I113" s="60"/>
      <c r="J113" s="60"/>
      <c r="X113" s="60"/>
      <c r="Y113" s="69"/>
    </row>
  </sheetData>
  <printOptions horizontalCentered="1"/>
  <pageMargins left="1" right="1" top="0.5" bottom="0.5" header="0" footer="0.25"/>
  <pageSetup firstPageNumber="4" useFirstPageNumber="1" horizontalDpi="600" verticalDpi="600" orientation="portrait" pageOrder="overThenDown" scale="95" r:id="rId1"/>
  <headerFooter alignWithMargins="0">
    <oddFooter>&amp;C&amp;"Times New Roman,Regular"&amp;11&amp;P</oddFooter>
  </headerFooter>
  <rowBreaks count="1" manualBreakCount="1">
    <brk id="80" max="22" man="1"/>
  </rowBreaks>
  <colBreaks count="1" manualBreakCount="1">
    <brk id="11" max="9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V115"/>
  <sheetViews>
    <sheetView workbookViewId="0" topLeftCell="A1">
      <pane xSplit="1" ySplit="9" topLeftCell="Q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Z100" sqref="Z100"/>
    </sheetView>
  </sheetViews>
  <sheetFormatPr defaultColWidth="9.140625" defaultRowHeight="12.75"/>
  <cols>
    <col min="1" max="1" width="17.421875" style="6" customWidth="1"/>
    <col min="2" max="2" width="1.7109375" style="6" customWidth="1"/>
    <col min="3" max="3" width="11.7109375" style="6" customWidth="1"/>
    <col min="4" max="4" width="1.7109375" style="6" customWidth="1"/>
    <col min="5" max="5" width="11.7109375" style="6" customWidth="1"/>
    <col min="6" max="6" width="1.7109375" style="6" customWidth="1"/>
    <col min="7" max="7" width="11.7109375" style="6" customWidth="1"/>
    <col min="8" max="8" width="1.7109375" style="6" customWidth="1"/>
    <col min="9" max="9" width="11.7109375" style="6" customWidth="1"/>
    <col min="10" max="10" width="1.7109375" style="6" customWidth="1"/>
    <col min="11" max="11" width="11.7109375" style="6" customWidth="1"/>
    <col min="12" max="12" width="1.7109375" style="6" customWidth="1"/>
    <col min="13" max="13" width="11.7109375" style="6" customWidth="1"/>
    <col min="14" max="14" width="1.7109375" style="6" customWidth="1"/>
    <col min="15" max="15" width="11.7109375" style="6" customWidth="1"/>
    <col min="16" max="16" width="1.7109375" style="6" customWidth="1"/>
    <col min="17" max="17" width="11.7109375" style="6" customWidth="1"/>
    <col min="18" max="18" width="1.7109375" style="6" customWidth="1"/>
    <col min="19" max="19" width="11.7109375" style="6" customWidth="1"/>
    <col min="20" max="20" width="1.7109375" style="6" customWidth="1"/>
    <col min="21" max="21" width="11.7109375" style="6" customWidth="1"/>
    <col min="22" max="22" width="11.7109375" style="6" hidden="1" customWidth="1"/>
    <col min="23" max="23" width="1.7109375" style="6" hidden="1" customWidth="1"/>
    <col min="24" max="24" width="11.7109375" style="6" customWidth="1"/>
    <col min="25" max="25" width="1.7109375" style="6" customWidth="1"/>
    <col min="26" max="26" width="11.7109375" style="6" customWidth="1"/>
    <col min="27" max="27" width="1.7109375" style="6" customWidth="1"/>
    <col min="28" max="28" width="11.7109375" style="11" customWidth="1"/>
    <col min="29" max="29" width="1.7109375" style="11" customWidth="1"/>
    <col min="30" max="30" width="11.7109375" style="11" customWidth="1"/>
    <col min="31" max="31" width="1.7109375" style="11" customWidth="1"/>
    <col min="32" max="32" width="11.7109375" style="11" customWidth="1"/>
    <col min="33" max="33" width="1.7109375" style="11" customWidth="1"/>
    <col min="34" max="34" width="11.7109375" style="11" customWidth="1"/>
    <col min="35" max="35" width="1.7109375" style="11" customWidth="1"/>
    <col min="36" max="36" width="11.7109375" style="11" customWidth="1"/>
    <col min="37" max="37" width="1.7109375" style="11" customWidth="1"/>
    <col min="38" max="38" width="11.7109375" style="11" customWidth="1"/>
    <col min="39" max="39" width="1.7109375" style="11" customWidth="1"/>
    <col min="40" max="40" width="11.7109375" style="1" customWidth="1"/>
    <col min="41" max="41" width="1.7109375" style="1" customWidth="1"/>
    <col min="42" max="42" width="11.7109375" style="1" customWidth="1"/>
    <col min="43" max="43" width="1.7109375" style="1" customWidth="1"/>
    <col min="44" max="44" width="11.7109375" style="1" hidden="1" customWidth="1"/>
    <col min="45" max="45" width="1.7109375" style="1" hidden="1" customWidth="1"/>
    <col min="46" max="46" width="11.7109375" style="1" hidden="1" customWidth="1"/>
    <col min="47" max="47" width="1.7109375" style="1" hidden="1" customWidth="1"/>
    <col min="48" max="48" width="11.7109375" style="1" customWidth="1"/>
    <col min="49" max="49" width="2.421875" style="1" customWidth="1"/>
    <col min="50" max="50" width="14.140625" style="1" customWidth="1"/>
    <col min="51" max="51" width="1.7109375" style="1" customWidth="1"/>
    <col min="52" max="52" width="11.7109375" style="1" customWidth="1"/>
    <col min="53" max="53" width="1.7109375" style="1" customWidth="1"/>
    <col min="54" max="54" width="11.7109375" style="1" customWidth="1"/>
    <col min="55" max="55" width="1.7109375" style="1" customWidth="1"/>
    <col min="56" max="56" width="11.7109375" style="1" customWidth="1"/>
    <col min="57" max="57" width="1.7109375" style="1" customWidth="1"/>
    <col min="58" max="58" width="11.7109375" style="1" customWidth="1"/>
    <col min="59" max="59" width="1.7109375" style="1" hidden="1" customWidth="1"/>
    <col min="60" max="60" width="11.7109375" style="1" hidden="1" customWidth="1"/>
    <col min="61" max="61" width="1.7109375" style="1" customWidth="1"/>
    <col min="62" max="62" width="11.7109375" style="1" customWidth="1"/>
    <col min="63" max="63" width="13.57421875" style="1" customWidth="1"/>
    <col min="64" max="16384" width="8.421875" style="1" customWidth="1"/>
  </cols>
  <sheetData>
    <row r="1" spans="1:50" s="35" customFormat="1" ht="12.75">
      <c r="A1" s="34" t="s">
        <v>202</v>
      </c>
      <c r="B1" s="92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98" t="s">
        <v>238</v>
      </c>
      <c r="Y1" s="5"/>
      <c r="Z1" s="5"/>
      <c r="AA1" s="25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X1" s="41" t="s">
        <v>202</v>
      </c>
    </row>
    <row r="2" spans="1:50" s="35" customFormat="1" ht="12.75">
      <c r="A2" s="34" t="s">
        <v>140</v>
      </c>
      <c r="B2" s="92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4" t="s">
        <v>211</v>
      </c>
      <c r="Y2" s="5"/>
      <c r="Z2" s="5"/>
      <c r="AA2" s="25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X2" s="41" t="s">
        <v>102</v>
      </c>
    </row>
    <row r="3" spans="1:50" s="35" customFormat="1" ht="12.75">
      <c r="A3" s="34" t="s">
        <v>255</v>
      </c>
      <c r="B3" s="92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4" t="s">
        <v>254</v>
      </c>
      <c r="Y3" s="5"/>
      <c r="Z3" s="5"/>
      <c r="AA3" s="25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X3" s="34" t="s">
        <v>252</v>
      </c>
    </row>
    <row r="4" spans="1:50" s="26" customFormat="1" ht="12">
      <c r="A4" s="36"/>
      <c r="B4" s="92"/>
      <c r="C4" s="92"/>
      <c r="D4" s="92"/>
      <c r="E4" s="92"/>
      <c r="F4" s="92"/>
      <c r="G4" s="92"/>
      <c r="H4" s="92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6"/>
      <c r="AA4" s="30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X4" s="43"/>
    </row>
    <row r="5" spans="1:50" s="26" customFormat="1" ht="12">
      <c r="A5" s="24" t="s">
        <v>191</v>
      </c>
      <c r="B5" s="92"/>
      <c r="C5" s="92"/>
      <c r="D5" s="92"/>
      <c r="E5" s="92"/>
      <c r="F5" s="92"/>
      <c r="G5" s="92"/>
      <c r="H5" s="92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24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X5" s="24" t="s">
        <v>191</v>
      </c>
    </row>
    <row r="6" spans="1:62" s="26" customFormat="1" ht="12">
      <c r="A6" s="21"/>
      <c r="B6" s="21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50" t="s">
        <v>141</v>
      </c>
      <c r="P6" s="50"/>
      <c r="Q6" s="50"/>
      <c r="R6" s="50"/>
      <c r="S6" s="50"/>
      <c r="T6" s="50"/>
      <c r="U6" s="50"/>
      <c r="V6" s="73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9" t="s">
        <v>102</v>
      </c>
      <c r="BA6" s="49"/>
      <c r="BB6" s="49"/>
      <c r="BC6" s="49"/>
      <c r="BD6" s="49"/>
      <c r="BE6" s="49"/>
      <c r="BF6" s="50"/>
      <c r="BG6" s="73"/>
      <c r="BH6" s="73"/>
      <c r="BI6" s="73"/>
      <c r="BJ6" s="51"/>
    </row>
    <row r="7" spans="1:62" s="26" customFormat="1" ht="12">
      <c r="A7" s="21"/>
      <c r="B7" s="21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U7" s="48" t="s">
        <v>4</v>
      </c>
      <c r="V7" s="48"/>
      <c r="W7" s="97" t="s">
        <v>201</v>
      </c>
      <c r="X7" s="73"/>
      <c r="Y7" s="73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 t="s">
        <v>197</v>
      </c>
      <c r="AQ7" s="48"/>
      <c r="AR7" s="48" t="s">
        <v>158</v>
      </c>
      <c r="AS7" s="48"/>
      <c r="AT7" s="48" t="s">
        <v>158</v>
      </c>
      <c r="AU7" s="48"/>
      <c r="AV7" s="48"/>
      <c r="AW7" s="48"/>
      <c r="AX7" s="48"/>
      <c r="AY7" s="48"/>
      <c r="AZ7" s="48" t="s">
        <v>103</v>
      </c>
      <c r="BA7" s="48"/>
      <c r="BB7" s="48" t="s">
        <v>104</v>
      </c>
      <c r="BC7" s="48"/>
      <c r="BD7" s="48"/>
      <c r="BE7" s="48"/>
      <c r="BF7" s="48" t="s">
        <v>105</v>
      </c>
      <c r="BG7" s="48"/>
      <c r="BH7" s="48" t="s">
        <v>198</v>
      </c>
      <c r="BI7" s="48"/>
      <c r="BJ7" s="53" t="s">
        <v>4</v>
      </c>
    </row>
    <row r="8" spans="1:62" s="26" customFormat="1" ht="12">
      <c r="A8" s="21"/>
      <c r="B8" s="21"/>
      <c r="C8" s="48" t="s">
        <v>138</v>
      </c>
      <c r="D8" s="48"/>
      <c r="E8" s="48" t="s">
        <v>159</v>
      </c>
      <c r="F8" s="48"/>
      <c r="G8" s="48" t="s">
        <v>4</v>
      </c>
      <c r="H8" s="48"/>
      <c r="I8" s="48" t="s">
        <v>138</v>
      </c>
      <c r="J8" s="48"/>
      <c r="K8" s="48" t="s">
        <v>159</v>
      </c>
      <c r="L8" s="48"/>
      <c r="M8" s="48" t="s">
        <v>4</v>
      </c>
      <c r="N8" s="48"/>
      <c r="O8" s="48" t="s">
        <v>142</v>
      </c>
      <c r="P8" s="48"/>
      <c r="Q8" s="48"/>
      <c r="R8" s="48"/>
      <c r="S8" s="48"/>
      <c r="T8" s="48"/>
      <c r="U8" s="76" t="s">
        <v>247</v>
      </c>
      <c r="V8" s="76"/>
      <c r="W8" s="48"/>
      <c r="X8" s="48"/>
      <c r="Y8" s="48"/>
      <c r="Z8" s="48" t="s">
        <v>101</v>
      </c>
      <c r="AA8" s="48"/>
      <c r="AB8" s="48" t="s">
        <v>160</v>
      </c>
      <c r="AC8" s="48"/>
      <c r="AD8" s="48"/>
      <c r="AE8" s="48"/>
      <c r="AF8" s="48" t="s">
        <v>101</v>
      </c>
      <c r="AG8" s="48"/>
      <c r="AH8" s="48" t="s">
        <v>161</v>
      </c>
      <c r="AI8" s="48"/>
      <c r="AJ8" s="48" t="s">
        <v>101</v>
      </c>
      <c r="AK8" s="48"/>
      <c r="AL8" s="48" t="s">
        <v>101</v>
      </c>
      <c r="AM8" s="48"/>
      <c r="AN8" s="48" t="s">
        <v>87</v>
      </c>
      <c r="AO8" s="48"/>
      <c r="AP8" s="48" t="s">
        <v>162</v>
      </c>
      <c r="AQ8" s="48"/>
      <c r="AR8" s="48" t="s">
        <v>163</v>
      </c>
      <c r="AS8" s="48"/>
      <c r="AT8" s="48" t="s">
        <v>163</v>
      </c>
      <c r="AU8" s="48"/>
      <c r="AV8" s="48" t="s">
        <v>106</v>
      </c>
      <c r="AW8" s="48"/>
      <c r="AX8" s="48"/>
      <c r="AY8" s="48"/>
      <c r="AZ8" s="48" t="s">
        <v>107</v>
      </c>
      <c r="BA8" s="48"/>
      <c r="BB8" s="48" t="s">
        <v>12</v>
      </c>
      <c r="BC8" s="48"/>
      <c r="BD8" s="48"/>
      <c r="BE8" s="48"/>
      <c r="BF8" s="48" t="s">
        <v>108</v>
      </c>
      <c r="BG8" s="48"/>
      <c r="BH8" s="48" t="s">
        <v>199</v>
      </c>
      <c r="BI8" s="48"/>
      <c r="BJ8" s="53" t="s">
        <v>108</v>
      </c>
    </row>
    <row r="9" spans="1:62" s="26" customFormat="1" ht="12">
      <c r="A9" s="77" t="s">
        <v>5</v>
      </c>
      <c r="B9" s="71"/>
      <c r="C9" s="57" t="s">
        <v>116</v>
      </c>
      <c r="D9" s="76"/>
      <c r="E9" s="57" t="s">
        <v>116</v>
      </c>
      <c r="F9" s="76"/>
      <c r="G9" s="57" t="s">
        <v>116</v>
      </c>
      <c r="H9" s="76"/>
      <c r="I9" s="57" t="s">
        <v>122</v>
      </c>
      <c r="J9" s="76"/>
      <c r="K9" s="57" t="s">
        <v>122</v>
      </c>
      <c r="L9" s="76"/>
      <c r="M9" s="57" t="s">
        <v>122</v>
      </c>
      <c r="N9" s="76"/>
      <c r="O9" s="57" t="s">
        <v>144</v>
      </c>
      <c r="P9" s="76"/>
      <c r="Q9" s="57" t="s">
        <v>145</v>
      </c>
      <c r="R9" s="76"/>
      <c r="S9" s="57" t="s">
        <v>146</v>
      </c>
      <c r="T9" s="76"/>
      <c r="U9" s="57" t="s">
        <v>116</v>
      </c>
      <c r="V9" s="76"/>
      <c r="W9" s="76"/>
      <c r="X9" s="77" t="s">
        <v>5</v>
      </c>
      <c r="Y9" s="76"/>
      <c r="Z9" s="57" t="s">
        <v>12</v>
      </c>
      <c r="AA9" s="76"/>
      <c r="AB9" s="57" t="s">
        <v>109</v>
      </c>
      <c r="AC9" s="76"/>
      <c r="AD9" s="57" t="s">
        <v>109</v>
      </c>
      <c r="AE9" s="76"/>
      <c r="AF9" s="57" t="s">
        <v>110</v>
      </c>
      <c r="AG9" s="76"/>
      <c r="AH9" s="57" t="s">
        <v>164</v>
      </c>
      <c r="AI9" s="76"/>
      <c r="AJ9" s="57" t="s">
        <v>111</v>
      </c>
      <c r="AK9" s="76"/>
      <c r="AL9" s="57" t="s">
        <v>112</v>
      </c>
      <c r="AM9" s="76"/>
      <c r="AN9" s="57" t="s">
        <v>165</v>
      </c>
      <c r="AO9" s="76"/>
      <c r="AP9" s="57" t="s">
        <v>141</v>
      </c>
      <c r="AQ9" s="76"/>
      <c r="AR9" s="58" t="s">
        <v>166</v>
      </c>
      <c r="AS9" s="48"/>
      <c r="AT9" s="58" t="s">
        <v>167</v>
      </c>
      <c r="AU9" s="48"/>
      <c r="AV9" s="57" t="s">
        <v>87</v>
      </c>
      <c r="AW9" s="76"/>
      <c r="AX9" s="77" t="s">
        <v>5</v>
      </c>
      <c r="AY9" s="76"/>
      <c r="AZ9" s="57" t="s">
        <v>113</v>
      </c>
      <c r="BA9" s="76"/>
      <c r="BB9" s="57" t="s">
        <v>113</v>
      </c>
      <c r="BC9" s="76"/>
      <c r="BD9" s="57" t="s">
        <v>114</v>
      </c>
      <c r="BE9" s="76"/>
      <c r="BF9" s="57" t="s">
        <v>115</v>
      </c>
      <c r="BG9" s="76"/>
      <c r="BH9" s="57" t="s">
        <v>200</v>
      </c>
      <c r="BI9" s="76"/>
      <c r="BJ9" s="59" t="s">
        <v>122</v>
      </c>
    </row>
    <row r="10" spans="1:62" s="26" customFormat="1" ht="12">
      <c r="A10" s="71"/>
      <c r="B10" s="71"/>
      <c r="C10" s="76"/>
      <c r="D10" s="76"/>
      <c r="E10" s="76"/>
      <c r="F10" s="76"/>
      <c r="G10" s="76"/>
      <c r="H10" s="76"/>
      <c r="I10" s="76"/>
      <c r="J10" s="76"/>
      <c r="K10" s="55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1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48"/>
      <c r="AS10" s="48"/>
      <c r="AT10" s="48"/>
      <c r="AU10" s="48"/>
      <c r="AV10" s="76"/>
      <c r="AW10" s="76"/>
      <c r="AX10" s="71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51"/>
    </row>
    <row r="11" spans="1:62" s="26" customFormat="1" ht="12" hidden="1">
      <c r="A11" s="30" t="s">
        <v>13</v>
      </c>
      <c r="B11" s="30"/>
      <c r="C11" s="55">
        <f>+G11-E11</f>
        <v>0</v>
      </c>
      <c r="D11" s="55"/>
      <c r="E11" s="55">
        <v>0</v>
      </c>
      <c r="F11" s="55"/>
      <c r="G11" s="55">
        <v>0</v>
      </c>
      <c r="H11" s="55"/>
      <c r="I11" s="55">
        <f>+M11-K11</f>
        <v>0</v>
      </c>
      <c r="J11" s="55"/>
      <c r="K11" s="55">
        <f aca="true" t="shared" si="0" ref="K11:K42">SUM(BJ11)</f>
        <v>0</v>
      </c>
      <c r="L11" s="55"/>
      <c r="M11" s="55">
        <v>0</v>
      </c>
      <c r="N11" s="55"/>
      <c r="O11" s="55">
        <v>0</v>
      </c>
      <c r="P11" s="55"/>
      <c r="Q11" s="55">
        <v>0</v>
      </c>
      <c r="R11" s="55"/>
      <c r="S11" s="55">
        <v>0</v>
      </c>
      <c r="T11" s="55"/>
      <c r="U11" s="55">
        <f>SUM(O11:S11)</f>
        <v>0</v>
      </c>
      <c r="V11" s="55"/>
      <c r="W11" s="55"/>
      <c r="X11" s="30" t="s">
        <v>13</v>
      </c>
      <c r="Y11" s="55"/>
      <c r="Z11" s="55">
        <v>0</v>
      </c>
      <c r="AA11" s="55"/>
      <c r="AB11" s="55">
        <v>0</v>
      </c>
      <c r="AC11" s="55"/>
      <c r="AD11" s="55">
        <v>0</v>
      </c>
      <c r="AE11" s="55"/>
      <c r="AF11" s="55">
        <f>+Z11-AB11-AD11</f>
        <v>0</v>
      </c>
      <c r="AG11" s="55"/>
      <c r="AH11" s="55">
        <v>0</v>
      </c>
      <c r="AI11" s="55"/>
      <c r="AJ11" s="55">
        <v>0</v>
      </c>
      <c r="AK11" s="55"/>
      <c r="AL11" s="55">
        <v>0</v>
      </c>
      <c r="AM11" s="55"/>
      <c r="AN11" s="55">
        <v>0</v>
      </c>
      <c r="AO11" s="55"/>
      <c r="AP11" s="55">
        <f>+AN11+AJ11+AH11+AF11-AL11</f>
        <v>0</v>
      </c>
      <c r="AQ11" s="55"/>
      <c r="AR11" s="55">
        <v>0</v>
      </c>
      <c r="AS11" s="55"/>
      <c r="AT11" s="55">
        <v>0</v>
      </c>
      <c r="AU11" s="55"/>
      <c r="AV11" s="55">
        <f>C11-I11</f>
        <v>0</v>
      </c>
      <c r="AW11" s="55"/>
      <c r="AX11" s="30" t="s">
        <v>13</v>
      </c>
      <c r="AY11" s="55"/>
      <c r="AZ11" s="55">
        <v>0</v>
      </c>
      <c r="BA11" s="55"/>
      <c r="BB11" s="55">
        <v>0</v>
      </c>
      <c r="BC11" s="55"/>
      <c r="BD11" s="55">
        <v>0</v>
      </c>
      <c r="BE11" s="55"/>
      <c r="BF11" s="55">
        <v>0</v>
      </c>
      <c r="BG11" s="55"/>
      <c r="BH11" s="55"/>
      <c r="BI11" s="55"/>
      <c r="BJ11" s="51">
        <f>SUM(AZ11:BF11)+BH11</f>
        <v>0</v>
      </c>
    </row>
    <row r="12" spans="1:62" s="26" customFormat="1" ht="12" hidden="1">
      <c r="A12" s="30" t="s">
        <v>14</v>
      </c>
      <c r="B12" s="30"/>
      <c r="C12" s="55">
        <f aca="true" t="shared" si="1" ref="C12:C75">+G12-E12</f>
        <v>0</v>
      </c>
      <c r="D12" s="55"/>
      <c r="E12" s="55">
        <v>0</v>
      </c>
      <c r="F12" s="55"/>
      <c r="G12" s="55">
        <v>0</v>
      </c>
      <c r="H12" s="55"/>
      <c r="I12" s="55">
        <f>+M12-K12</f>
        <v>0</v>
      </c>
      <c r="J12" s="55"/>
      <c r="K12" s="55">
        <f t="shared" si="0"/>
        <v>0</v>
      </c>
      <c r="L12" s="55"/>
      <c r="M12" s="55">
        <v>0</v>
      </c>
      <c r="N12" s="55"/>
      <c r="O12" s="55">
        <v>0</v>
      </c>
      <c r="P12" s="55"/>
      <c r="Q12" s="55">
        <v>0</v>
      </c>
      <c r="R12" s="55"/>
      <c r="S12" s="55">
        <v>0</v>
      </c>
      <c r="T12" s="55"/>
      <c r="U12" s="55">
        <f aca="true" t="shared" si="2" ref="U12:U75">SUM(O12:S12)</f>
        <v>0</v>
      </c>
      <c r="V12" s="55"/>
      <c r="W12" s="55"/>
      <c r="X12" s="30" t="s">
        <v>14</v>
      </c>
      <c r="Y12" s="55"/>
      <c r="Z12" s="55">
        <v>0</v>
      </c>
      <c r="AA12" s="55"/>
      <c r="AB12" s="55">
        <v>0</v>
      </c>
      <c r="AC12" s="55"/>
      <c r="AD12" s="55">
        <v>0</v>
      </c>
      <c r="AE12" s="55"/>
      <c r="AF12" s="55">
        <f aca="true" t="shared" si="3" ref="AF12:AF75">+Z12-AB12-AD12</f>
        <v>0</v>
      </c>
      <c r="AG12" s="55"/>
      <c r="AH12" s="55">
        <v>0</v>
      </c>
      <c r="AI12" s="55"/>
      <c r="AJ12" s="55">
        <v>0</v>
      </c>
      <c r="AK12" s="55"/>
      <c r="AL12" s="55">
        <v>0</v>
      </c>
      <c r="AM12" s="55"/>
      <c r="AN12" s="55">
        <v>0</v>
      </c>
      <c r="AO12" s="55"/>
      <c r="AP12" s="55">
        <f aca="true" t="shared" si="4" ref="AP12:AP75">+AN12+AJ12+AH12+AF12-AL12</f>
        <v>0</v>
      </c>
      <c r="AQ12" s="55"/>
      <c r="AR12" s="55">
        <v>0</v>
      </c>
      <c r="AS12" s="55"/>
      <c r="AT12" s="55">
        <v>0</v>
      </c>
      <c r="AU12" s="55"/>
      <c r="AV12" s="55">
        <f aca="true" t="shared" si="5" ref="AV12:AV75">C12-I12</f>
        <v>0</v>
      </c>
      <c r="AW12" s="55"/>
      <c r="AX12" s="30" t="s">
        <v>14</v>
      </c>
      <c r="AY12" s="55"/>
      <c r="AZ12" s="55">
        <v>0</v>
      </c>
      <c r="BA12" s="55"/>
      <c r="BB12" s="55">
        <v>0</v>
      </c>
      <c r="BC12" s="55"/>
      <c r="BD12" s="55">
        <v>0</v>
      </c>
      <c r="BE12" s="55"/>
      <c r="BF12" s="55">
        <v>0</v>
      </c>
      <c r="BG12" s="55"/>
      <c r="BH12" s="55"/>
      <c r="BI12" s="55"/>
      <c r="BJ12" s="51">
        <f aca="true" t="shared" si="6" ref="BJ12:BJ75">SUM(AZ12:BF12)+BH12</f>
        <v>0</v>
      </c>
    </row>
    <row r="13" spans="1:62" s="26" customFormat="1" ht="12">
      <c r="A13" s="30" t="s">
        <v>15</v>
      </c>
      <c r="B13" s="30"/>
      <c r="C13" s="100">
        <f t="shared" si="1"/>
        <v>2783767</v>
      </c>
      <c r="D13" s="100"/>
      <c r="E13" s="55">
        <v>20306166</v>
      </c>
      <c r="F13" s="100"/>
      <c r="G13" s="55">
        <v>23089933</v>
      </c>
      <c r="H13" s="100"/>
      <c r="I13" s="100">
        <f>+M13-K13</f>
        <v>463390</v>
      </c>
      <c r="J13" s="100"/>
      <c r="K13" s="100">
        <f t="shared" si="0"/>
        <v>19537313</v>
      </c>
      <c r="L13" s="100"/>
      <c r="M13" s="55">
        <v>20000703</v>
      </c>
      <c r="N13" s="100"/>
      <c r="O13" s="55">
        <v>403559</v>
      </c>
      <c r="P13" s="100"/>
      <c r="Q13" s="55">
        <v>0</v>
      </c>
      <c r="R13" s="100"/>
      <c r="S13" s="55">
        <v>2685671</v>
      </c>
      <c r="T13" s="100"/>
      <c r="U13" s="100">
        <f t="shared" si="2"/>
        <v>3089230</v>
      </c>
      <c r="V13" s="55">
        <f>G13-M13-U13</f>
        <v>0</v>
      </c>
      <c r="W13" s="55"/>
      <c r="X13" s="30" t="s">
        <v>15</v>
      </c>
      <c r="Y13" s="55"/>
      <c r="Z13" s="55">
        <v>6010760</v>
      </c>
      <c r="AA13" s="55"/>
      <c r="AB13" s="55">
        <f>5959304-767675</f>
        <v>5191629</v>
      </c>
      <c r="AC13" s="55"/>
      <c r="AD13" s="55">
        <v>767675</v>
      </c>
      <c r="AE13" s="55"/>
      <c r="AF13" s="55">
        <f t="shared" si="3"/>
        <v>51456</v>
      </c>
      <c r="AG13" s="55"/>
      <c r="AH13" s="55">
        <v>-418579</v>
      </c>
      <c r="AI13" s="55"/>
      <c r="AJ13" s="55">
        <v>0</v>
      </c>
      <c r="AK13" s="55"/>
      <c r="AL13" s="55">
        <v>0</v>
      </c>
      <c r="AM13" s="55"/>
      <c r="AN13" s="55">
        <v>0</v>
      </c>
      <c r="AO13" s="55"/>
      <c r="AP13" s="55">
        <f t="shared" si="4"/>
        <v>-367123</v>
      </c>
      <c r="AQ13" s="55"/>
      <c r="AR13" s="55">
        <v>0</v>
      </c>
      <c r="AS13" s="55"/>
      <c r="AT13" s="55">
        <v>0</v>
      </c>
      <c r="AU13" s="55"/>
      <c r="AV13" s="55">
        <f t="shared" si="5"/>
        <v>2320377</v>
      </c>
      <c r="AW13" s="55"/>
      <c r="AX13" s="30" t="s">
        <v>15</v>
      </c>
      <c r="AY13" s="55"/>
      <c r="AZ13" s="55">
        <v>0</v>
      </c>
      <c r="BA13" s="55"/>
      <c r="BB13" s="55">
        <v>0</v>
      </c>
      <c r="BC13" s="55"/>
      <c r="BD13" s="55">
        <f>425766+13934720</f>
        <v>14360486</v>
      </c>
      <c r="BE13" s="55"/>
      <c r="BF13" s="55">
        <f>9827+5167000</f>
        <v>5176827</v>
      </c>
      <c r="BG13" s="55"/>
      <c r="BH13" s="55"/>
      <c r="BI13" s="55"/>
      <c r="BJ13" s="51">
        <f t="shared" si="6"/>
        <v>19537313</v>
      </c>
    </row>
    <row r="14" spans="1:62" s="26" customFormat="1" ht="12" hidden="1">
      <c r="A14" s="30" t="s">
        <v>16</v>
      </c>
      <c r="B14" s="30"/>
      <c r="C14" s="55">
        <f t="shared" si="1"/>
        <v>0</v>
      </c>
      <c r="D14" s="55"/>
      <c r="E14" s="55">
        <v>0</v>
      </c>
      <c r="F14" s="55"/>
      <c r="G14" s="55">
        <v>0</v>
      </c>
      <c r="H14" s="55"/>
      <c r="I14" s="55">
        <f aca="true" t="shared" si="7" ref="I14:I22">+M14-K14</f>
        <v>0</v>
      </c>
      <c r="J14" s="55"/>
      <c r="K14" s="55">
        <f t="shared" si="0"/>
        <v>0</v>
      </c>
      <c r="L14" s="55"/>
      <c r="M14" s="55">
        <v>0</v>
      </c>
      <c r="N14" s="55"/>
      <c r="O14" s="55">
        <v>0</v>
      </c>
      <c r="P14" s="55"/>
      <c r="Q14" s="55">
        <v>0</v>
      </c>
      <c r="R14" s="55"/>
      <c r="S14" s="55">
        <v>0</v>
      </c>
      <c r="T14" s="55"/>
      <c r="U14" s="55">
        <f t="shared" si="2"/>
        <v>0</v>
      </c>
      <c r="V14" s="55"/>
      <c r="W14" s="55"/>
      <c r="X14" s="30" t="s">
        <v>16</v>
      </c>
      <c r="Y14" s="55"/>
      <c r="Z14" s="55">
        <v>0</v>
      </c>
      <c r="AA14" s="55"/>
      <c r="AB14" s="55">
        <v>0</v>
      </c>
      <c r="AC14" s="55"/>
      <c r="AD14" s="55">
        <v>0</v>
      </c>
      <c r="AE14" s="55"/>
      <c r="AF14" s="55">
        <f t="shared" si="3"/>
        <v>0</v>
      </c>
      <c r="AG14" s="55"/>
      <c r="AH14" s="55">
        <v>0</v>
      </c>
      <c r="AI14" s="55"/>
      <c r="AJ14" s="55">
        <v>0</v>
      </c>
      <c r="AK14" s="55"/>
      <c r="AL14" s="55">
        <v>0</v>
      </c>
      <c r="AM14" s="55"/>
      <c r="AN14" s="55">
        <v>0</v>
      </c>
      <c r="AO14" s="55"/>
      <c r="AP14" s="55">
        <f t="shared" si="4"/>
        <v>0</v>
      </c>
      <c r="AQ14" s="55"/>
      <c r="AR14" s="55">
        <v>0</v>
      </c>
      <c r="AS14" s="55"/>
      <c r="AT14" s="55">
        <v>0</v>
      </c>
      <c r="AU14" s="55"/>
      <c r="AV14" s="55">
        <f t="shared" si="5"/>
        <v>0</v>
      </c>
      <c r="AW14" s="55"/>
      <c r="AX14" s="30" t="s">
        <v>16</v>
      </c>
      <c r="AY14" s="55"/>
      <c r="AZ14" s="55">
        <v>0</v>
      </c>
      <c r="BA14" s="55"/>
      <c r="BB14" s="55">
        <v>0</v>
      </c>
      <c r="BC14" s="55"/>
      <c r="BD14" s="55">
        <v>0</v>
      </c>
      <c r="BE14" s="55"/>
      <c r="BF14" s="55">
        <v>0</v>
      </c>
      <c r="BG14" s="55"/>
      <c r="BH14" s="55"/>
      <c r="BI14" s="55"/>
      <c r="BJ14" s="51">
        <f t="shared" si="6"/>
        <v>0</v>
      </c>
    </row>
    <row r="15" spans="1:62" s="26" customFormat="1" ht="12" hidden="1">
      <c r="A15" s="30" t="s">
        <v>17</v>
      </c>
      <c r="B15" s="30"/>
      <c r="C15" s="55">
        <f t="shared" si="1"/>
        <v>0</v>
      </c>
      <c r="D15" s="55"/>
      <c r="E15" s="55">
        <v>0</v>
      </c>
      <c r="F15" s="55"/>
      <c r="G15" s="55">
        <v>0</v>
      </c>
      <c r="H15" s="55"/>
      <c r="I15" s="55">
        <f t="shared" si="7"/>
        <v>0</v>
      </c>
      <c r="J15" s="55"/>
      <c r="K15" s="55">
        <f t="shared" si="0"/>
        <v>0</v>
      </c>
      <c r="L15" s="55"/>
      <c r="M15" s="55">
        <v>0</v>
      </c>
      <c r="N15" s="55"/>
      <c r="O15" s="55">
        <v>0</v>
      </c>
      <c r="P15" s="55"/>
      <c r="Q15" s="55">
        <v>0</v>
      </c>
      <c r="R15" s="55"/>
      <c r="S15" s="55">
        <v>0</v>
      </c>
      <c r="T15" s="55"/>
      <c r="U15" s="55">
        <f t="shared" si="2"/>
        <v>0</v>
      </c>
      <c r="V15" s="55"/>
      <c r="W15" s="55"/>
      <c r="X15" s="30" t="s">
        <v>17</v>
      </c>
      <c r="Y15" s="55"/>
      <c r="Z15" s="55">
        <v>0</v>
      </c>
      <c r="AA15" s="55"/>
      <c r="AB15" s="55">
        <v>0</v>
      </c>
      <c r="AC15" s="55"/>
      <c r="AD15" s="55">
        <v>0</v>
      </c>
      <c r="AE15" s="55"/>
      <c r="AF15" s="55">
        <f t="shared" si="3"/>
        <v>0</v>
      </c>
      <c r="AG15" s="55"/>
      <c r="AH15" s="55">
        <v>0</v>
      </c>
      <c r="AI15" s="55"/>
      <c r="AJ15" s="55">
        <v>0</v>
      </c>
      <c r="AK15" s="55"/>
      <c r="AL15" s="55">
        <v>0</v>
      </c>
      <c r="AM15" s="55"/>
      <c r="AN15" s="55">
        <v>0</v>
      </c>
      <c r="AO15" s="55"/>
      <c r="AP15" s="55">
        <f t="shared" si="4"/>
        <v>0</v>
      </c>
      <c r="AQ15" s="55"/>
      <c r="AR15" s="55">
        <v>0</v>
      </c>
      <c r="AS15" s="55"/>
      <c r="AT15" s="55">
        <v>0</v>
      </c>
      <c r="AU15" s="55"/>
      <c r="AV15" s="55">
        <f t="shared" si="5"/>
        <v>0</v>
      </c>
      <c r="AW15" s="55"/>
      <c r="AX15" s="30" t="s">
        <v>17</v>
      </c>
      <c r="AY15" s="55"/>
      <c r="AZ15" s="55">
        <v>0</v>
      </c>
      <c r="BA15" s="55"/>
      <c r="BB15" s="55">
        <v>0</v>
      </c>
      <c r="BC15" s="55"/>
      <c r="BD15" s="55">
        <v>0</v>
      </c>
      <c r="BE15" s="55"/>
      <c r="BF15" s="55">
        <v>0</v>
      </c>
      <c r="BG15" s="55"/>
      <c r="BH15" s="55"/>
      <c r="BI15" s="55"/>
      <c r="BJ15" s="51">
        <f t="shared" si="6"/>
        <v>0</v>
      </c>
    </row>
    <row r="16" spans="1:62" s="26" customFormat="1" ht="12">
      <c r="A16" s="30" t="s">
        <v>18</v>
      </c>
      <c r="B16" s="30"/>
      <c r="C16" s="55">
        <f t="shared" si="1"/>
        <v>3188685</v>
      </c>
      <c r="D16" s="55"/>
      <c r="E16" s="55">
        <v>22116450</v>
      </c>
      <c r="F16" s="55"/>
      <c r="G16" s="55">
        <v>25305135</v>
      </c>
      <c r="H16" s="55"/>
      <c r="I16" s="55">
        <f t="shared" si="7"/>
        <v>654395</v>
      </c>
      <c r="J16" s="55"/>
      <c r="K16" s="55">
        <f t="shared" si="0"/>
        <v>11358430</v>
      </c>
      <c r="L16" s="55"/>
      <c r="M16" s="55">
        <v>12012825</v>
      </c>
      <c r="N16" s="55"/>
      <c r="O16" s="55">
        <v>10074359</v>
      </c>
      <c r="P16" s="55"/>
      <c r="Q16" s="55">
        <v>349422</v>
      </c>
      <c r="R16" s="55"/>
      <c r="S16" s="55">
        <v>2868529</v>
      </c>
      <c r="T16" s="55"/>
      <c r="U16" s="55">
        <f t="shared" si="2"/>
        <v>13292310</v>
      </c>
      <c r="V16" s="55">
        <f>G16-M16-U16</f>
        <v>0</v>
      </c>
      <c r="W16" s="55"/>
      <c r="X16" s="30" t="s">
        <v>18</v>
      </c>
      <c r="Y16" s="55"/>
      <c r="Z16" s="55">
        <v>2756130</v>
      </c>
      <c r="AA16" s="55"/>
      <c r="AB16" s="55">
        <f>2393418-577091</f>
        <v>1816327</v>
      </c>
      <c r="AC16" s="55"/>
      <c r="AD16" s="55">
        <v>577091</v>
      </c>
      <c r="AE16" s="55"/>
      <c r="AF16" s="55">
        <f t="shared" si="3"/>
        <v>362712</v>
      </c>
      <c r="AG16" s="55"/>
      <c r="AH16" s="55">
        <v>-448134</v>
      </c>
      <c r="AI16" s="55"/>
      <c r="AJ16" s="55">
        <v>170060</v>
      </c>
      <c r="AK16" s="55"/>
      <c r="AL16" s="55">
        <v>0</v>
      </c>
      <c r="AM16" s="55"/>
      <c r="AN16" s="55">
        <v>29129</v>
      </c>
      <c r="AO16" s="55"/>
      <c r="AP16" s="55">
        <f t="shared" si="4"/>
        <v>113767</v>
      </c>
      <c r="AQ16" s="55"/>
      <c r="AR16" s="55">
        <v>0</v>
      </c>
      <c r="AS16" s="55"/>
      <c r="AT16" s="55">
        <v>0</v>
      </c>
      <c r="AU16" s="55"/>
      <c r="AV16" s="55">
        <f t="shared" si="5"/>
        <v>2534290</v>
      </c>
      <c r="AW16" s="55"/>
      <c r="AX16" s="30" t="s">
        <v>18</v>
      </c>
      <c r="AY16" s="55"/>
      <c r="AZ16" s="55">
        <v>517340</v>
      </c>
      <c r="BA16" s="55"/>
      <c r="BB16" s="55">
        <v>6732000</v>
      </c>
      <c r="BC16" s="55"/>
      <c r="BD16" s="55">
        <v>28597</v>
      </c>
      <c r="BE16" s="55"/>
      <c r="BF16" s="55">
        <f>35474+45019+4000000</f>
        <v>4080493</v>
      </c>
      <c r="BG16" s="55"/>
      <c r="BH16" s="55"/>
      <c r="BI16" s="55"/>
      <c r="BJ16" s="51">
        <f t="shared" si="6"/>
        <v>11358430</v>
      </c>
    </row>
    <row r="17" spans="1:62" s="26" customFormat="1" ht="12" hidden="1">
      <c r="A17" s="30" t="s">
        <v>96</v>
      </c>
      <c r="B17" s="30"/>
      <c r="C17" s="55">
        <f t="shared" si="1"/>
        <v>0</v>
      </c>
      <c r="D17" s="55"/>
      <c r="E17" s="55">
        <v>0</v>
      </c>
      <c r="F17" s="55"/>
      <c r="G17" s="55">
        <v>0</v>
      </c>
      <c r="H17" s="55"/>
      <c r="I17" s="55">
        <f t="shared" si="7"/>
        <v>0</v>
      </c>
      <c r="J17" s="55"/>
      <c r="K17" s="55">
        <f t="shared" si="0"/>
        <v>0</v>
      </c>
      <c r="L17" s="55"/>
      <c r="M17" s="55">
        <v>0</v>
      </c>
      <c r="N17" s="55"/>
      <c r="O17" s="55">
        <v>0</v>
      </c>
      <c r="P17" s="55"/>
      <c r="Q17" s="55">
        <v>0</v>
      </c>
      <c r="R17" s="55"/>
      <c r="S17" s="55">
        <v>0</v>
      </c>
      <c r="T17" s="55"/>
      <c r="U17" s="55">
        <f t="shared" si="2"/>
        <v>0</v>
      </c>
      <c r="V17" s="55">
        <f aca="true" t="shared" si="8" ref="V17:V22">G17-M17-U17</f>
        <v>0</v>
      </c>
      <c r="W17" s="55"/>
      <c r="X17" s="30" t="s">
        <v>96</v>
      </c>
      <c r="Y17" s="55"/>
      <c r="Z17" s="55">
        <v>0</v>
      </c>
      <c r="AA17" s="55"/>
      <c r="AB17" s="55">
        <v>0</v>
      </c>
      <c r="AC17" s="55"/>
      <c r="AD17" s="55">
        <v>0</v>
      </c>
      <c r="AE17" s="55"/>
      <c r="AF17" s="55">
        <f t="shared" si="3"/>
        <v>0</v>
      </c>
      <c r="AG17" s="55"/>
      <c r="AH17" s="55">
        <v>0</v>
      </c>
      <c r="AI17" s="55"/>
      <c r="AJ17" s="55">
        <v>0</v>
      </c>
      <c r="AK17" s="55"/>
      <c r="AL17" s="55">
        <v>0</v>
      </c>
      <c r="AM17" s="55"/>
      <c r="AN17" s="55">
        <v>0</v>
      </c>
      <c r="AO17" s="55"/>
      <c r="AP17" s="55">
        <f t="shared" si="4"/>
        <v>0</v>
      </c>
      <c r="AQ17" s="55"/>
      <c r="AR17" s="55">
        <v>0</v>
      </c>
      <c r="AS17" s="55"/>
      <c r="AT17" s="55">
        <v>0</v>
      </c>
      <c r="AU17" s="55"/>
      <c r="AV17" s="55">
        <f t="shared" si="5"/>
        <v>0</v>
      </c>
      <c r="AW17" s="55"/>
      <c r="AX17" s="30" t="s">
        <v>96</v>
      </c>
      <c r="AY17" s="55"/>
      <c r="AZ17" s="55">
        <v>0</v>
      </c>
      <c r="BA17" s="55"/>
      <c r="BB17" s="55">
        <v>0</v>
      </c>
      <c r="BC17" s="55"/>
      <c r="BD17" s="55">
        <v>0</v>
      </c>
      <c r="BE17" s="55"/>
      <c r="BF17" s="55">
        <v>0</v>
      </c>
      <c r="BG17" s="55"/>
      <c r="BH17" s="55"/>
      <c r="BI17" s="55"/>
      <c r="BJ17" s="51">
        <f t="shared" si="6"/>
        <v>0</v>
      </c>
    </row>
    <row r="18" spans="1:62" s="26" customFormat="1" ht="12">
      <c r="A18" s="30" t="s">
        <v>19</v>
      </c>
      <c r="B18" s="30"/>
      <c r="C18" s="55">
        <f t="shared" si="1"/>
        <v>19414951</v>
      </c>
      <c r="D18" s="55"/>
      <c r="E18" s="55">
        <v>129809399</v>
      </c>
      <c r="F18" s="55"/>
      <c r="G18" s="55">
        <v>149224350</v>
      </c>
      <c r="H18" s="55"/>
      <c r="I18" s="55">
        <f t="shared" si="7"/>
        <v>3574795</v>
      </c>
      <c r="J18" s="55"/>
      <c r="K18" s="55">
        <f t="shared" si="0"/>
        <v>69705035</v>
      </c>
      <c r="L18" s="55"/>
      <c r="M18" s="55">
        <v>73279830</v>
      </c>
      <c r="N18" s="55"/>
      <c r="O18" s="55">
        <v>60756633</v>
      </c>
      <c r="P18" s="55"/>
      <c r="Q18" s="55">
        <f>3129625+2000000</f>
        <v>5129625</v>
      </c>
      <c r="R18" s="55"/>
      <c r="S18" s="55">
        <v>10058262</v>
      </c>
      <c r="T18" s="55"/>
      <c r="U18" s="55">
        <f t="shared" si="2"/>
        <v>75944520</v>
      </c>
      <c r="V18" s="55">
        <f t="shared" si="8"/>
        <v>0</v>
      </c>
      <c r="W18" s="55"/>
      <c r="X18" s="30" t="s">
        <v>19</v>
      </c>
      <c r="Y18" s="55"/>
      <c r="Z18" s="55">
        <v>19539968</v>
      </c>
      <c r="AA18" s="55"/>
      <c r="AB18" s="55">
        <f>19719228-5280632</f>
        <v>14438596</v>
      </c>
      <c r="AC18" s="55"/>
      <c r="AD18" s="55">
        <v>5280632</v>
      </c>
      <c r="AE18" s="55"/>
      <c r="AF18" s="55">
        <f t="shared" si="3"/>
        <v>-179260</v>
      </c>
      <c r="AG18" s="55"/>
      <c r="AH18" s="55">
        <v>-2755662</v>
      </c>
      <c r="AI18" s="55"/>
      <c r="AJ18" s="55">
        <v>0</v>
      </c>
      <c r="AK18" s="55"/>
      <c r="AL18" s="55">
        <v>0</v>
      </c>
      <c r="AM18" s="55"/>
      <c r="AN18" s="55">
        <v>9941049</v>
      </c>
      <c r="AO18" s="55"/>
      <c r="AP18" s="55">
        <f t="shared" si="4"/>
        <v>7006127</v>
      </c>
      <c r="AQ18" s="55"/>
      <c r="AR18" s="55">
        <v>0</v>
      </c>
      <c r="AS18" s="55"/>
      <c r="AT18" s="55">
        <v>0</v>
      </c>
      <c r="AU18" s="55"/>
      <c r="AV18" s="55">
        <f t="shared" si="5"/>
        <v>15840156</v>
      </c>
      <c r="AW18" s="55"/>
      <c r="AX18" s="30" t="s">
        <v>19</v>
      </c>
      <c r="AY18" s="55"/>
      <c r="AZ18" s="55">
        <v>0</v>
      </c>
      <c r="BA18" s="55"/>
      <c r="BB18" s="55">
        <f>26285000+34768885</f>
        <v>61053885</v>
      </c>
      <c r="BC18" s="55"/>
      <c r="BD18" s="55">
        <v>0</v>
      </c>
      <c r="BE18" s="55"/>
      <c r="BF18" s="55">
        <f>159605+8400000+91545</f>
        <v>8651150</v>
      </c>
      <c r="BG18" s="55"/>
      <c r="BH18" s="55"/>
      <c r="BI18" s="55"/>
      <c r="BJ18" s="51">
        <f t="shared" si="6"/>
        <v>69705035</v>
      </c>
    </row>
    <row r="19" spans="1:62" s="26" customFormat="1" ht="12">
      <c r="A19" s="30" t="s">
        <v>21</v>
      </c>
      <c r="B19" s="30"/>
      <c r="C19" s="55">
        <f t="shared" si="1"/>
        <v>1960782</v>
      </c>
      <c r="D19" s="55"/>
      <c r="E19" s="55">
        <v>4106870</v>
      </c>
      <c r="F19" s="55"/>
      <c r="G19" s="55">
        <v>6067652</v>
      </c>
      <c r="H19" s="55"/>
      <c r="I19" s="55">
        <f t="shared" si="7"/>
        <v>2365686</v>
      </c>
      <c r="J19" s="55"/>
      <c r="K19" s="55">
        <f t="shared" si="0"/>
        <v>493414</v>
      </c>
      <c r="L19" s="55"/>
      <c r="M19" s="55">
        <v>2859100</v>
      </c>
      <c r="N19" s="55"/>
      <c r="O19" s="55">
        <v>1413670</v>
      </c>
      <c r="P19" s="55"/>
      <c r="Q19" s="55">
        <v>0</v>
      </c>
      <c r="R19" s="55"/>
      <c r="S19" s="55">
        <v>1794882</v>
      </c>
      <c r="T19" s="55"/>
      <c r="U19" s="55">
        <f t="shared" si="2"/>
        <v>3208552</v>
      </c>
      <c r="V19" s="55">
        <f t="shared" si="8"/>
        <v>0</v>
      </c>
      <c r="W19" s="55"/>
      <c r="X19" s="30" t="s">
        <v>20</v>
      </c>
      <c r="Y19" s="55"/>
      <c r="Z19" s="55">
        <v>1914450</v>
      </c>
      <c r="AA19" s="55"/>
      <c r="AB19" s="55">
        <v>4008760</v>
      </c>
      <c r="AC19" s="55"/>
      <c r="AD19" s="55">
        <v>0</v>
      </c>
      <c r="AE19" s="55"/>
      <c r="AF19" s="55">
        <f t="shared" si="3"/>
        <v>-2094310</v>
      </c>
      <c r="AG19" s="55"/>
      <c r="AH19" s="55">
        <v>-2094310</v>
      </c>
      <c r="AI19" s="55"/>
      <c r="AJ19" s="55">
        <v>0</v>
      </c>
      <c r="AK19" s="55"/>
      <c r="AL19" s="55">
        <v>0</v>
      </c>
      <c r="AM19" s="55"/>
      <c r="AN19" s="55">
        <v>0</v>
      </c>
      <c r="AO19" s="55"/>
      <c r="AP19" s="55">
        <f t="shared" si="4"/>
        <v>-4188620</v>
      </c>
      <c r="AQ19" s="55"/>
      <c r="AR19" s="55">
        <v>0</v>
      </c>
      <c r="AS19" s="55"/>
      <c r="AT19" s="55">
        <v>0</v>
      </c>
      <c r="AU19" s="55"/>
      <c r="AV19" s="55">
        <f t="shared" si="5"/>
        <v>-404904</v>
      </c>
      <c r="AW19" s="55"/>
      <c r="AX19" s="30" t="s">
        <v>20</v>
      </c>
      <c r="AY19" s="55"/>
      <c r="AZ19" s="55">
        <v>0</v>
      </c>
      <c r="BA19" s="55"/>
      <c r="BB19" s="55">
        <v>0</v>
      </c>
      <c r="BC19" s="55"/>
      <c r="BD19" s="55">
        <v>438200</v>
      </c>
      <c r="BE19" s="55"/>
      <c r="BF19" s="55">
        <v>55214</v>
      </c>
      <c r="BG19" s="55"/>
      <c r="BH19" s="55"/>
      <c r="BI19" s="55"/>
      <c r="BJ19" s="51">
        <f t="shared" si="6"/>
        <v>493414</v>
      </c>
    </row>
    <row r="20" spans="1:62" s="26" customFormat="1" ht="12" hidden="1">
      <c r="A20" s="30" t="s">
        <v>177</v>
      </c>
      <c r="B20" s="30"/>
      <c r="C20" s="55">
        <f t="shared" si="1"/>
        <v>0</v>
      </c>
      <c r="D20" s="55"/>
      <c r="E20" s="55">
        <v>0</v>
      </c>
      <c r="F20" s="55"/>
      <c r="G20" s="55">
        <v>0</v>
      </c>
      <c r="H20" s="55"/>
      <c r="I20" s="55">
        <f t="shared" si="7"/>
        <v>0</v>
      </c>
      <c r="J20" s="55"/>
      <c r="K20" s="55">
        <f t="shared" si="0"/>
        <v>0</v>
      </c>
      <c r="L20" s="55"/>
      <c r="M20" s="55">
        <v>0</v>
      </c>
      <c r="N20" s="55"/>
      <c r="O20" s="55">
        <v>0</v>
      </c>
      <c r="P20" s="55"/>
      <c r="Q20" s="55">
        <v>0</v>
      </c>
      <c r="R20" s="55"/>
      <c r="S20" s="55">
        <v>0</v>
      </c>
      <c r="T20" s="55"/>
      <c r="U20" s="55">
        <f t="shared" si="2"/>
        <v>0</v>
      </c>
      <c r="V20" s="55">
        <f t="shared" si="8"/>
        <v>0</v>
      </c>
      <c r="W20" s="55"/>
      <c r="X20" s="30" t="s">
        <v>177</v>
      </c>
      <c r="Y20" s="55"/>
      <c r="Z20" s="55">
        <v>0</v>
      </c>
      <c r="AA20" s="55"/>
      <c r="AB20" s="55">
        <v>0</v>
      </c>
      <c r="AC20" s="55"/>
      <c r="AD20" s="55">
        <v>0</v>
      </c>
      <c r="AE20" s="55"/>
      <c r="AF20" s="55">
        <f t="shared" si="3"/>
        <v>0</v>
      </c>
      <c r="AG20" s="55"/>
      <c r="AH20" s="55">
        <v>0</v>
      </c>
      <c r="AI20" s="55"/>
      <c r="AJ20" s="55">
        <v>0</v>
      </c>
      <c r="AK20" s="55"/>
      <c r="AL20" s="55">
        <v>0</v>
      </c>
      <c r="AM20" s="55"/>
      <c r="AN20" s="55">
        <v>0</v>
      </c>
      <c r="AO20" s="55"/>
      <c r="AP20" s="55">
        <f t="shared" si="4"/>
        <v>0</v>
      </c>
      <c r="AQ20" s="55"/>
      <c r="AR20" s="55">
        <v>0</v>
      </c>
      <c r="AS20" s="55"/>
      <c r="AT20" s="55">
        <v>0</v>
      </c>
      <c r="AU20" s="55"/>
      <c r="AV20" s="55">
        <f t="shared" si="5"/>
        <v>0</v>
      </c>
      <c r="AW20" s="55"/>
      <c r="AX20" s="30" t="s">
        <v>177</v>
      </c>
      <c r="AY20" s="55"/>
      <c r="AZ20" s="55">
        <v>0</v>
      </c>
      <c r="BA20" s="55"/>
      <c r="BB20" s="55">
        <v>0</v>
      </c>
      <c r="BC20" s="55"/>
      <c r="BD20" s="55">
        <v>0</v>
      </c>
      <c r="BE20" s="55"/>
      <c r="BF20" s="55">
        <v>0</v>
      </c>
      <c r="BG20" s="55"/>
      <c r="BH20" s="55"/>
      <c r="BI20" s="55"/>
      <c r="BJ20" s="51">
        <f t="shared" si="6"/>
        <v>0</v>
      </c>
    </row>
    <row r="21" spans="1:62" s="26" customFormat="1" ht="12" hidden="1">
      <c r="A21" s="30" t="s">
        <v>21</v>
      </c>
      <c r="B21" s="30"/>
      <c r="C21" s="55">
        <f t="shared" si="1"/>
        <v>0</v>
      </c>
      <c r="D21" s="55"/>
      <c r="E21" s="55">
        <v>0</v>
      </c>
      <c r="F21" s="55"/>
      <c r="G21" s="55">
        <v>0</v>
      </c>
      <c r="H21" s="55"/>
      <c r="I21" s="55">
        <f t="shared" si="7"/>
        <v>0</v>
      </c>
      <c r="J21" s="55"/>
      <c r="K21" s="55">
        <f t="shared" si="0"/>
        <v>0</v>
      </c>
      <c r="L21" s="55"/>
      <c r="M21" s="55">
        <v>0</v>
      </c>
      <c r="N21" s="55"/>
      <c r="O21" s="55">
        <v>0</v>
      </c>
      <c r="P21" s="55"/>
      <c r="Q21" s="55">
        <v>0</v>
      </c>
      <c r="R21" s="55"/>
      <c r="S21" s="55">
        <v>0</v>
      </c>
      <c r="T21" s="55"/>
      <c r="U21" s="55">
        <f t="shared" si="2"/>
        <v>0</v>
      </c>
      <c r="V21" s="55">
        <f t="shared" si="8"/>
        <v>0</v>
      </c>
      <c r="W21" s="55"/>
      <c r="X21" s="30" t="s">
        <v>21</v>
      </c>
      <c r="Y21" s="55"/>
      <c r="Z21" s="55">
        <v>0</v>
      </c>
      <c r="AA21" s="55"/>
      <c r="AB21" s="55">
        <v>0</v>
      </c>
      <c r="AC21" s="55"/>
      <c r="AD21" s="55">
        <v>0</v>
      </c>
      <c r="AE21" s="55"/>
      <c r="AF21" s="55">
        <f t="shared" si="3"/>
        <v>0</v>
      </c>
      <c r="AG21" s="55"/>
      <c r="AH21" s="55">
        <v>0</v>
      </c>
      <c r="AI21" s="55"/>
      <c r="AJ21" s="55">
        <v>0</v>
      </c>
      <c r="AK21" s="55"/>
      <c r="AL21" s="55">
        <v>0</v>
      </c>
      <c r="AM21" s="55"/>
      <c r="AN21" s="55">
        <v>0</v>
      </c>
      <c r="AO21" s="55"/>
      <c r="AP21" s="55">
        <f t="shared" si="4"/>
        <v>0</v>
      </c>
      <c r="AQ21" s="55"/>
      <c r="AR21" s="55">
        <v>0</v>
      </c>
      <c r="AS21" s="55"/>
      <c r="AT21" s="55">
        <v>0</v>
      </c>
      <c r="AU21" s="55"/>
      <c r="AV21" s="55">
        <f t="shared" si="5"/>
        <v>0</v>
      </c>
      <c r="AW21" s="55"/>
      <c r="AX21" s="30" t="s">
        <v>21</v>
      </c>
      <c r="AY21" s="55"/>
      <c r="AZ21" s="55">
        <v>0</v>
      </c>
      <c r="BA21" s="55"/>
      <c r="BB21" s="55">
        <v>0</v>
      </c>
      <c r="BC21" s="55"/>
      <c r="BD21" s="55">
        <v>0</v>
      </c>
      <c r="BE21" s="55"/>
      <c r="BF21" s="55">
        <v>0</v>
      </c>
      <c r="BG21" s="55"/>
      <c r="BH21" s="55"/>
      <c r="BI21" s="55"/>
      <c r="BJ21" s="51">
        <f t="shared" si="6"/>
        <v>0</v>
      </c>
    </row>
    <row r="22" spans="1:62" s="26" customFormat="1" ht="12">
      <c r="A22" s="30" t="s">
        <v>188</v>
      </c>
      <c r="B22" s="30"/>
      <c r="C22" s="55">
        <f t="shared" si="1"/>
        <v>21321064</v>
      </c>
      <c r="D22" s="55"/>
      <c r="E22" s="55">
        <v>111765469</v>
      </c>
      <c r="F22" s="55"/>
      <c r="G22" s="55">
        <v>133086533</v>
      </c>
      <c r="H22" s="55"/>
      <c r="I22" s="55">
        <f t="shared" si="7"/>
        <v>4703706</v>
      </c>
      <c r="J22" s="55"/>
      <c r="K22" s="55">
        <f t="shared" si="0"/>
        <v>31485826</v>
      </c>
      <c r="L22" s="55"/>
      <c r="M22" s="55">
        <v>36189532</v>
      </c>
      <c r="N22" s="55"/>
      <c r="O22" s="55">
        <v>71863078</v>
      </c>
      <c r="P22" s="55"/>
      <c r="Q22" s="55">
        <v>3103831</v>
      </c>
      <c r="R22" s="55"/>
      <c r="S22" s="55">
        <v>21930092</v>
      </c>
      <c r="T22" s="55"/>
      <c r="U22" s="55">
        <f t="shared" si="2"/>
        <v>96897001</v>
      </c>
      <c r="V22" s="55">
        <f t="shared" si="8"/>
        <v>0</v>
      </c>
      <c r="W22" s="55"/>
      <c r="X22" s="30" t="s">
        <v>188</v>
      </c>
      <c r="Y22" s="55"/>
      <c r="Z22" s="55">
        <v>12099297</v>
      </c>
      <c r="AA22" s="55"/>
      <c r="AB22" s="55">
        <f>10065804-3443166</f>
        <v>6622638</v>
      </c>
      <c r="AC22" s="55"/>
      <c r="AD22" s="55">
        <v>3443166</v>
      </c>
      <c r="AE22" s="55"/>
      <c r="AF22" s="55">
        <f t="shared" si="3"/>
        <v>2033493</v>
      </c>
      <c r="AG22" s="55"/>
      <c r="AH22" s="55">
        <v>-1119143</v>
      </c>
      <c r="AI22" s="55"/>
      <c r="AJ22" s="55">
        <v>151099</v>
      </c>
      <c r="AK22" s="55"/>
      <c r="AL22" s="55">
        <v>0</v>
      </c>
      <c r="AM22" s="55"/>
      <c r="AN22" s="55">
        <v>4228635</v>
      </c>
      <c r="AO22" s="55"/>
      <c r="AP22" s="55">
        <f t="shared" si="4"/>
        <v>5294084</v>
      </c>
      <c r="AQ22" s="55"/>
      <c r="AR22" s="55">
        <v>0</v>
      </c>
      <c r="AS22" s="55"/>
      <c r="AT22" s="55">
        <v>0</v>
      </c>
      <c r="AU22" s="55"/>
      <c r="AV22" s="55">
        <f t="shared" si="5"/>
        <v>16617358</v>
      </c>
      <c r="AW22" s="55"/>
      <c r="AX22" s="30" t="s">
        <v>188</v>
      </c>
      <c r="AY22" s="55"/>
      <c r="AZ22" s="55">
        <v>0</v>
      </c>
      <c r="BA22" s="55"/>
      <c r="BB22" s="55">
        <v>31010000</v>
      </c>
      <c r="BC22" s="55"/>
      <c r="BD22" s="55">
        <v>475826</v>
      </c>
      <c r="BE22" s="55"/>
      <c r="BF22" s="55">
        <v>0</v>
      </c>
      <c r="BG22" s="55"/>
      <c r="BH22" s="55"/>
      <c r="BI22" s="55"/>
      <c r="BJ22" s="51">
        <f t="shared" si="6"/>
        <v>31485826</v>
      </c>
    </row>
    <row r="23" spans="1:62" s="26" customFormat="1" ht="12" hidden="1">
      <c r="A23" s="30" t="s">
        <v>22</v>
      </c>
      <c r="B23" s="30"/>
      <c r="C23" s="55">
        <f t="shared" si="1"/>
        <v>0</v>
      </c>
      <c r="D23" s="55"/>
      <c r="E23" s="55">
        <v>0</v>
      </c>
      <c r="F23" s="55"/>
      <c r="G23" s="55">
        <v>0</v>
      </c>
      <c r="H23" s="55"/>
      <c r="I23" s="55">
        <f aca="true" t="shared" si="9" ref="I23:I76">+M23-K23</f>
        <v>0</v>
      </c>
      <c r="J23" s="55"/>
      <c r="K23" s="55">
        <f t="shared" si="0"/>
        <v>0</v>
      </c>
      <c r="L23" s="55"/>
      <c r="M23" s="55">
        <v>0</v>
      </c>
      <c r="N23" s="55"/>
      <c r="O23" s="55">
        <v>0</v>
      </c>
      <c r="P23" s="55"/>
      <c r="Q23" s="55">
        <v>0</v>
      </c>
      <c r="R23" s="55"/>
      <c r="S23" s="55">
        <v>0</v>
      </c>
      <c r="T23" s="55"/>
      <c r="U23" s="55">
        <f t="shared" si="2"/>
        <v>0</v>
      </c>
      <c r="V23" s="55">
        <f aca="true" t="shared" si="10" ref="V23:V79">G23-M23-U23</f>
        <v>0</v>
      </c>
      <c r="W23" s="55"/>
      <c r="X23" s="30" t="s">
        <v>22</v>
      </c>
      <c r="Y23" s="55"/>
      <c r="Z23" s="55">
        <v>0</v>
      </c>
      <c r="AA23" s="55"/>
      <c r="AB23" s="55">
        <v>0</v>
      </c>
      <c r="AC23" s="55"/>
      <c r="AD23" s="55">
        <v>0</v>
      </c>
      <c r="AE23" s="55"/>
      <c r="AF23" s="55">
        <f t="shared" si="3"/>
        <v>0</v>
      </c>
      <c r="AG23" s="55"/>
      <c r="AH23" s="55">
        <v>0</v>
      </c>
      <c r="AI23" s="55"/>
      <c r="AJ23" s="55">
        <v>0</v>
      </c>
      <c r="AK23" s="55"/>
      <c r="AL23" s="55">
        <v>0</v>
      </c>
      <c r="AM23" s="55"/>
      <c r="AN23" s="55">
        <v>0</v>
      </c>
      <c r="AO23" s="55"/>
      <c r="AP23" s="55">
        <f t="shared" si="4"/>
        <v>0</v>
      </c>
      <c r="AQ23" s="55"/>
      <c r="AR23" s="55">
        <v>0</v>
      </c>
      <c r="AS23" s="55"/>
      <c r="AT23" s="55">
        <v>0</v>
      </c>
      <c r="AU23" s="55"/>
      <c r="AV23" s="55">
        <f t="shared" si="5"/>
        <v>0</v>
      </c>
      <c r="AW23" s="55"/>
      <c r="AX23" s="30" t="s">
        <v>22</v>
      </c>
      <c r="AY23" s="55"/>
      <c r="AZ23" s="55">
        <v>0</v>
      </c>
      <c r="BA23" s="55"/>
      <c r="BB23" s="55">
        <v>0</v>
      </c>
      <c r="BC23" s="55"/>
      <c r="BD23" s="55">
        <v>0</v>
      </c>
      <c r="BE23" s="55"/>
      <c r="BF23" s="55">
        <v>0</v>
      </c>
      <c r="BG23" s="55"/>
      <c r="BH23" s="55"/>
      <c r="BI23" s="55"/>
      <c r="BJ23" s="51">
        <f t="shared" si="6"/>
        <v>0</v>
      </c>
    </row>
    <row r="24" spans="1:62" s="26" customFormat="1" ht="12" hidden="1">
      <c r="A24" s="30" t="s">
        <v>23</v>
      </c>
      <c r="B24" s="30"/>
      <c r="C24" s="55">
        <f t="shared" si="1"/>
        <v>0</v>
      </c>
      <c r="D24" s="55"/>
      <c r="E24" s="55">
        <v>0</v>
      </c>
      <c r="F24" s="55"/>
      <c r="G24" s="55">
        <v>0</v>
      </c>
      <c r="H24" s="55"/>
      <c r="I24" s="55">
        <f t="shared" si="9"/>
        <v>0</v>
      </c>
      <c r="J24" s="55"/>
      <c r="K24" s="55">
        <f t="shared" si="0"/>
        <v>0</v>
      </c>
      <c r="L24" s="55"/>
      <c r="M24" s="55">
        <v>0</v>
      </c>
      <c r="N24" s="55"/>
      <c r="O24" s="55">
        <v>0</v>
      </c>
      <c r="P24" s="55"/>
      <c r="Q24" s="55">
        <v>0</v>
      </c>
      <c r="R24" s="55"/>
      <c r="S24" s="55">
        <v>0</v>
      </c>
      <c r="T24" s="55"/>
      <c r="U24" s="55">
        <f t="shared" si="2"/>
        <v>0</v>
      </c>
      <c r="V24" s="55">
        <f t="shared" si="10"/>
        <v>0</v>
      </c>
      <c r="W24" s="55"/>
      <c r="X24" s="30" t="s">
        <v>23</v>
      </c>
      <c r="Y24" s="55"/>
      <c r="Z24" s="55">
        <v>0</v>
      </c>
      <c r="AA24" s="55"/>
      <c r="AB24" s="55">
        <v>0</v>
      </c>
      <c r="AC24" s="55"/>
      <c r="AD24" s="55">
        <v>0</v>
      </c>
      <c r="AE24" s="55"/>
      <c r="AF24" s="55">
        <f t="shared" si="3"/>
        <v>0</v>
      </c>
      <c r="AG24" s="55"/>
      <c r="AH24" s="55">
        <v>0</v>
      </c>
      <c r="AI24" s="55"/>
      <c r="AJ24" s="55">
        <v>0</v>
      </c>
      <c r="AK24" s="55"/>
      <c r="AL24" s="55">
        <v>0</v>
      </c>
      <c r="AM24" s="55"/>
      <c r="AN24" s="55">
        <v>0</v>
      </c>
      <c r="AO24" s="55"/>
      <c r="AP24" s="55">
        <f t="shared" si="4"/>
        <v>0</v>
      </c>
      <c r="AQ24" s="55"/>
      <c r="AR24" s="55">
        <v>0</v>
      </c>
      <c r="AS24" s="55"/>
      <c r="AT24" s="55">
        <v>0</v>
      </c>
      <c r="AU24" s="55"/>
      <c r="AV24" s="55">
        <f t="shared" si="5"/>
        <v>0</v>
      </c>
      <c r="AW24" s="55"/>
      <c r="AX24" s="30" t="s">
        <v>23</v>
      </c>
      <c r="AY24" s="55"/>
      <c r="AZ24" s="55">
        <v>0</v>
      </c>
      <c r="BA24" s="55"/>
      <c r="BB24" s="55">
        <v>0</v>
      </c>
      <c r="BC24" s="55"/>
      <c r="BD24" s="55">
        <v>0</v>
      </c>
      <c r="BE24" s="55"/>
      <c r="BF24" s="55">
        <v>0</v>
      </c>
      <c r="BG24" s="55"/>
      <c r="BH24" s="55"/>
      <c r="BI24" s="55"/>
      <c r="BJ24" s="51">
        <f t="shared" si="6"/>
        <v>0</v>
      </c>
    </row>
    <row r="25" spans="1:62" s="26" customFormat="1" ht="12" hidden="1">
      <c r="A25" s="30" t="s">
        <v>24</v>
      </c>
      <c r="B25" s="30"/>
      <c r="C25" s="55">
        <f t="shared" si="1"/>
        <v>0</v>
      </c>
      <c r="D25" s="55"/>
      <c r="E25" s="55">
        <v>0</v>
      </c>
      <c r="F25" s="55"/>
      <c r="G25" s="55">
        <v>0</v>
      </c>
      <c r="H25" s="55"/>
      <c r="I25" s="55">
        <f t="shared" si="9"/>
        <v>0</v>
      </c>
      <c r="J25" s="55"/>
      <c r="K25" s="55">
        <f t="shared" si="0"/>
        <v>0</v>
      </c>
      <c r="L25" s="55"/>
      <c r="M25" s="55">
        <v>0</v>
      </c>
      <c r="N25" s="55"/>
      <c r="O25" s="55">
        <v>0</v>
      </c>
      <c r="P25" s="55"/>
      <c r="Q25" s="55">
        <v>0</v>
      </c>
      <c r="R25" s="55"/>
      <c r="S25" s="55">
        <v>0</v>
      </c>
      <c r="T25" s="55"/>
      <c r="U25" s="55">
        <f t="shared" si="2"/>
        <v>0</v>
      </c>
      <c r="V25" s="55">
        <f t="shared" si="10"/>
        <v>0</v>
      </c>
      <c r="W25" s="55"/>
      <c r="X25" s="30" t="s">
        <v>24</v>
      </c>
      <c r="Y25" s="55"/>
      <c r="Z25" s="55">
        <v>0</v>
      </c>
      <c r="AA25" s="55"/>
      <c r="AB25" s="55">
        <v>0</v>
      </c>
      <c r="AC25" s="55"/>
      <c r="AD25" s="55">
        <v>0</v>
      </c>
      <c r="AE25" s="55"/>
      <c r="AF25" s="55">
        <f t="shared" si="3"/>
        <v>0</v>
      </c>
      <c r="AG25" s="55"/>
      <c r="AH25" s="55">
        <v>0</v>
      </c>
      <c r="AI25" s="55"/>
      <c r="AJ25" s="55">
        <v>0</v>
      </c>
      <c r="AK25" s="55"/>
      <c r="AL25" s="55">
        <v>0</v>
      </c>
      <c r="AM25" s="55"/>
      <c r="AN25" s="55">
        <v>0</v>
      </c>
      <c r="AO25" s="55"/>
      <c r="AP25" s="55">
        <f t="shared" si="4"/>
        <v>0</v>
      </c>
      <c r="AQ25" s="55"/>
      <c r="AR25" s="55">
        <v>0</v>
      </c>
      <c r="AS25" s="55"/>
      <c r="AT25" s="55">
        <v>0</v>
      </c>
      <c r="AU25" s="55"/>
      <c r="AV25" s="55">
        <f t="shared" si="5"/>
        <v>0</v>
      </c>
      <c r="AW25" s="55"/>
      <c r="AX25" s="30" t="s">
        <v>24</v>
      </c>
      <c r="AY25" s="55"/>
      <c r="AZ25" s="55">
        <v>0</v>
      </c>
      <c r="BA25" s="55"/>
      <c r="BB25" s="55">
        <v>0</v>
      </c>
      <c r="BC25" s="55"/>
      <c r="BD25" s="55">
        <v>0</v>
      </c>
      <c r="BE25" s="55"/>
      <c r="BF25" s="55">
        <v>0</v>
      </c>
      <c r="BG25" s="55"/>
      <c r="BH25" s="55"/>
      <c r="BI25" s="55"/>
      <c r="BJ25" s="51">
        <f t="shared" si="6"/>
        <v>0</v>
      </c>
    </row>
    <row r="26" spans="1:62" s="26" customFormat="1" ht="12" hidden="1">
      <c r="A26" s="30" t="s">
        <v>186</v>
      </c>
      <c r="B26" s="30"/>
      <c r="C26" s="55">
        <f t="shared" si="1"/>
        <v>0</v>
      </c>
      <c r="D26" s="55"/>
      <c r="E26" s="55">
        <v>0</v>
      </c>
      <c r="F26" s="55"/>
      <c r="G26" s="55">
        <v>0</v>
      </c>
      <c r="H26" s="55"/>
      <c r="I26" s="55">
        <f t="shared" si="9"/>
        <v>0</v>
      </c>
      <c r="J26" s="55"/>
      <c r="K26" s="55">
        <f t="shared" si="0"/>
        <v>0</v>
      </c>
      <c r="L26" s="55"/>
      <c r="M26" s="55">
        <v>0</v>
      </c>
      <c r="N26" s="55"/>
      <c r="O26" s="55">
        <v>0</v>
      </c>
      <c r="P26" s="55"/>
      <c r="Q26" s="55">
        <v>0</v>
      </c>
      <c r="R26" s="55"/>
      <c r="S26" s="55">
        <v>0</v>
      </c>
      <c r="T26" s="55"/>
      <c r="U26" s="55">
        <f t="shared" si="2"/>
        <v>0</v>
      </c>
      <c r="V26" s="55">
        <f t="shared" si="10"/>
        <v>0</v>
      </c>
      <c r="W26" s="55"/>
      <c r="X26" s="30" t="s">
        <v>186</v>
      </c>
      <c r="Y26" s="55"/>
      <c r="Z26" s="55">
        <v>0</v>
      </c>
      <c r="AA26" s="55"/>
      <c r="AB26" s="55">
        <v>0</v>
      </c>
      <c r="AC26" s="55"/>
      <c r="AD26" s="55">
        <v>0</v>
      </c>
      <c r="AE26" s="55"/>
      <c r="AF26" s="55">
        <f t="shared" si="3"/>
        <v>0</v>
      </c>
      <c r="AG26" s="55"/>
      <c r="AH26" s="55">
        <v>0</v>
      </c>
      <c r="AI26" s="55"/>
      <c r="AJ26" s="55">
        <v>0</v>
      </c>
      <c r="AK26" s="55"/>
      <c r="AL26" s="55">
        <v>0</v>
      </c>
      <c r="AM26" s="55"/>
      <c r="AN26" s="55">
        <v>0</v>
      </c>
      <c r="AO26" s="55"/>
      <c r="AP26" s="55">
        <f t="shared" si="4"/>
        <v>0</v>
      </c>
      <c r="AQ26" s="55"/>
      <c r="AR26" s="55">
        <v>0</v>
      </c>
      <c r="AS26" s="55"/>
      <c r="AT26" s="55">
        <v>0</v>
      </c>
      <c r="AU26" s="55"/>
      <c r="AV26" s="55">
        <f t="shared" si="5"/>
        <v>0</v>
      </c>
      <c r="AW26" s="55"/>
      <c r="AX26" s="30" t="s">
        <v>186</v>
      </c>
      <c r="AY26" s="55"/>
      <c r="AZ26" s="55">
        <v>0</v>
      </c>
      <c r="BA26" s="55"/>
      <c r="BB26" s="55">
        <v>0</v>
      </c>
      <c r="BC26" s="55"/>
      <c r="BD26" s="55">
        <v>0</v>
      </c>
      <c r="BE26" s="55"/>
      <c r="BF26" s="55">
        <v>0</v>
      </c>
      <c r="BG26" s="55"/>
      <c r="BH26" s="55"/>
      <c r="BI26" s="55"/>
      <c r="BJ26" s="51">
        <f t="shared" si="6"/>
        <v>0</v>
      </c>
    </row>
    <row r="27" spans="1:62" s="26" customFormat="1" ht="12" hidden="1">
      <c r="A27" s="30" t="s">
        <v>25</v>
      </c>
      <c r="B27" s="30"/>
      <c r="C27" s="55">
        <f t="shared" si="1"/>
        <v>0</v>
      </c>
      <c r="D27" s="55"/>
      <c r="E27" s="55">
        <v>0</v>
      </c>
      <c r="F27" s="55"/>
      <c r="G27" s="55">
        <v>0</v>
      </c>
      <c r="H27" s="55"/>
      <c r="I27" s="55">
        <f t="shared" si="9"/>
        <v>0</v>
      </c>
      <c r="J27" s="55"/>
      <c r="K27" s="55">
        <f t="shared" si="0"/>
        <v>0</v>
      </c>
      <c r="L27" s="55"/>
      <c r="M27" s="55">
        <v>0</v>
      </c>
      <c r="N27" s="55"/>
      <c r="O27" s="55">
        <v>0</v>
      </c>
      <c r="P27" s="55"/>
      <c r="Q27" s="55">
        <v>0</v>
      </c>
      <c r="R27" s="55"/>
      <c r="S27" s="55">
        <v>0</v>
      </c>
      <c r="T27" s="55"/>
      <c r="U27" s="55">
        <f t="shared" si="2"/>
        <v>0</v>
      </c>
      <c r="V27" s="55">
        <f t="shared" si="10"/>
        <v>0</v>
      </c>
      <c r="W27" s="55"/>
      <c r="X27" s="30" t="s">
        <v>25</v>
      </c>
      <c r="Y27" s="55"/>
      <c r="Z27" s="55">
        <v>0</v>
      </c>
      <c r="AA27" s="55"/>
      <c r="AB27" s="55">
        <v>0</v>
      </c>
      <c r="AC27" s="55"/>
      <c r="AD27" s="55">
        <v>0</v>
      </c>
      <c r="AE27" s="55"/>
      <c r="AF27" s="55">
        <f t="shared" si="3"/>
        <v>0</v>
      </c>
      <c r="AG27" s="55"/>
      <c r="AH27" s="55">
        <v>0</v>
      </c>
      <c r="AI27" s="55"/>
      <c r="AJ27" s="55">
        <v>0</v>
      </c>
      <c r="AK27" s="55"/>
      <c r="AL27" s="55">
        <v>0</v>
      </c>
      <c r="AM27" s="55"/>
      <c r="AN27" s="55">
        <v>0</v>
      </c>
      <c r="AO27" s="55"/>
      <c r="AP27" s="55">
        <f t="shared" si="4"/>
        <v>0</v>
      </c>
      <c r="AQ27" s="55"/>
      <c r="AR27" s="55">
        <v>0</v>
      </c>
      <c r="AS27" s="55"/>
      <c r="AT27" s="55">
        <v>0</v>
      </c>
      <c r="AU27" s="55"/>
      <c r="AV27" s="55">
        <f t="shared" si="5"/>
        <v>0</v>
      </c>
      <c r="AW27" s="55"/>
      <c r="AX27" s="30" t="s">
        <v>25</v>
      </c>
      <c r="AY27" s="55"/>
      <c r="AZ27" s="55">
        <v>0</v>
      </c>
      <c r="BA27" s="55"/>
      <c r="BB27" s="55">
        <v>0</v>
      </c>
      <c r="BC27" s="55"/>
      <c r="BD27" s="55">
        <v>0</v>
      </c>
      <c r="BE27" s="55"/>
      <c r="BF27" s="55">
        <v>0</v>
      </c>
      <c r="BG27" s="55"/>
      <c r="BH27" s="55"/>
      <c r="BI27" s="55"/>
      <c r="BJ27" s="51">
        <f t="shared" si="6"/>
        <v>0</v>
      </c>
    </row>
    <row r="28" spans="1:62" s="26" customFormat="1" ht="12" hidden="1">
      <c r="A28" s="30" t="s">
        <v>26</v>
      </c>
      <c r="B28" s="30"/>
      <c r="C28" s="55">
        <f t="shared" si="1"/>
        <v>0</v>
      </c>
      <c r="D28" s="55"/>
      <c r="E28" s="55">
        <v>0</v>
      </c>
      <c r="F28" s="55"/>
      <c r="G28" s="55">
        <v>0</v>
      </c>
      <c r="H28" s="55"/>
      <c r="I28" s="55">
        <f t="shared" si="9"/>
        <v>0</v>
      </c>
      <c r="J28" s="55"/>
      <c r="K28" s="55">
        <f t="shared" si="0"/>
        <v>0</v>
      </c>
      <c r="L28" s="55"/>
      <c r="M28" s="55">
        <v>0</v>
      </c>
      <c r="N28" s="55"/>
      <c r="O28" s="55">
        <v>0</v>
      </c>
      <c r="P28" s="55"/>
      <c r="Q28" s="55">
        <v>0</v>
      </c>
      <c r="R28" s="55"/>
      <c r="S28" s="55">
        <v>0</v>
      </c>
      <c r="T28" s="55"/>
      <c r="U28" s="55">
        <f t="shared" si="2"/>
        <v>0</v>
      </c>
      <c r="V28" s="55">
        <f t="shared" si="10"/>
        <v>0</v>
      </c>
      <c r="W28" s="55"/>
      <c r="X28" s="30" t="s">
        <v>26</v>
      </c>
      <c r="Y28" s="55"/>
      <c r="Z28" s="55">
        <v>0</v>
      </c>
      <c r="AA28" s="55"/>
      <c r="AB28" s="55">
        <v>0</v>
      </c>
      <c r="AC28" s="55"/>
      <c r="AD28" s="55">
        <v>0</v>
      </c>
      <c r="AE28" s="55"/>
      <c r="AF28" s="55">
        <f t="shared" si="3"/>
        <v>0</v>
      </c>
      <c r="AG28" s="55"/>
      <c r="AH28" s="55">
        <v>0</v>
      </c>
      <c r="AI28" s="55"/>
      <c r="AJ28" s="55">
        <v>0</v>
      </c>
      <c r="AK28" s="55"/>
      <c r="AL28" s="55">
        <v>0</v>
      </c>
      <c r="AM28" s="55"/>
      <c r="AN28" s="55">
        <v>0</v>
      </c>
      <c r="AO28" s="55"/>
      <c r="AP28" s="55">
        <f t="shared" si="4"/>
        <v>0</v>
      </c>
      <c r="AQ28" s="55"/>
      <c r="AR28" s="55">
        <v>0</v>
      </c>
      <c r="AS28" s="55"/>
      <c r="AT28" s="55">
        <v>0</v>
      </c>
      <c r="AU28" s="55"/>
      <c r="AV28" s="55">
        <f t="shared" si="5"/>
        <v>0</v>
      </c>
      <c r="AW28" s="55"/>
      <c r="AX28" s="30" t="s">
        <v>26</v>
      </c>
      <c r="AY28" s="55"/>
      <c r="AZ28" s="55">
        <v>0</v>
      </c>
      <c r="BA28" s="55"/>
      <c r="BB28" s="55">
        <v>0</v>
      </c>
      <c r="BC28" s="55"/>
      <c r="BD28" s="55">
        <v>0</v>
      </c>
      <c r="BE28" s="55"/>
      <c r="BF28" s="55">
        <v>0</v>
      </c>
      <c r="BG28" s="55"/>
      <c r="BH28" s="55"/>
      <c r="BI28" s="55"/>
      <c r="BJ28" s="51">
        <f t="shared" si="6"/>
        <v>0</v>
      </c>
    </row>
    <row r="29" spans="1:62" s="26" customFormat="1" ht="12" hidden="1">
      <c r="A29" s="30" t="s">
        <v>27</v>
      </c>
      <c r="B29" s="30"/>
      <c r="C29" s="55">
        <f t="shared" si="1"/>
        <v>0</v>
      </c>
      <c r="D29" s="55"/>
      <c r="E29" s="55">
        <v>0</v>
      </c>
      <c r="F29" s="55"/>
      <c r="G29" s="55">
        <v>0</v>
      </c>
      <c r="H29" s="55"/>
      <c r="I29" s="55">
        <f t="shared" si="9"/>
        <v>0</v>
      </c>
      <c r="J29" s="55"/>
      <c r="K29" s="55">
        <f t="shared" si="0"/>
        <v>0</v>
      </c>
      <c r="L29" s="55"/>
      <c r="M29" s="55">
        <v>0</v>
      </c>
      <c r="N29" s="55"/>
      <c r="O29" s="55">
        <v>0</v>
      </c>
      <c r="P29" s="55"/>
      <c r="Q29" s="55">
        <v>0</v>
      </c>
      <c r="R29" s="55"/>
      <c r="S29" s="55">
        <v>0</v>
      </c>
      <c r="T29" s="55"/>
      <c r="U29" s="55">
        <f t="shared" si="2"/>
        <v>0</v>
      </c>
      <c r="V29" s="55">
        <f t="shared" si="10"/>
        <v>0</v>
      </c>
      <c r="W29" s="55"/>
      <c r="X29" s="30" t="s">
        <v>27</v>
      </c>
      <c r="Y29" s="55"/>
      <c r="Z29" s="55">
        <v>0</v>
      </c>
      <c r="AA29" s="55"/>
      <c r="AB29" s="55">
        <v>0</v>
      </c>
      <c r="AC29" s="55"/>
      <c r="AD29" s="55">
        <v>0</v>
      </c>
      <c r="AE29" s="55"/>
      <c r="AF29" s="55">
        <f t="shared" si="3"/>
        <v>0</v>
      </c>
      <c r="AG29" s="55"/>
      <c r="AH29" s="55">
        <v>0</v>
      </c>
      <c r="AI29" s="55"/>
      <c r="AJ29" s="55">
        <v>0</v>
      </c>
      <c r="AK29" s="55"/>
      <c r="AL29" s="55">
        <v>0</v>
      </c>
      <c r="AM29" s="55"/>
      <c r="AN29" s="55">
        <v>0</v>
      </c>
      <c r="AO29" s="55"/>
      <c r="AP29" s="55">
        <f t="shared" si="4"/>
        <v>0</v>
      </c>
      <c r="AQ29" s="55"/>
      <c r="AR29" s="55">
        <v>0</v>
      </c>
      <c r="AS29" s="55"/>
      <c r="AT29" s="55">
        <v>0</v>
      </c>
      <c r="AU29" s="55"/>
      <c r="AV29" s="55">
        <f t="shared" si="5"/>
        <v>0</v>
      </c>
      <c r="AW29" s="55"/>
      <c r="AX29" s="30" t="s">
        <v>27</v>
      </c>
      <c r="AY29" s="55"/>
      <c r="AZ29" s="55">
        <v>0</v>
      </c>
      <c r="BA29" s="55"/>
      <c r="BB29" s="55">
        <v>0</v>
      </c>
      <c r="BC29" s="55"/>
      <c r="BD29" s="55">
        <v>0</v>
      </c>
      <c r="BE29" s="55"/>
      <c r="BF29" s="55">
        <v>0</v>
      </c>
      <c r="BG29" s="55"/>
      <c r="BH29" s="55"/>
      <c r="BI29" s="55"/>
      <c r="BJ29" s="51">
        <f t="shared" si="6"/>
        <v>0</v>
      </c>
    </row>
    <row r="30" spans="1:62" s="26" customFormat="1" ht="12" hidden="1">
      <c r="A30" s="30" t="s">
        <v>28</v>
      </c>
      <c r="B30" s="30"/>
      <c r="C30" s="55">
        <f t="shared" si="1"/>
        <v>0</v>
      </c>
      <c r="D30" s="55"/>
      <c r="E30" s="55">
        <v>0</v>
      </c>
      <c r="F30" s="55"/>
      <c r="G30" s="55">
        <v>0</v>
      </c>
      <c r="H30" s="55"/>
      <c r="I30" s="55">
        <f t="shared" si="9"/>
        <v>0</v>
      </c>
      <c r="J30" s="55"/>
      <c r="K30" s="55">
        <f t="shared" si="0"/>
        <v>0</v>
      </c>
      <c r="L30" s="55"/>
      <c r="M30" s="55">
        <v>0</v>
      </c>
      <c r="N30" s="55"/>
      <c r="O30" s="55">
        <v>0</v>
      </c>
      <c r="P30" s="55"/>
      <c r="Q30" s="55">
        <v>0</v>
      </c>
      <c r="R30" s="55"/>
      <c r="S30" s="55">
        <v>0</v>
      </c>
      <c r="T30" s="55"/>
      <c r="U30" s="55">
        <f t="shared" si="2"/>
        <v>0</v>
      </c>
      <c r="V30" s="55">
        <f t="shared" si="10"/>
        <v>0</v>
      </c>
      <c r="W30" s="55"/>
      <c r="X30" s="30" t="s">
        <v>28</v>
      </c>
      <c r="Y30" s="55"/>
      <c r="Z30" s="55">
        <v>0</v>
      </c>
      <c r="AA30" s="55"/>
      <c r="AB30" s="55">
        <v>0</v>
      </c>
      <c r="AC30" s="55"/>
      <c r="AD30" s="55">
        <v>0</v>
      </c>
      <c r="AE30" s="55"/>
      <c r="AF30" s="55">
        <f t="shared" si="3"/>
        <v>0</v>
      </c>
      <c r="AG30" s="55"/>
      <c r="AH30" s="55">
        <v>0</v>
      </c>
      <c r="AI30" s="55"/>
      <c r="AJ30" s="55">
        <v>0</v>
      </c>
      <c r="AK30" s="55"/>
      <c r="AL30" s="55">
        <v>0</v>
      </c>
      <c r="AM30" s="55"/>
      <c r="AN30" s="55">
        <v>0</v>
      </c>
      <c r="AO30" s="55"/>
      <c r="AP30" s="55">
        <f t="shared" si="4"/>
        <v>0</v>
      </c>
      <c r="AQ30" s="55"/>
      <c r="AR30" s="55">
        <v>0</v>
      </c>
      <c r="AS30" s="55"/>
      <c r="AT30" s="55">
        <v>0</v>
      </c>
      <c r="AU30" s="55"/>
      <c r="AV30" s="55">
        <f t="shared" si="5"/>
        <v>0</v>
      </c>
      <c r="AW30" s="55"/>
      <c r="AX30" s="30" t="s">
        <v>28</v>
      </c>
      <c r="AY30" s="55"/>
      <c r="AZ30" s="55">
        <v>0</v>
      </c>
      <c r="BA30" s="55"/>
      <c r="BB30" s="55">
        <v>0</v>
      </c>
      <c r="BC30" s="55"/>
      <c r="BD30" s="55">
        <v>0</v>
      </c>
      <c r="BE30" s="55"/>
      <c r="BF30" s="55">
        <v>0</v>
      </c>
      <c r="BG30" s="55"/>
      <c r="BH30" s="55"/>
      <c r="BI30" s="55"/>
      <c r="BJ30" s="51">
        <f t="shared" si="6"/>
        <v>0</v>
      </c>
    </row>
    <row r="31" spans="1:62" s="26" customFormat="1" ht="12">
      <c r="A31" s="30" t="s">
        <v>29</v>
      </c>
      <c r="B31" s="30"/>
      <c r="C31" s="55">
        <f t="shared" si="1"/>
        <v>3453185</v>
      </c>
      <c r="D31" s="55"/>
      <c r="E31" s="55">
        <v>42566752</v>
      </c>
      <c r="F31" s="55"/>
      <c r="G31" s="55">
        <v>46019937</v>
      </c>
      <c r="H31" s="55"/>
      <c r="I31" s="55">
        <f t="shared" si="9"/>
        <v>2338649</v>
      </c>
      <c r="J31" s="55"/>
      <c r="K31" s="55">
        <f t="shared" si="0"/>
        <v>31104879</v>
      </c>
      <c r="L31" s="55"/>
      <c r="M31" s="55">
        <v>33443528</v>
      </c>
      <c r="N31" s="55"/>
      <c r="O31" s="55">
        <v>10651361</v>
      </c>
      <c r="P31" s="55"/>
      <c r="Q31" s="55">
        <v>0</v>
      </c>
      <c r="R31" s="55"/>
      <c r="S31" s="55">
        <v>1925048</v>
      </c>
      <c r="T31" s="55"/>
      <c r="U31" s="55">
        <f t="shared" si="2"/>
        <v>12576409</v>
      </c>
      <c r="V31" s="55">
        <f t="shared" si="10"/>
        <v>0</v>
      </c>
      <c r="W31" s="55"/>
      <c r="X31" s="30" t="s">
        <v>29</v>
      </c>
      <c r="Y31" s="55"/>
      <c r="Z31" s="55">
        <v>7217453</v>
      </c>
      <c r="AA31" s="55"/>
      <c r="AB31" s="55">
        <f>7092655-1252319</f>
        <v>5840336</v>
      </c>
      <c r="AC31" s="55"/>
      <c r="AD31" s="55">
        <v>1252319</v>
      </c>
      <c r="AE31" s="55"/>
      <c r="AF31" s="55">
        <f t="shared" si="3"/>
        <v>124798</v>
      </c>
      <c r="AG31" s="55"/>
      <c r="AH31" s="55">
        <v>-653749</v>
      </c>
      <c r="AI31" s="55"/>
      <c r="AJ31" s="55">
        <v>47915</v>
      </c>
      <c r="AK31" s="55"/>
      <c r="AL31" s="55">
        <v>-24104</v>
      </c>
      <c r="AM31" s="55"/>
      <c r="AN31" s="55">
        <v>0</v>
      </c>
      <c r="AO31" s="55"/>
      <c r="AP31" s="55">
        <f t="shared" si="4"/>
        <v>-456932</v>
      </c>
      <c r="AQ31" s="55"/>
      <c r="AR31" s="55">
        <v>0</v>
      </c>
      <c r="AS31" s="55"/>
      <c r="AT31" s="55">
        <v>0</v>
      </c>
      <c r="AU31" s="55"/>
      <c r="AV31" s="55">
        <f t="shared" si="5"/>
        <v>1114536</v>
      </c>
      <c r="AW31" s="55"/>
      <c r="AX31" s="30" t="s">
        <v>29</v>
      </c>
      <c r="AY31" s="55"/>
      <c r="AZ31" s="55">
        <v>7530302</v>
      </c>
      <c r="BA31" s="55"/>
      <c r="BB31" s="55">
        <v>0</v>
      </c>
      <c r="BC31" s="55"/>
      <c r="BD31" s="55">
        <f>23478934+95643</f>
        <v>23574577</v>
      </c>
      <c r="BE31" s="55"/>
      <c r="BF31" s="55">
        <v>0</v>
      </c>
      <c r="BG31" s="55"/>
      <c r="BH31" s="55"/>
      <c r="BI31" s="55"/>
      <c r="BJ31" s="51">
        <f t="shared" si="6"/>
        <v>31104879</v>
      </c>
    </row>
    <row r="32" spans="1:62" s="26" customFormat="1" ht="12">
      <c r="A32" s="30" t="s">
        <v>30</v>
      </c>
      <c r="B32" s="30"/>
      <c r="C32" s="55">
        <f t="shared" si="1"/>
        <v>3812136</v>
      </c>
      <c r="D32" s="55"/>
      <c r="E32" s="55">
        <v>27925904</v>
      </c>
      <c r="F32" s="55"/>
      <c r="G32" s="55">
        <v>31738040</v>
      </c>
      <c r="H32" s="55"/>
      <c r="I32" s="55">
        <f t="shared" si="9"/>
        <v>966337</v>
      </c>
      <c r="J32" s="55"/>
      <c r="K32" s="55">
        <f t="shared" si="0"/>
        <v>11659392</v>
      </c>
      <c r="L32" s="55"/>
      <c r="M32" s="55">
        <v>12625729</v>
      </c>
      <c r="N32" s="55"/>
      <c r="O32" s="55">
        <v>15870355</v>
      </c>
      <c r="P32" s="55"/>
      <c r="Q32" s="55">
        <v>0</v>
      </c>
      <c r="R32" s="55"/>
      <c r="S32" s="55">
        <v>3241956</v>
      </c>
      <c r="T32" s="55"/>
      <c r="U32" s="55">
        <f t="shared" si="2"/>
        <v>19112311</v>
      </c>
      <c r="V32" s="55">
        <f t="shared" si="10"/>
        <v>0</v>
      </c>
      <c r="W32" s="55"/>
      <c r="X32" s="30" t="s">
        <v>30</v>
      </c>
      <c r="Y32" s="55"/>
      <c r="Z32" s="55">
        <v>2200479</v>
      </c>
      <c r="AA32" s="55"/>
      <c r="AB32" s="55">
        <f>1986178-791591</f>
        <v>1194587</v>
      </c>
      <c r="AC32" s="55"/>
      <c r="AD32" s="55">
        <v>791591</v>
      </c>
      <c r="AE32" s="55"/>
      <c r="AF32" s="55">
        <f t="shared" si="3"/>
        <v>214301</v>
      </c>
      <c r="AG32" s="55"/>
      <c r="AH32" s="55">
        <v>-462322</v>
      </c>
      <c r="AI32" s="55"/>
      <c r="AJ32" s="55">
        <v>0</v>
      </c>
      <c r="AK32" s="55"/>
      <c r="AL32" s="55">
        <v>0</v>
      </c>
      <c r="AM32" s="55"/>
      <c r="AN32" s="55">
        <v>0</v>
      </c>
      <c r="AO32" s="55"/>
      <c r="AP32" s="55">
        <f t="shared" si="4"/>
        <v>-248021</v>
      </c>
      <c r="AQ32" s="55"/>
      <c r="AR32" s="55">
        <v>0</v>
      </c>
      <c r="AS32" s="55"/>
      <c r="AT32" s="55">
        <v>0</v>
      </c>
      <c r="AU32" s="55"/>
      <c r="AV32" s="55">
        <f t="shared" si="5"/>
        <v>2845799</v>
      </c>
      <c r="AW32" s="55"/>
      <c r="AX32" s="30" t="s">
        <v>30</v>
      </c>
      <c r="AY32" s="55"/>
      <c r="AZ32" s="55">
        <v>10921300</v>
      </c>
      <c r="BA32" s="55"/>
      <c r="BB32" s="55">
        <v>0</v>
      </c>
      <c r="BC32" s="55"/>
      <c r="BD32" s="55">
        <v>0</v>
      </c>
      <c r="BE32" s="55"/>
      <c r="BF32" s="55">
        <f>11491+700000+26601</f>
        <v>738092</v>
      </c>
      <c r="BG32" s="55"/>
      <c r="BH32" s="55"/>
      <c r="BI32" s="55"/>
      <c r="BJ32" s="51">
        <f t="shared" si="6"/>
        <v>11659392</v>
      </c>
    </row>
    <row r="33" spans="1:62" s="26" customFormat="1" ht="12" hidden="1">
      <c r="A33" s="30" t="s">
        <v>31</v>
      </c>
      <c r="B33" s="30"/>
      <c r="C33" s="55">
        <f t="shared" si="1"/>
        <v>0</v>
      </c>
      <c r="D33" s="55"/>
      <c r="E33" s="55">
        <v>0</v>
      </c>
      <c r="F33" s="55"/>
      <c r="G33" s="55">
        <v>0</v>
      </c>
      <c r="H33" s="55"/>
      <c r="I33" s="55">
        <f t="shared" si="9"/>
        <v>0</v>
      </c>
      <c r="J33" s="55"/>
      <c r="K33" s="55">
        <f t="shared" si="0"/>
        <v>0</v>
      </c>
      <c r="L33" s="55"/>
      <c r="M33" s="55">
        <v>0</v>
      </c>
      <c r="N33" s="55"/>
      <c r="O33" s="55">
        <v>0</v>
      </c>
      <c r="P33" s="55"/>
      <c r="Q33" s="55">
        <v>0</v>
      </c>
      <c r="R33" s="55"/>
      <c r="S33" s="55">
        <v>0</v>
      </c>
      <c r="T33" s="55"/>
      <c r="U33" s="55">
        <f t="shared" si="2"/>
        <v>0</v>
      </c>
      <c r="V33" s="55">
        <f t="shared" si="10"/>
        <v>0</v>
      </c>
      <c r="W33" s="55"/>
      <c r="X33" s="30" t="s">
        <v>31</v>
      </c>
      <c r="Y33" s="55"/>
      <c r="Z33" s="55">
        <v>0</v>
      </c>
      <c r="AA33" s="55"/>
      <c r="AB33" s="55">
        <v>0</v>
      </c>
      <c r="AC33" s="55"/>
      <c r="AD33" s="55">
        <v>0</v>
      </c>
      <c r="AE33" s="55"/>
      <c r="AF33" s="55">
        <f t="shared" si="3"/>
        <v>0</v>
      </c>
      <c r="AG33" s="55"/>
      <c r="AH33" s="55">
        <v>0</v>
      </c>
      <c r="AI33" s="55"/>
      <c r="AJ33" s="55">
        <v>0</v>
      </c>
      <c r="AK33" s="55"/>
      <c r="AL33" s="55">
        <v>0</v>
      </c>
      <c r="AM33" s="55"/>
      <c r="AN33" s="55">
        <v>0</v>
      </c>
      <c r="AO33" s="55"/>
      <c r="AP33" s="55">
        <f t="shared" si="4"/>
        <v>0</v>
      </c>
      <c r="AQ33" s="55"/>
      <c r="AR33" s="55">
        <v>0</v>
      </c>
      <c r="AS33" s="55"/>
      <c r="AT33" s="55">
        <v>0</v>
      </c>
      <c r="AU33" s="55"/>
      <c r="AV33" s="55">
        <f t="shared" si="5"/>
        <v>0</v>
      </c>
      <c r="AW33" s="55"/>
      <c r="AX33" s="30" t="s">
        <v>31</v>
      </c>
      <c r="AY33" s="55"/>
      <c r="AZ33" s="55">
        <v>0</v>
      </c>
      <c r="BA33" s="55"/>
      <c r="BB33" s="55">
        <v>0</v>
      </c>
      <c r="BC33" s="55"/>
      <c r="BD33" s="55">
        <v>0</v>
      </c>
      <c r="BE33" s="55"/>
      <c r="BF33" s="55">
        <v>0</v>
      </c>
      <c r="BG33" s="55"/>
      <c r="BH33" s="55"/>
      <c r="BI33" s="55"/>
      <c r="BJ33" s="51">
        <f t="shared" si="6"/>
        <v>0</v>
      </c>
    </row>
    <row r="34" spans="1:62" s="26" customFormat="1" ht="12" hidden="1">
      <c r="A34" s="30" t="s">
        <v>32</v>
      </c>
      <c r="B34" s="30"/>
      <c r="C34" s="55">
        <f t="shared" si="1"/>
        <v>0</v>
      </c>
      <c r="D34" s="55"/>
      <c r="E34" s="55">
        <v>0</v>
      </c>
      <c r="F34" s="55"/>
      <c r="G34" s="55">
        <v>0</v>
      </c>
      <c r="H34" s="55"/>
      <c r="I34" s="55">
        <f t="shared" si="9"/>
        <v>0</v>
      </c>
      <c r="J34" s="55"/>
      <c r="K34" s="55">
        <f t="shared" si="0"/>
        <v>0</v>
      </c>
      <c r="L34" s="55"/>
      <c r="M34" s="55">
        <v>0</v>
      </c>
      <c r="N34" s="55"/>
      <c r="O34" s="55">
        <v>0</v>
      </c>
      <c r="P34" s="55"/>
      <c r="Q34" s="55">
        <v>0</v>
      </c>
      <c r="R34" s="55"/>
      <c r="S34" s="55">
        <v>0</v>
      </c>
      <c r="T34" s="55"/>
      <c r="U34" s="55">
        <f t="shared" si="2"/>
        <v>0</v>
      </c>
      <c r="V34" s="55">
        <f t="shared" si="10"/>
        <v>0</v>
      </c>
      <c r="W34" s="55"/>
      <c r="X34" s="30" t="s">
        <v>32</v>
      </c>
      <c r="Y34" s="55"/>
      <c r="Z34" s="55">
        <v>0</v>
      </c>
      <c r="AA34" s="55"/>
      <c r="AB34" s="55">
        <v>0</v>
      </c>
      <c r="AC34" s="55"/>
      <c r="AD34" s="55">
        <v>0</v>
      </c>
      <c r="AE34" s="55"/>
      <c r="AF34" s="55">
        <f t="shared" si="3"/>
        <v>0</v>
      </c>
      <c r="AG34" s="55"/>
      <c r="AH34" s="55">
        <v>0</v>
      </c>
      <c r="AI34" s="55"/>
      <c r="AJ34" s="55">
        <v>0</v>
      </c>
      <c r="AK34" s="55"/>
      <c r="AL34" s="55">
        <v>0</v>
      </c>
      <c r="AM34" s="55"/>
      <c r="AN34" s="55">
        <v>0</v>
      </c>
      <c r="AO34" s="55"/>
      <c r="AP34" s="55">
        <f t="shared" si="4"/>
        <v>0</v>
      </c>
      <c r="AQ34" s="55"/>
      <c r="AR34" s="55">
        <v>0</v>
      </c>
      <c r="AS34" s="55"/>
      <c r="AT34" s="55">
        <v>0</v>
      </c>
      <c r="AU34" s="55"/>
      <c r="AV34" s="55">
        <f t="shared" si="5"/>
        <v>0</v>
      </c>
      <c r="AW34" s="55"/>
      <c r="AX34" s="30" t="s">
        <v>32</v>
      </c>
      <c r="AY34" s="55"/>
      <c r="AZ34" s="55">
        <v>0</v>
      </c>
      <c r="BA34" s="55"/>
      <c r="BB34" s="55">
        <v>0</v>
      </c>
      <c r="BC34" s="55"/>
      <c r="BD34" s="55">
        <v>0</v>
      </c>
      <c r="BE34" s="55"/>
      <c r="BF34" s="55">
        <v>0</v>
      </c>
      <c r="BG34" s="55"/>
      <c r="BH34" s="55"/>
      <c r="BI34" s="55"/>
      <c r="BJ34" s="51">
        <f t="shared" si="6"/>
        <v>0</v>
      </c>
    </row>
    <row r="35" spans="1:62" s="26" customFormat="1" ht="12">
      <c r="A35" s="30" t="s">
        <v>33</v>
      </c>
      <c r="B35" s="30"/>
      <c r="C35" s="55">
        <f t="shared" si="1"/>
        <v>2107238</v>
      </c>
      <c r="D35" s="55"/>
      <c r="E35" s="55">
        <v>15526896</v>
      </c>
      <c r="F35" s="55"/>
      <c r="G35" s="55">
        <v>17634134</v>
      </c>
      <c r="H35" s="55"/>
      <c r="I35" s="55">
        <f t="shared" si="9"/>
        <v>1144665</v>
      </c>
      <c r="J35" s="55"/>
      <c r="K35" s="55">
        <f t="shared" si="0"/>
        <v>6825701</v>
      </c>
      <c r="L35" s="55"/>
      <c r="M35" s="55">
        <v>7970366</v>
      </c>
      <c r="N35" s="55"/>
      <c r="O35" s="55">
        <v>7881557</v>
      </c>
      <c r="P35" s="55"/>
      <c r="Q35" s="55">
        <v>0</v>
      </c>
      <c r="R35" s="55"/>
      <c r="S35" s="55">
        <v>1782211</v>
      </c>
      <c r="T35" s="55"/>
      <c r="U35" s="55">
        <f t="shared" si="2"/>
        <v>9663768</v>
      </c>
      <c r="V35" s="55">
        <f t="shared" si="10"/>
        <v>0</v>
      </c>
      <c r="W35" s="55"/>
      <c r="X35" s="30" t="s">
        <v>33</v>
      </c>
      <c r="Y35" s="55"/>
      <c r="Z35" s="55">
        <v>1775076</v>
      </c>
      <c r="AA35" s="55"/>
      <c r="AB35" s="55">
        <f>2138719-389412</f>
        <v>1749307</v>
      </c>
      <c r="AC35" s="55"/>
      <c r="AD35" s="55">
        <v>389412</v>
      </c>
      <c r="AE35" s="55"/>
      <c r="AF35" s="55">
        <f t="shared" si="3"/>
        <v>-363643</v>
      </c>
      <c r="AG35" s="55"/>
      <c r="AH35" s="55">
        <v>-357714</v>
      </c>
      <c r="AI35" s="55"/>
      <c r="AJ35" s="55">
        <v>0</v>
      </c>
      <c r="AK35" s="55"/>
      <c r="AL35" s="55">
        <v>0</v>
      </c>
      <c r="AM35" s="55"/>
      <c r="AN35" s="55">
        <v>1291564</v>
      </c>
      <c r="AO35" s="55"/>
      <c r="AP35" s="55">
        <f t="shared" si="4"/>
        <v>570207</v>
      </c>
      <c r="AQ35" s="55"/>
      <c r="AR35" s="55">
        <v>0</v>
      </c>
      <c r="AS35" s="55"/>
      <c r="AT35" s="55">
        <v>0</v>
      </c>
      <c r="AU35" s="55"/>
      <c r="AV35" s="55">
        <f t="shared" si="5"/>
        <v>962573</v>
      </c>
      <c r="AW35" s="55"/>
      <c r="AX35" s="30" t="s">
        <v>33</v>
      </c>
      <c r="AY35" s="55"/>
      <c r="AZ35" s="55">
        <v>0</v>
      </c>
      <c r="BA35" s="55"/>
      <c r="BB35" s="55">
        <v>160000</v>
      </c>
      <c r="BC35" s="55"/>
      <c r="BD35" s="55">
        <v>6386982</v>
      </c>
      <c r="BE35" s="55"/>
      <c r="BF35" s="55">
        <f>1258+277461</f>
        <v>278719</v>
      </c>
      <c r="BG35" s="55"/>
      <c r="BH35" s="55"/>
      <c r="BI35" s="55"/>
      <c r="BJ35" s="51">
        <f t="shared" si="6"/>
        <v>6825701</v>
      </c>
    </row>
    <row r="36" spans="1:62" s="26" customFormat="1" ht="12" hidden="1">
      <c r="A36" s="30" t="s">
        <v>34</v>
      </c>
      <c r="B36" s="30"/>
      <c r="C36" s="55">
        <f t="shared" si="1"/>
        <v>0</v>
      </c>
      <c r="D36" s="55"/>
      <c r="E36" s="55">
        <v>0</v>
      </c>
      <c r="F36" s="55"/>
      <c r="G36" s="55">
        <v>0</v>
      </c>
      <c r="H36" s="55"/>
      <c r="I36" s="55">
        <f t="shared" si="9"/>
        <v>0</v>
      </c>
      <c r="J36" s="55"/>
      <c r="K36" s="55">
        <f t="shared" si="0"/>
        <v>0</v>
      </c>
      <c r="L36" s="55"/>
      <c r="M36" s="55">
        <v>0</v>
      </c>
      <c r="N36" s="55"/>
      <c r="O36" s="55">
        <v>0</v>
      </c>
      <c r="P36" s="55"/>
      <c r="Q36" s="55">
        <v>0</v>
      </c>
      <c r="R36" s="55"/>
      <c r="S36" s="55">
        <v>0</v>
      </c>
      <c r="T36" s="55"/>
      <c r="U36" s="55">
        <f t="shared" si="2"/>
        <v>0</v>
      </c>
      <c r="V36" s="55">
        <f t="shared" si="10"/>
        <v>0</v>
      </c>
      <c r="W36" s="55"/>
      <c r="X36" s="30" t="s">
        <v>34</v>
      </c>
      <c r="Y36" s="55"/>
      <c r="Z36" s="55">
        <v>0</v>
      </c>
      <c r="AA36" s="55"/>
      <c r="AB36" s="55">
        <v>0</v>
      </c>
      <c r="AC36" s="55"/>
      <c r="AD36" s="55">
        <v>0</v>
      </c>
      <c r="AE36" s="55"/>
      <c r="AF36" s="55">
        <f t="shared" si="3"/>
        <v>0</v>
      </c>
      <c r="AG36" s="55"/>
      <c r="AH36" s="55">
        <v>0</v>
      </c>
      <c r="AI36" s="55"/>
      <c r="AJ36" s="55">
        <v>0</v>
      </c>
      <c r="AK36" s="55"/>
      <c r="AL36" s="55">
        <v>0</v>
      </c>
      <c r="AM36" s="55"/>
      <c r="AN36" s="55">
        <v>0</v>
      </c>
      <c r="AO36" s="55"/>
      <c r="AP36" s="55">
        <f t="shared" si="4"/>
        <v>0</v>
      </c>
      <c r="AQ36" s="55"/>
      <c r="AR36" s="55">
        <v>0</v>
      </c>
      <c r="AS36" s="55"/>
      <c r="AT36" s="55">
        <v>0</v>
      </c>
      <c r="AU36" s="55"/>
      <c r="AV36" s="55">
        <f t="shared" si="5"/>
        <v>0</v>
      </c>
      <c r="AW36" s="55"/>
      <c r="AX36" s="30" t="s">
        <v>34</v>
      </c>
      <c r="AY36" s="55"/>
      <c r="AZ36" s="55">
        <v>0</v>
      </c>
      <c r="BA36" s="55"/>
      <c r="BB36" s="55">
        <v>0</v>
      </c>
      <c r="BC36" s="55"/>
      <c r="BD36" s="55">
        <v>0</v>
      </c>
      <c r="BE36" s="55"/>
      <c r="BF36" s="55">
        <v>0</v>
      </c>
      <c r="BG36" s="55"/>
      <c r="BH36" s="55"/>
      <c r="BI36" s="55"/>
      <c r="BJ36" s="51">
        <f t="shared" si="6"/>
        <v>0</v>
      </c>
    </row>
    <row r="37" spans="1:62" s="26" customFormat="1" ht="12">
      <c r="A37" s="30" t="s">
        <v>35</v>
      </c>
      <c r="B37" s="30"/>
      <c r="C37" s="55">
        <f t="shared" si="1"/>
        <v>5103034</v>
      </c>
      <c r="D37" s="55"/>
      <c r="E37" s="55">
        <v>20312561</v>
      </c>
      <c r="F37" s="55"/>
      <c r="G37" s="55">
        <v>25415595</v>
      </c>
      <c r="H37" s="55"/>
      <c r="I37" s="55">
        <f t="shared" si="9"/>
        <v>593949</v>
      </c>
      <c r="J37" s="55"/>
      <c r="K37" s="55">
        <f t="shared" si="0"/>
        <v>14450590</v>
      </c>
      <c r="L37" s="55"/>
      <c r="M37" s="55">
        <v>15044539</v>
      </c>
      <c r="N37" s="55"/>
      <c r="O37" s="55">
        <v>5675580</v>
      </c>
      <c r="P37" s="55"/>
      <c r="Q37" s="55">
        <v>0</v>
      </c>
      <c r="R37" s="55"/>
      <c r="S37" s="55">
        <v>4695476</v>
      </c>
      <c r="T37" s="55"/>
      <c r="U37" s="55">
        <f t="shared" si="2"/>
        <v>10371056</v>
      </c>
      <c r="V37" s="55">
        <f t="shared" si="10"/>
        <v>0</v>
      </c>
      <c r="W37" s="55"/>
      <c r="X37" s="30" t="s">
        <v>35</v>
      </c>
      <c r="Y37" s="55"/>
      <c r="Z37" s="55">
        <v>5744400</v>
      </c>
      <c r="AA37" s="55"/>
      <c r="AB37" s="55">
        <f>11944604-898975</f>
        <v>11045629</v>
      </c>
      <c r="AC37" s="55"/>
      <c r="AD37" s="55">
        <v>898975</v>
      </c>
      <c r="AE37" s="55"/>
      <c r="AF37" s="55">
        <f t="shared" si="3"/>
        <v>-6200204</v>
      </c>
      <c r="AG37" s="55"/>
      <c r="AH37" s="55">
        <v>-63809</v>
      </c>
      <c r="AI37" s="55"/>
      <c r="AJ37" s="55">
        <v>84000</v>
      </c>
      <c r="AK37" s="55"/>
      <c r="AL37" s="55">
        <v>68520</v>
      </c>
      <c r="AM37" s="55"/>
      <c r="AN37" s="55">
        <v>410700</v>
      </c>
      <c r="AO37" s="55"/>
      <c r="AP37" s="55">
        <f t="shared" si="4"/>
        <v>-5837833</v>
      </c>
      <c r="AQ37" s="55"/>
      <c r="AR37" s="55">
        <v>0</v>
      </c>
      <c r="AS37" s="55"/>
      <c r="AT37" s="55">
        <v>0</v>
      </c>
      <c r="AU37" s="55"/>
      <c r="AV37" s="55">
        <f t="shared" si="5"/>
        <v>4509085</v>
      </c>
      <c r="AW37" s="55"/>
      <c r="AX37" s="30" t="s">
        <v>35</v>
      </c>
      <c r="AY37" s="55"/>
      <c r="AZ37" s="55">
        <v>0</v>
      </c>
      <c r="BA37" s="55"/>
      <c r="BB37" s="55">
        <v>143000</v>
      </c>
      <c r="BC37" s="55"/>
      <c r="BD37" s="55">
        <f>13791513+341250</f>
        <v>14132763</v>
      </c>
      <c r="BE37" s="55"/>
      <c r="BF37" s="55">
        <v>174827</v>
      </c>
      <c r="BG37" s="55"/>
      <c r="BH37" s="55"/>
      <c r="BI37" s="55"/>
      <c r="BJ37" s="51">
        <f t="shared" si="6"/>
        <v>14450590</v>
      </c>
    </row>
    <row r="38" spans="1:62" s="26" customFormat="1" ht="12">
      <c r="A38" s="30" t="s">
        <v>189</v>
      </c>
      <c r="B38" s="30"/>
      <c r="C38" s="55">
        <f t="shared" si="1"/>
        <v>10925385</v>
      </c>
      <c r="D38" s="55"/>
      <c r="E38" s="55">
        <v>66946750</v>
      </c>
      <c r="F38" s="55"/>
      <c r="G38" s="55">
        <v>77872135</v>
      </c>
      <c r="H38" s="55"/>
      <c r="I38" s="55">
        <f t="shared" si="9"/>
        <v>6935983</v>
      </c>
      <c r="J38" s="55"/>
      <c r="K38" s="55">
        <f t="shared" si="0"/>
        <v>35762484</v>
      </c>
      <c r="L38" s="55"/>
      <c r="M38" s="55">
        <v>42698467</v>
      </c>
      <c r="N38" s="55"/>
      <c r="O38" s="55">
        <v>26538722</v>
      </c>
      <c r="P38" s="55"/>
      <c r="Q38" s="55">
        <v>820842</v>
      </c>
      <c r="R38" s="55"/>
      <c r="S38" s="55">
        <v>7814104</v>
      </c>
      <c r="T38" s="55"/>
      <c r="U38" s="55">
        <f t="shared" si="2"/>
        <v>35173668</v>
      </c>
      <c r="V38" s="55">
        <f t="shared" si="10"/>
        <v>0</v>
      </c>
      <c r="W38" s="55"/>
      <c r="X38" s="30" t="s">
        <v>189</v>
      </c>
      <c r="Y38" s="55"/>
      <c r="Z38" s="55">
        <v>9143719</v>
      </c>
      <c r="AA38" s="55"/>
      <c r="AB38" s="55">
        <f>5918410-1768708</f>
        <v>4149702</v>
      </c>
      <c r="AC38" s="55"/>
      <c r="AD38" s="55">
        <v>1768708</v>
      </c>
      <c r="AE38" s="55"/>
      <c r="AF38" s="55">
        <f t="shared" si="3"/>
        <v>3225309</v>
      </c>
      <c r="AG38" s="55"/>
      <c r="AH38" s="55">
        <v>-1875275</v>
      </c>
      <c r="AI38" s="55"/>
      <c r="AJ38" s="55">
        <v>56757</v>
      </c>
      <c r="AK38" s="55"/>
      <c r="AL38" s="55">
        <v>-299</v>
      </c>
      <c r="AM38" s="55"/>
      <c r="AN38" s="55">
        <v>1275825</v>
      </c>
      <c r="AO38" s="55"/>
      <c r="AP38" s="55">
        <f t="shared" si="4"/>
        <v>2682915</v>
      </c>
      <c r="AQ38" s="55"/>
      <c r="AR38" s="55">
        <v>0</v>
      </c>
      <c r="AS38" s="55"/>
      <c r="AT38" s="55">
        <v>0</v>
      </c>
      <c r="AU38" s="55"/>
      <c r="AV38" s="55">
        <f t="shared" si="5"/>
        <v>3989402</v>
      </c>
      <c r="AW38" s="55"/>
      <c r="AX38" s="30" t="s">
        <v>189</v>
      </c>
      <c r="AY38" s="55"/>
      <c r="AZ38" s="55">
        <v>4520000</v>
      </c>
      <c r="BA38" s="55"/>
      <c r="BB38" s="55">
        <f>9735000+18425365</f>
        <v>28160365</v>
      </c>
      <c r="BC38" s="55"/>
      <c r="BD38" s="55">
        <v>1651362</v>
      </c>
      <c r="BE38" s="55"/>
      <c r="BF38" s="55">
        <v>1430757</v>
      </c>
      <c r="BG38" s="55"/>
      <c r="BH38" s="55"/>
      <c r="BI38" s="55"/>
      <c r="BJ38" s="51">
        <f t="shared" si="6"/>
        <v>35762484</v>
      </c>
    </row>
    <row r="39" spans="1:62" s="26" customFormat="1" ht="12" hidden="1">
      <c r="A39" s="30" t="s">
        <v>36</v>
      </c>
      <c r="B39" s="30"/>
      <c r="C39" s="55">
        <f t="shared" si="1"/>
        <v>0</v>
      </c>
      <c r="D39" s="55"/>
      <c r="E39" s="55">
        <v>0</v>
      </c>
      <c r="F39" s="55"/>
      <c r="G39" s="55">
        <v>0</v>
      </c>
      <c r="H39" s="55"/>
      <c r="I39" s="55">
        <f t="shared" si="9"/>
        <v>0</v>
      </c>
      <c r="J39" s="55"/>
      <c r="K39" s="55">
        <f t="shared" si="0"/>
        <v>0</v>
      </c>
      <c r="L39" s="55"/>
      <c r="M39" s="55">
        <v>0</v>
      </c>
      <c r="N39" s="55"/>
      <c r="O39" s="55">
        <v>0</v>
      </c>
      <c r="P39" s="55"/>
      <c r="Q39" s="55">
        <v>0</v>
      </c>
      <c r="R39" s="55"/>
      <c r="S39" s="55">
        <v>0</v>
      </c>
      <c r="T39" s="55"/>
      <c r="U39" s="55">
        <f t="shared" si="2"/>
        <v>0</v>
      </c>
      <c r="V39" s="55">
        <f t="shared" si="10"/>
        <v>0</v>
      </c>
      <c r="W39" s="55"/>
      <c r="X39" s="30" t="s">
        <v>36</v>
      </c>
      <c r="Y39" s="55"/>
      <c r="Z39" s="55">
        <v>0</v>
      </c>
      <c r="AA39" s="55"/>
      <c r="AB39" s="55">
        <v>0</v>
      </c>
      <c r="AC39" s="55"/>
      <c r="AD39" s="55">
        <v>0</v>
      </c>
      <c r="AE39" s="55"/>
      <c r="AF39" s="55">
        <f t="shared" si="3"/>
        <v>0</v>
      </c>
      <c r="AG39" s="55"/>
      <c r="AH39" s="55">
        <v>0</v>
      </c>
      <c r="AI39" s="55"/>
      <c r="AJ39" s="55">
        <v>0</v>
      </c>
      <c r="AK39" s="55"/>
      <c r="AL39" s="55">
        <v>0</v>
      </c>
      <c r="AM39" s="55"/>
      <c r="AN39" s="55">
        <v>0</v>
      </c>
      <c r="AO39" s="55"/>
      <c r="AP39" s="55">
        <f t="shared" si="4"/>
        <v>0</v>
      </c>
      <c r="AQ39" s="55"/>
      <c r="AR39" s="55">
        <v>0</v>
      </c>
      <c r="AS39" s="55"/>
      <c r="AT39" s="55">
        <v>0</v>
      </c>
      <c r="AU39" s="55"/>
      <c r="AV39" s="55">
        <f t="shared" si="5"/>
        <v>0</v>
      </c>
      <c r="AW39" s="55"/>
      <c r="AX39" s="30" t="s">
        <v>36</v>
      </c>
      <c r="AY39" s="55"/>
      <c r="AZ39" s="55">
        <v>0</v>
      </c>
      <c r="BA39" s="55"/>
      <c r="BB39" s="55">
        <v>0</v>
      </c>
      <c r="BC39" s="55"/>
      <c r="BD39" s="55">
        <v>0</v>
      </c>
      <c r="BE39" s="55"/>
      <c r="BF39" s="55">
        <v>0</v>
      </c>
      <c r="BG39" s="55"/>
      <c r="BH39" s="55"/>
      <c r="BI39" s="55"/>
      <c r="BJ39" s="51">
        <f t="shared" si="6"/>
        <v>0</v>
      </c>
    </row>
    <row r="40" spans="1:62" s="26" customFormat="1" ht="12" hidden="1">
      <c r="A40" s="30" t="s">
        <v>37</v>
      </c>
      <c r="B40" s="30"/>
      <c r="C40" s="55">
        <f t="shared" si="1"/>
        <v>0</v>
      </c>
      <c r="D40" s="55"/>
      <c r="E40" s="55">
        <v>0</v>
      </c>
      <c r="F40" s="55"/>
      <c r="G40" s="55">
        <v>0</v>
      </c>
      <c r="H40" s="55"/>
      <c r="I40" s="55">
        <f t="shared" si="9"/>
        <v>0</v>
      </c>
      <c r="J40" s="55"/>
      <c r="K40" s="55">
        <f t="shared" si="0"/>
        <v>0</v>
      </c>
      <c r="L40" s="55"/>
      <c r="M40" s="55">
        <v>0</v>
      </c>
      <c r="N40" s="55"/>
      <c r="O40" s="55">
        <v>0</v>
      </c>
      <c r="P40" s="55"/>
      <c r="Q40" s="55">
        <v>0</v>
      </c>
      <c r="R40" s="55"/>
      <c r="S40" s="55">
        <v>0</v>
      </c>
      <c r="T40" s="55"/>
      <c r="U40" s="55">
        <f t="shared" si="2"/>
        <v>0</v>
      </c>
      <c r="V40" s="55">
        <f t="shared" si="10"/>
        <v>0</v>
      </c>
      <c r="W40" s="55"/>
      <c r="X40" s="30" t="s">
        <v>37</v>
      </c>
      <c r="Y40" s="55"/>
      <c r="Z40" s="55">
        <v>0</v>
      </c>
      <c r="AA40" s="55"/>
      <c r="AB40" s="55">
        <v>0</v>
      </c>
      <c r="AC40" s="55"/>
      <c r="AD40" s="55">
        <v>0</v>
      </c>
      <c r="AE40" s="55"/>
      <c r="AF40" s="55">
        <f t="shared" si="3"/>
        <v>0</v>
      </c>
      <c r="AG40" s="55"/>
      <c r="AH40" s="55">
        <v>0</v>
      </c>
      <c r="AI40" s="55"/>
      <c r="AJ40" s="55">
        <v>0</v>
      </c>
      <c r="AK40" s="55"/>
      <c r="AL40" s="55">
        <v>0</v>
      </c>
      <c r="AM40" s="55"/>
      <c r="AN40" s="55">
        <v>0</v>
      </c>
      <c r="AO40" s="55"/>
      <c r="AP40" s="55">
        <f t="shared" si="4"/>
        <v>0</v>
      </c>
      <c r="AQ40" s="55"/>
      <c r="AR40" s="55">
        <v>0</v>
      </c>
      <c r="AS40" s="55"/>
      <c r="AT40" s="55">
        <v>0</v>
      </c>
      <c r="AU40" s="55"/>
      <c r="AV40" s="55">
        <f t="shared" si="5"/>
        <v>0</v>
      </c>
      <c r="AW40" s="55"/>
      <c r="AX40" s="30" t="s">
        <v>37</v>
      </c>
      <c r="AY40" s="55"/>
      <c r="AZ40" s="55">
        <v>0</v>
      </c>
      <c r="BA40" s="55"/>
      <c r="BB40" s="55">
        <v>0</v>
      </c>
      <c r="BC40" s="55"/>
      <c r="BD40" s="55">
        <v>0</v>
      </c>
      <c r="BE40" s="55"/>
      <c r="BF40" s="55">
        <v>0</v>
      </c>
      <c r="BG40" s="55"/>
      <c r="BH40" s="55"/>
      <c r="BI40" s="55"/>
      <c r="BJ40" s="51">
        <f t="shared" si="6"/>
        <v>0</v>
      </c>
    </row>
    <row r="41" spans="1:62" s="26" customFormat="1" ht="12" hidden="1">
      <c r="A41" s="30" t="s">
        <v>38</v>
      </c>
      <c r="B41" s="30"/>
      <c r="C41" s="55">
        <f t="shared" si="1"/>
        <v>0</v>
      </c>
      <c r="D41" s="55"/>
      <c r="E41" s="55">
        <v>0</v>
      </c>
      <c r="F41" s="55"/>
      <c r="G41" s="55">
        <v>0</v>
      </c>
      <c r="H41" s="55"/>
      <c r="I41" s="55">
        <f t="shared" si="9"/>
        <v>0</v>
      </c>
      <c r="J41" s="55"/>
      <c r="K41" s="55">
        <f t="shared" si="0"/>
        <v>0</v>
      </c>
      <c r="L41" s="55"/>
      <c r="M41" s="55">
        <v>0</v>
      </c>
      <c r="N41" s="55"/>
      <c r="O41" s="55">
        <v>0</v>
      </c>
      <c r="P41" s="55"/>
      <c r="Q41" s="55">
        <v>0</v>
      </c>
      <c r="R41" s="55"/>
      <c r="S41" s="55">
        <v>0</v>
      </c>
      <c r="T41" s="55"/>
      <c r="U41" s="55">
        <f t="shared" si="2"/>
        <v>0</v>
      </c>
      <c r="V41" s="55">
        <f t="shared" si="10"/>
        <v>0</v>
      </c>
      <c r="W41" s="55"/>
      <c r="X41" s="30" t="s">
        <v>38</v>
      </c>
      <c r="Y41" s="55"/>
      <c r="Z41" s="55">
        <v>0</v>
      </c>
      <c r="AA41" s="55"/>
      <c r="AB41" s="55">
        <v>0</v>
      </c>
      <c r="AC41" s="55"/>
      <c r="AD41" s="55">
        <v>0</v>
      </c>
      <c r="AE41" s="55"/>
      <c r="AF41" s="55">
        <f t="shared" si="3"/>
        <v>0</v>
      </c>
      <c r="AG41" s="55"/>
      <c r="AH41" s="55">
        <v>0</v>
      </c>
      <c r="AI41" s="55"/>
      <c r="AJ41" s="55">
        <v>0</v>
      </c>
      <c r="AK41" s="55"/>
      <c r="AL41" s="55">
        <v>0</v>
      </c>
      <c r="AM41" s="55"/>
      <c r="AN41" s="55">
        <v>0</v>
      </c>
      <c r="AO41" s="55"/>
      <c r="AP41" s="55">
        <f t="shared" si="4"/>
        <v>0</v>
      </c>
      <c r="AQ41" s="55"/>
      <c r="AR41" s="55">
        <v>0</v>
      </c>
      <c r="AS41" s="55"/>
      <c r="AT41" s="55">
        <v>0</v>
      </c>
      <c r="AU41" s="55"/>
      <c r="AV41" s="55">
        <f t="shared" si="5"/>
        <v>0</v>
      </c>
      <c r="AW41" s="55"/>
      <c r="AX41" s="30" t="s">
        <v>38</v>
      </c>
      <c r="AY41" s="55"/>
      <c r="AZ41" s="55">
        <v>0</v>
      </c>
      <c r="BA41" s="55"/>
      <c r="BB41" s="55">
        <v>0</v>
      </c>
      <c r="BC41" s="55"/>
      <c r="BD41" s="55">
        <v>0</v>
      </c>
      <c r="BE41" s="55"/>
      <c r="BF41" s="55">
        <v>0</v>
      </c>
      <c r="BG41" s="55"/>
      <c r="BH41" s="55"/>
      <c r="BI41" s="55"/>
      <c r="BJ41" s="51">
        <f t="shared" si="6"/>
        <v>0</v>
      </c>
    </row>
    <row r="42" spans="1:62" s="26" customFormat="1" ht="12" hidden="1">
      <c r="A42" s="30" t="s">
        <v>172</v>
      </c>
      <c r="B42" s="30"/>
      <c r="C42" s="55">
        <f t="shared" si="1"/>
        <v>0</v>
      </c>
      <c r="D42" s="55"/>
      <c r="E42" s="55">
        <v>0</v>
      </c>
      <c r="F42" s="55"/>
      <c r="G42" s="55">
        <v>0</v>
      </c>
      <c r="H42" s="55"/>
      <c r="I42" s="55">
        <f t="shared" si="9"/>
        <v>0</v>
      </c>
      <c r="J42" s="55"/>
      <c r="K42" s="55">
        <f t="shared" si="0"/>
        <v>0</v>
      </c>
      <c r="L42" s="55"/>
      <c r="M42" s="55">
        <v>0</v>
      </c>
      <c r="N42" s="55"/>
      <c r="O42" s="55">
        <v>0</v>
      </c>
      <c r="P42" s="55"/>
      <c r="Q42" s="55">
        <v>0</v>
      </c>
      <c r="R42" s="55"/>
      <c r="S42" s="55">
        <v>0</v>
      </c>
      <c r="T42" s="55"/>
      <c r="U42" s="55">
        <f t="shared" si="2"/>
        <v>0</v>
      </c>
      <c r="V42" s="55">
        <f t="shared" si="10"/>
        <v>0</v>
      </c>
      <c r="W42" s="55"/>
      <c r="X42" s="30" t="s">
        <v>172</v>
      </c>
      <c r="Y42" s="55"/>
      <c r="Z42" s="55">
        <v>0</v>
      </c>
      <c r="AA42" s="55"/>
      <c r="AB42" s="55">
        <v>0</v>
      </c>
      <c r="AC42" s="55"/>
      <c r="AD42" s="55">
        <v>0</v>
      </c>
      <c r="AE42" s="55"/>
      <c r="AF42" s="55">
        <f t="shared" si="3"/>
        <v>0</v>
      </c>
      <c r="AG42" s="55"/>
      <c r="AH42" s="55">
        <v>0</v>
      </c>
      <c r="AI42" s="55"/>
      <c r="AJ42" s="55">
        <v>0</v>
      </c>
      <c r="AK42" s="55"/>
      <c r="AL42" s="55">
        <v>0</v>
      </c>
      <c r="AM42" s="55"/>
      <c r="AN42" s="55">
        <v>0</v>
      </c>
      <c r="AO42" s="55"/>
      <c r="AP42" s="55">
        <f t="shared" si="4"/>
        <v>0</v>
      </c>
      <c r="AQ42" s="55"/>
      <c r="AR42" s="55">
        <v>0</v>
      </c>
      <c r="AS42" s="55"/>
      <c r="AT42" s="55">
        <v>0</v>
      </c>
      <c r="AU42" s="55"/>
      <c r="AV42" s="55">
        <f t="shared" si="5"/>
        <v>0</v>
      </c>
      <c r="AW42" s="55"/>
      <c r="AX42" s="30" t="s">
        <v>172</v>
      </c>
      <c r="AY42" s="55"/>
      <c r="AZ42" s="55">
        <v>0</v>
      </c>
      <c r="BA42" s="55"/>
      <c r="BB42" s="55">
        <v>0</v>
      </c>
      <c r="BC42" s="55"/>
      <c r="BD42" s="55">
        <v>0</v>
      </c>
      <c r="BE42" s="55"/>
      <c r="BF42" s="55">
        <v>0</v>
      </c>
      <c r="BG42" s="55"/>
      <c r="BH42" s="55"/>
      <c r="BI42" s="55"/>
      <c r="BJ42" s="51">
        <f t="shared" si="6"/>
        <v>0</v>
      </c>
    </row>
    <row r="43" spans="1:62" s="26" customFormat="1" ht="12" hidden="1">
      <c r="A43" s="30" t="s">
        <v>39</v>
      </c>
      <c r="B43" s="30"/>
      <c r="C43" s="55">
        <f t="shared" si="1"/>
        <v>0</v>
      </c>
      <c r="D43" s="55"/>
      <c r="E43" s="55">
        <v>0</v>
      </c>
      <c r="F43" s="55"/>
      <c r="G43" s="55">
        <v>0</v>
      </c>
      <c r="H43" s="55"/>
      <c r="I43" s="55">
        <f t="shared" si="9"/>
        <v>0</v>
      </c>
      <c r="J43" s="55"/>
      <c r="K43" s="55">
        <f aca="true" t="shared" si="11" ref="K43:K76">SUM(BJ43)</f>
        <v>0</v>
      </c>
      <c r="L43" s="55"/>
      <c r="M43" s="55">
        <v>0</v>
      </c>
      <c r="N43" s="55"/>
      <c r="O43" s="55">
        <v>0</v>
      </c>
      <c r="P43" s="55"/>
      <c r="Q43" s="55">
        <v>0</v>
      </c>
      <c r="R43" s="55"/>
      <c r="S43" s="55">
        <v>0</v>
      </c>
      <c r="T43" s="55"/>
      <c r="U43" s="55">
        <f t="shared" si="2"/>
        <v>0</v>
      </c>
      <c r="V43" s="55">
        <f t="shared" si="10"/>
        <v>0</v>
      </c>
      <c r="W43" s="55"/>
      <c r="X43" s="30" t="s">
        <v>39</v>
      </c>
      <c r="Y43" s="55"/>
      <c r="Z43" s="55">
        <v>0</v>
      </c>
      <c r="AA43" s="55"/>
      <c r="AB43" s="55">
        <v>0</v>
      </c>
      <c r="AC43" s="55"/>
      <c r="AD43" s="55">
        <v>0</v>
      </c>
      <c r="AE43" s="55"/>
      <c r="AF43" s="55">
        <f t="shared" si="3"/>
        <v>0</v>
      </c>
      <c r="AG43" s="55"/>
      <c r="AH43" s="55">
        <v>0</v>
      </c>
      <c r="AI43" s="55"/>
      <c r="AJ43" s="55">
        <v>0</v>
      </c>
      <c r="AK43" s="55"/>
      <c r="AL43" s="55">
        <v>0</v>
      </c>
      <c r="AM43" s="55"/>
      <c r="AN43" s="55">
        <v>0</v>
      </c>
      <c r="AO43" s="55"/>
      <c r="AP43" s="55">
        <f t="shared" si="4"/>
        <v>0</v>
      </c>
      <c r="AQ43" s="55"/>
      <c r="AR43" s="55">
        <v>0</v>
      </c>
      <c r="AS43" s="55"/>
      <c r="AT43" s="55">
        <v>0</v>
      </c>
      <c r="AU43" s="55"/>
      <c r="AV43" s="55">
        <f t="shared" si="5"/>
        <v>0</v>
      </c>
      <c r="AW43" s="55"/>
      <c r="AX43" s="30" t="s">
        <v>39</v>
      </c>
      <c r="AY43" s="55"/>
      <c r="AZ43" s="55">
        <v>0</v>
      </c>
      <c r="BA43" s="55"/>
      <c r="BB43" s="55">
        <v>0</v>
      </c>
      <c r="BC43" s="55"/>
      <c r="BD43" s="55">
        <v>0</v>
      </c>
      <c r="BE43" s="55"/>
      <c r="BF43" s="55">
        <v>0</v>
      </c>
      <c r="BG43" s="55"/>
      <c r="BH43" s="55"/>
      <c r="BI43" s="55"/>
      <c r="BJ43" s="51">
        <f t="shared" si="6"/>
        <v>0</v>
      </c>
    </row>
    <row r="44" spans="1:62" s="26" customFormat="1" ht="12" hidden="1">
      <c r="A44" s="30" t="s">
        <v>40</v>
      </c>
      <c r="B44" s="30"/>
      <c r="C44" s="55">
        <f t="shared" si="1"/>
        <v>0</v>
      </c>
      <c r="D44" s="55"/>
      <c r="E44" s="55">
        <v>0</v>
      </c>
      <c r="F44" s="55"/>
      <c r="G44" s="55">
        <v>0</v>
      </c>
      <c r="H44" s="55"/>
      <c r="I44" s="55">
        <f t="shared" si="9"/>
        <v>0</v>
      </c>
      <c r="J44" s="55"/>
      <c r="K44" s="55">
        <f t="shared" si="11"/>
        <v>0</v>
      </c>
      <c r="L44" s="55"/>
      <c r="M44" s="55">
        <v>0</v>
      </c>
      <c r="N44" s="55"/>
      <c r="O44" s="55">
        <v>0</v>
      </c>
      <c r="P44" s="55"/>
      <c r="Q44" s="55">
        <v>0</v>
      </c>
      <c r="R44" s="55"/>
      <c r="S44" s="55">
        <v>0</v>
      </c>
      <c r="T44" s="55"/>
      <c r="U44" s="55">
        <f t="shared" si="2"/>
        <v>0</v>
      </c>
      <c r="V44" s="55">
        <f t="shared" si="10"/>
        <v>0</v>
      </c>
      <c r="W44" s="55"/>
      <c r="X44" s="30" t="s">
        <v>40</v>
      </c>
      <c r="Y44" s="55"/>
      <c r="Z44" s="55">
        <v>0</v>
      </c>
      <c r="AA44" s="55"/>
      <c r="AB44" s="55">
        <v>0</v>
      </c>
      <c r="AC44" s="55"/>
      <c r="AD44" s="55">
        <v>0</v>
      </c>
      <c r="AE44" s="55"/>
      <c r="AF44" s="55">
        <f t="shared" si="3"/>
        <v>0</v>
      </c>
      <c r="AG44" s="55"/>
      <c r="AH44" s="55">
        <v>0</v>
      </c>
      <c r="AI44" s="55"/>
      <c r="AJ44" s="55">
        <v>0</v>
      </c>
      <c r="AK44" s="55"/>
      <c r="AL44" s="55">
        <v>0</v>
      </c>
      <c r="AM44" s="55"/>
      <c r="AN44" s="55">
        <v>0</v>
      </c>
      <c r="AO44" s="55"/>
      <c r="AP44" s="55">
        <f t="shared" si="4"/>
        <v>0</v>
      </c>
      <c r="AQ44" s="55"/>
      <c r="AR44" s="55">
        <v>0</v>
      </c>
      <c r="AS44" s="55"/>
      <c r="AT44" s="55">
        <v>0</v>
      </c>
      <c r="AU44" s="55"/>
      <c r="AV44" s="55">
        <f t="shared" si="5"/>
        <v>0</v>
      </c>
      <c r="AW44" s="55"/>
      <c r="AX44" s="30" t="s">
        <v>40</v>
      </c>
      <c r="AY44" s="55"/>
      <c r="AZ44" s="55">
        <v>0</v>
      </c>
      <c r="BA44" s="55"/>
      <c r="BB44" s="55">
        <v>0</v>
      </c>
      <c r="BC44" s="55"/>
      <c r="BD44" s="55">
        <v>0</v>
      </c>
      <c r="BE44" s="55"/>
      <c r="BF44" s="55">
        <v>0</v>
      </c>
      <c r="BG44" s="55"/>
      <c r="BH44" s="55"/>
      <c r="BI44" s="55"/>
      <c r="BJ44" s="51">
        <f t="shared" si="6"/>
        <v>0</v>
      </c>
    </row>
    <row r="45" spans="1:62" s="26" customFormat="1" ht="12" hidden="1">
      <c r="A45" s="30" t="s">
        <v>41</v>
      </c>
      <c r="B45" s="30"/>
      <c r="C45" s="55">
        <f t="shared" si="1"/>
        <v>0</v>
      </c>
      <c r="D45" s="55"/>
      <c r="E45" s="55">
        <v>0</v>
      </c>
      <c r="F45" s="55"/>
      <c r="G45" s="55">
        <v>0</v>
      </c>
      <c r="H45" s="55"/>
      <c r="I45" s="55">
        <f t="shared" si="9"/>
        <v>0</v>
      </c>
      <c r="J45" s="55"/>
      <c r="K45" s="55">
        <f t="shared" si="11"/>
        <v>0</v>
      </c>
      <c r="L45" s="55"/>
      <c r="M45" s="55">
        <v>0</v>
      </c>
      <c r="N45" s="55"/>
      <c r="O45" s="55">
        <v>0</v>
      </c>
      <c r="P45" s="55"/>
      <c r="Q45" s="55">
        <v>0</v>
      </c>
      <c r="R45" s="55"/>
      <c r="S45" s="55">
        <v>0</v>
      </c>
      <c r="T45" s="55"/>
      <c r="U45" s="55">
        <f t="shared" si="2"/>
        <v>0</v>
      </c>
      <c r="V45" s="55">
        <f t="shared" si="10"/>
        <v>0</v>
      </c>
      <c r="W45" s="55"/>
      <c r="X45" s="30" t="s">
        <v>41</v>
      </c>
      <c r="Y45" s="55"/>
      <c r="Z45" s="55">
        <v>0</v>
      </c>
      <c r="AA45" s="55"/>
      <c r="AB45" s="55">
        <v>0</v>
      </c>
      <c r="AC45" s="55"/>
      <c r="AD45" s="55">
        <v>0</v>
      </c>
      <c r="AE45" s="55"/>
      <c r="AF45" s="55">
        <f t="shared" si="3"/>
        <v>0</v>
      </c>
      <c r="AG45" s="55"/>
      <c r="AH45" s="55">
        <v>0</v>
      </c>
      <c r="AI45" s="55"/>
      <c r="AJ45" s="55">
        <v>0</v>
      </c>
      <c r="AK45" s="55"/>
      <c r="AL45" s="55">
        <v>0</v>
      </c>
      <c r="AM45" s="55"/>
      <c r="AN45" s="55">
        <v>0</v>
      </c>
      <c r="AO45" s="55"/>
      <c r="AP45" s="55">
        <f t="shared" si="4"/>
        <v>0</v>
      </c>
      <c r="AQ45" s="55"/>
      <c r="AR45" s="55">
        <v>0</v>
      </c>
      <c r="AS45" s="55"/>
      <c r="AT45" s="55">
        <v>0</v>
      </c>
      <c r="AU45" s="55"/>
      <c r="AV45" s="55">
        <f t="shared" si="5"/>
        <v>0</v>
      </c>
      <c r="AW45" s="55"/>
      <c r="AX45" s="30" t="s">
        <v>41</v>
      </c>
      <c r="AY45" s="55"/>
      <c r="AZ45" s="55">
        <v>0</v>
      </c>
      <c r="BA45" s="55"/>
      <c r="BB45" s="55">
        <v>0</v>
      </c>
      <c r="BC45" s="55"/>
      <c r="BD45" s="55">
        <v>0</v>
      </c>
      <c r="BE45" s="55"/>
      <c r="BF45" s="55">
        <v>0</v>
      </c>
      <c r="BG45" s="55"/>
      <c r="BH45" s="55"/>
      <c r="BI45" s="55"/>
      <c r="BJ45" s="51">
        <f t="shared" si="6"/>
        <v>0</v>
      </c>
    </row>
    <row r="46" spans="1:62" s="26" customFormat="1" ht="12" hidden="1">
      <c r="A46" s="30" t="s">
        <v>42</v>
      </c>
      <c r="B46" s="30"/>
      <c r="C46" s="55">
        <f t="shared" si="1"/>
        <v>0</v>
      </c>
      <c r="D46" s="55"/>
      <c r="E46" s="55">
        <v>0</v>
      </c>
      <c r="F46" s="55"/>
      <c r="G46" s="55">
        <v>0</v>
      </c>
      <c r="H46" s="55"/>
      <c r="I46" s="55">
        <f t="shared" si="9"/>
        <v>0</v>
      </c>
      <c r="J46" s="55"/>
      <c r="K46" s="55">
        <f t="shared" si="11"/>
        <v>0</v>
      </c>
      <c r="L46" s="55"/>
      <c r="M46" s="55">
        <v>0</v>
      </c>
      <c r="N46" s="55"/>
      <c r="O46" s="55">
        <v>0</v>
      </c>
      <c r="P46" s="55"/>
      <c r="Q46" s="55">
        <v>0</v>
      </c>
      <c r="R46" s="55"/>
      <c r="S46" s="55">
        <v>0</v>
      </c>
      <c r="T46" s="55"/>
      <c r="U46" s="55">
        <f t="shared" si="2"/>
        <v>0</v>
      </c>
      <c r="V46" s="55">
        <f t="shared" si="10"/>
        <v>0</v>
      </c>
      <c r="W46" s="55"/>
      <c r="X46" s="30" t="s">
        <v>42</v>
      </c>
      <c r="Y46" s="55"/>
      <c r="Z46" s="55">
        <v>0</v>
      </c>
      <c r="AA46" s="55"/>
      <c r="AB46" s="55">
        <v>0</v>
      </c>
      <c r="AC46" s="55"/>
      <c r="AD46" s="55">
        <v>0</v>
      </c>
      <c r="AE46" s="55"/>
      <c r="AF46" s="55">
        <f t="shared" si="3"/>
        <v>0</v>
      </c>
      <c r="AG46" s="55"/>
      <c r="AH46" s="55">
        <v>0</v>
      </c>
      <c r="AI46" s="55"/>
      <c r="AJ46" s="55">
        <v>0</v>
      </c>
      <c r="AK46" s="55"/>
      <c r="AL46" s="55">
        <v>0</v>
      </c>
      <c r="AM46" s="55"/>
      <c r="AN46" s="55">
        <v>0</v>
      </c>
      <c r="AO46" s="55"/>
      <c r="AP46" s="55">
        <f t="shared" si="4"/>
        <v>0</v>
      </c>
      <c r="AQ46" s="55"/>
      <c r="AR46" s="55">
        <v>0</v>
      </c>
      <c r="AS46" s="55"/>
      <c r="AT46" s="55">
        <v>0</v>
      </c>
      <c r="AU46" s="55"/>
      <c r="AV46" s="55">
        <f t="shared" si="5"/>
        <v>0</v>
      </c>
      <c r="AW46" s="55"/>
      <c r="AX46" s="30" t="s">
        <v>42</v>
      </c>
      <c r="AY46" s="55"/>
      <c r="AZ46" s="55">
        <v>0</v>
      </c>
      <c r="BA46" s="55"/>
      <c r="BB46" s="55">
        <v>0</v>
      </c>
      <c r="BC46" s="55"/>
      <c r="BD46" s="55">
        <v>0</v>
      </c>
      <c r="BE46" s="55"/>
      <c r="BF46" s="55">
        <v>0</v>
      </c>
      <c r="BG46" s="55"/>
      <c r="BH46" s="55"/>
      <c r="BI46" s="55"/>
      <c r="BJ46" s="51">
        <f t="shared" si="6"/>
        <v>0</v>
      </c>
    </row>
    <row r="47" spans="1:62" s="26" customFormat="1" ht="12" hidden="1">
      <c r="A47" s="30" t="s">
        <v>43</v>
      </c>
      <c r="B47" s="30"/>
      <c r="C47" s="55">
        <f t="shared" si="1"/>
        <v>0</v>
      </c>
      <c r="D47" s="55"/>
      <c r="E47" s="55">
        <v>0</v>
      </c>
      <c r="F47" s="55"/>
      <c r="G47" s="55">
        <v>0</v>
      </c>
      <c r="H47" s="55"/>
      <c r="I47" s="55">
        <f t="shared" si="9"/>
        <v>0</v>
      </c>
      <c r="J47" s="55"/>
      <c r="K47" s="55">
        <f t="shared" si="11"/>
        <v>0</v>
      </c>
      <c r="L47" s="55"/>
      <c r="M47" s="55">
        <v>0</v>
      </c>
      <c r="N47" s="55"/>
      <c r="O47" s="55">
        <v>0</v>
      </c>
      <c r="P47" s="55"/>
      <c r="Q47" s="55">
        <v>0</v>
      </c>
      <c r="R47" s="55"/>
      <c r="S47" s="55">
        <v>0</v>
      </c>
      <c r="T47" s="55"/>
      <c r="U47" s="55">
        <f t="shared" si="2"/>
        <v>0</v>
      </c>
      <c r="V47" s="55">
        <f t="shared" si="10"/>
        <v>0</v>
      </c>
      <c r="W47" s="55"/>
      <c r="X47" s="30" t="s">
        <v>43</v>
      </c>
      <c r="Y47" s="55"/>
      <c r="Z47" s="55">
        <v>0</v>
      </c>
      <c r="AA47" s="55"/>
      <c r="AB47" s="55">
        <v>0</v>
      </c>
      <c r="AC47" s="55"/>
      <c r="AD47" s="55">
        <v>0</v>
      </c>
      <c r="AE47" s="55"/>
      <c r="AF47" s="55">
        <f t="shared" si="3"/>
        <v>0</v>
      </c>
      <c r="AG47" s="55"/>
      <c r="AH47" s="55">
        <v>0</v>
      </c>
      <c r="AI47" s="55"/>
      <c r="AJ47" s="55">
        <v>0</v>
      </c>
      <c r="AK47" s="55"/>
      <c r="AL47" s="55">
        <v>0</v>
      </c>
      <c r="AM47" s="55"/>
      <c r="AN47" s="55">
        <v>0</v>
      </c>
      <c r="AO47" s="55"/>
      <c r="AP47" s="55">
        <f t="shared" si="4"/>
        <v>0</v>
      </c>
      <c r="AQ47" s="55"/>
      <c r="AR47" s="55">
        <v>0</v>
      </c>
      <c r="AS47" s="55"/>
      <c r="AT47" s="55">
        <v>0</v>
      </c>
      <c r="AU47" s="55"/>
      <c r="AV47" s="55">
        <f t="shared" si="5"/>
        <v>0</v>
      </c>
      <c r="AW47" s="55"/>
      <c r="AX47" s="30" t="s">
        <v>43</v>
      </c>
      <c r="AY47" s="55"/>
      <c r="AZ47" s="55">
        <v>0</v>
      </c>
      <c r="BA47" s="55"/>
      <c r="BB47" s="55">
        <v>0</v>
      </c>
      <c r="BC47" s="55"/>
      <c r="BD47" s="55">
        <v>0</v>
      </c>
      <c r="BE47" s="55"/>
      <c r="BF47" s="55">
        <v>0</v>
      </c>
      <c r="BG47" s="55"/>
      <c r="BH47" s="55"/>
      <c r="BI47" s="55"/>
      <c r="BJ47" s="51">
        <f t="shared" si="6"/>
        <v>0</v>
      </c>
    </row>
    <row r="48" spans="1:63" s="26" customFormat="1" ht="12" hidden="1">
      <c r="A48" s="30" t="s">
        <v>44</v>
      </c>
      <c r="B48" s="30"/>
      <c r="C48" s="55">
        <f t="shared" si="1"/>
        <v>0</v>
      </c>
      <c r="D48" s="55"/>
      <c r="E48" s="55">
        <v>0</v>
      </c>
      <c r="F48" s="55"/>
      <c r="G48" s="55">
        <v>0</v>
      </c>
      <c r="H48" s="55"/>
      <c r="I48" s="55">
        <f t="shared" si="9"/>
        <v>0</v>
      </c>
      <c r="J48" s="55"/>
      <c r="K48" s="55">
        <f t="shared" si="11"/>
        <v>0</v>
      </c>
      <c r="L48" s="55"/>
      <c r="M48" s="55">
        <v>0</v>
      </c>
      <c r="N48" s="55"/>
      <c r="O48" s="55">
        <v>0</v>
      </c>
      <c r="P48" s="55"/>
      <c r="Q48" s="55">
        <v>0</v>
      </c>
      <c r="R48" s="55"/>
      <c r="S48" s="55">
        <v>0</v>
      </c>
      <c r="T48" s="55"/>
      <c r="U48" s="55">
        <f t="shared" si="2"/>
        <v>0</v>
      </c>
      <c r="V48" s="55">
        <f t="shared" si="10"/>
        <v>0</v>
      </c>
      <c r="W48" s="55"/>
      <c r="X48" s="30" t="s">
        <v>44</v>
      </c>
      <c r="Y48" s="55"/>
      <c r="Z48" s="55">
        <v>0</v>
      </c>
      <c r="AA48" s="55"/>
      <c r="AB48" s="55">
        <v>0</v>
      </c>
      <c r="AC48" s="55"/>
      <c r="AD48" s="55">
        <v>0</v>
      </c>
      <c r="AE48" s="55"/>
      <c r="AF48" s="55">
        <f t="shared" si="3"/>
        <v>0</v>
      </c>
      <c r="AG48" s="55"/>
      <c r="AH48" s="55">
        <v>0</v>
      </c>
      <c r="AI48" s="55"/>
      <c r="AJ48" s="55">
        <v>0</v>
      </c>
      <c r="AK48" s="55"/>
      <c r="AL48" s="55">
        <v>0</v>
      </c>
      <c r="AM48" s="55"/>
      <c r="AN48" s="55">
        <v>0</v>
      </c>
      <c r="AO48" s="55"/>
      <c r="AP48" s="55">
        <f t="shared" si="4"/>
        <v>0</v>
      </c>
      <c r="AQ48" s="55"/>
      <c r="AR48" s="55">
        <v>0</v>
      </c>
      <c r="AS48" s="55"/>
      <c r="AT48" s="55">
        <v>0</v>
      </c>
      <c r="AU48" s="55"/>
      <c r="AV48" s="55">
        <f t="shared" si="5"/>
        <v>0</v>
      </c>
      <c r="AW48" s="55"/>
      <c r="AX48" s="30" t="s">
        <v>44</v>
      </c>
      <c r="AY48" s="55"/>
      <c r="AZ48" s="55">
        <v>0</v>
      </c>
      <c r="BA48" s="55"/>
      <c r="BB48" s="55">
        <v>0</v>
      </c>
      <c r="BC48" s="55"/>
      <c r="BD48" s="55">
        <v>0</v>
      </c>
      <c r="BE48" s="55"/>
      <c r="BF48" s="55">
        <v>0</v>
      </c>
      <c r="BG48" s="55"/>
      <c r="BH48" s="55"/>
      <c r="BI48" s="55"/>
      <c r="BJ48" s="51">
        <f t="shared" si="6"/>
        <v>0</v>
      </c>
      <c r="BK48" s="51"/>
    </row>
    <row r="49" spans="1:62" s="26" customFormat="1" ht="12" hidden="1">
      <c r="A49" s="30" t="s">
        <v>45</v>
      </c>
      <c r="B49" s="30"/>
      <c r="C49" s="55">
        <f t="shared" si="1"/>
        <v>0</v>
      </c>
      <c r="D49" s="55"/>
      <c r="E49" s="55">
        <v>0</v>
      </c>
      <c r="F49" s="55"/>
      <c r="G49" s="55">
        <v>0</v>
      </c>
      <c r="H49" s="55"/>
      <c r="I49" s="55">
        <f t="shared" si="9"/>
        <v>0</v>
      </c>
      <c r="J49" s="55"/>
      <c r="K49" s="55">
        <f t="shared" si="11"/>
        <v>0</v>
      </c>
      <c r="L49" s="55"/>
      <c r="M49" s="55">
        <v>0</v>
      </c>
      <c r="N49" s="55"/>
      <c r="O49" s="55">
        <v>0</v>
      </c>
      <c r="P49" s="55"/>
      <c r="Q49" s="55">
        <v>0</v>
      </c>
      <c r="R49" s="55"/>
      <c r="S49" s="55">
        <v>0</v>
      </c>
      <c r="T49" s="55"/>
      <c r="U49" s="55">
        <f t="shared" si="2"/>
        <v>0</v>
      </c>
      <c r="V49" s="55">
        <f t="shared" si="10"/>
        <v>0</v>
      </c>
      <c r="W49" s="55"/>
      <c r="X49" s="30" t="s">
        <v>45</v>
      </c>
      <c r="Y49" s="55"/>
      <c r="Z49" s="55">
        <v>0</v>
      </c>
      <c r="AA49" s="55"/>
      <c r="AB49" s="55">
        <v>0</v>
      </c>
      <c r="AC49" s="55"/>
      <c r="AD49" s="55">
        <v>0</v>
      </c>
      <c r="AE49" s="55"/>
      <c r="AF49" s="55">
        <f t="shared" si="3"/>
        <v>0</v>
      </c>
      <c r="AG49" s="55"/>
      <c r="AH49" s="55">
        <v>0</v>
      </c>
      <c r="AI49" s="55"/>
      <c r="AJ49" s="55">
        <v>0</v>
      </c>
      <c r="AK49" s="55"/>
      <c r="AL49" s="55">
        <v>0</v>
      </c>
      <c r="AM49" s="55"/>
      <c r="AN49" s="55">
        <v>0</v>
      </c>
      <c r="AO49" s="55"/>
      <c r="AP49" s="55">
        <f t="shared" si="4"/>
        <v>0</v>
      </c>
      <c r="AQ49" s="55"/>
      <c r="AR49" s="55">
        <v>0</v>
      </c>
      <c r="AS49" s="55"/>
      <c r="AT49" s="55">
        <v>0</v>
      </c>
      <c r="AU49" s="55"/>
      <c r="AV49" s="55">
        <f t="shared" si="5"/>
        <v>0</v>
      </c>
      <c r="AW49" s="55"/>
      <c r="AX49" s="30" t="s">
        <v>45</v>
      </c>
      <c r="AY49" s="55"/>
      <c r="AZ49" s="55">
        <v>0</v>
      </c>
      <c r="BA49" s="55"/>
      <c r="BB49" s="55">
        <v>0</v>
      </c>
      <c r="BC49" s="55"/>
      <c r="BD49" s="55">
        <v>0</v>
      </c>
      <c r="BE49" s="55"/>
      <c r="BF49" s="55">
        <v>0</v>
      </c>
      <c r="BG49" s="55"/>
      <c r="BH49" s="55"/>
      <c r="BI49" s="55"/>
      <c r="BJ49" s="51">
        <f t="shared" si="6"/>
        <v>0</v>
      </c>
    </row>
    <row r="50" spans="1:63" s="26" customFormat="1" ht="12">
      <c r="A50" s="30" t="s">
        <v>46</v>
      </c>
      <c r="B50" s="30"/>
      <c r="C50" s="55">
        <f t="shared" si="1"/>
        <v>4186460</v>
      </c>
      <c r="D50" s="55"/>
      <c r="E50" s="55">
        <v>24980005</v>
      </c>
      <c r="F50" s="55"/>
      <c r="G50" s="55">
        <v>29166465</v>
      </c>
      <c r="H50" s="55"/>
      <c r="I50" s="55">
        <f t="shared" si="9"/>
        <v>1646002</v>
      </c>
      <c r="J50" s="55"/>
      <c r="K50" s="55">
        <f t="shared" si="11"/>
        <v>11101063</v>
      </c>
      <c r="L50" s="55"/>
      <c r="M50" s="55">
        <v>12747065</v>
      </c>
      <c r="N50" s="55"/>
      <c r="O50" s="55">
        <v>13308585</v>
      </c>
      <c r="P50" s="55"/>
      <c r="Q50" s="55">
        <v>0</v>
      </c>
      <c r="R50" s="55"/>
      <c r="S50" s="55">
        <v>3110815</v>
      </c>
      <c r="T50" s="55"/>
      <c r="U50" s="55">
        <f t="shared" si="2"/>
        <v>16419400</v>
      </c>
      <c r="V50" s="55">
        <f t="shared" si="10"/>
        <v>0</v>
      </c>
      <c r="W50" s="55"/>
      <c r="X50" s="30" t="s">
        <v>46</v>
      </c>
      <c r="Y50" s="55"/>
      <c r="Z50" s="55">
        <v>4994060</v>
      </c>
      <c r="AA50" s="55"/>
      <c r="AB50" s="55">
        <f>3805720-938796</f>
        <v>2866924</v>
      </c>
      <c r="AC50" s="55"/>
      <c r="AD50" s="55">
        <v>938796</v>
      </c>
      <c r="AE50" s="55"/>
      <c r="AF50" s="55">
        <f t="shared" si="3"/>
        <v>1188340</v>
      </c>
      <c r="AG50" s="55"/>
      <c r="AH50" s="55">
        <v>-240689</v>
      </c>
      <c r="AI50" s="55"/>
      <c r="AJ50" s="55">
        <v>0</v>
      </c>
      <c r="AK50" s="55"/>
      <c r="AL50" s="55">
        <v>0</v>
      </c>
      <c r="AM50" s="55"/>
      <c r="AN50" s="55">
        <v>68362</v>
      </c>
      <c r="AO50" s="55"/>
      <c r="AP50" s="55">
        <f t="shared" si="4"/>
        <v>1016013</v>
      </c>
      <c r="AQ50" s="55"/>
      <c r="AR50" s="55">
        <v>0</v>
      </c>
      <c r="AS50" s="55"/>
      <c r="AT50" s="55">
        <v>0</v>
      </c>
      <c r="AU50" s="55"/>
      <c r="AV50" s="55">
        <f t="shared" si="5"/>
        <v>2540458</v>
      </c>
      <c r="AW50" s="55"/>
      <c r="AX50" s="30" t="s">
        <v>46</v>
      </c>
      <c r="AY50" s="55"/>
      <c r="AZ50" s="55">
        <v>1824848</v>
      </c>
      <c r="BA50" s="55"/>
      <c r="BB50" s="55">
        <v>0</v>
      </c>
      <c r="BC50" s="55"/>
      <c r="BD50" s="55">
        <f>588667+2133816+6477041</f>
        <v>9199524</v>
      </c>
      <c r="BE50" s="55"/>
      <c r="BF50" s="55">
        <v>76691</v>
      </c>
      <c r="BG50" s="55"/>
      <c r="BH50" s="55"/>
      <c r="BI50" s="55"/>
      <c r="BJ50" s="51">
        <f t="shared" si="6"/>
        <v>11101063</v>
      </c>
      <c r="BK50" s="51"/>
    </row>
    <row r="51" spans="1:63" s="26" customFormat="1" ht="12" hidden="1">
      <c r="A51" s="30" t="s">
        <v>47</v>
      </c>
      <c r="B51" s="30"/>
      <c r="C51" s="55">
        <f t="shared" si="1"/>
        <v>0</v>
      </c>
      <c r="D51" s="55"/>
      <c r="E51" s="55">
        <v>0</v>
      </c>
      <c r="F51" s="55"/>
      <c r="G51" s="55">
        <v>0</v>
      </c>
      <c r="H51" s="55"/>
      <c r="I51" s="55">
        <f t="shared" si="9"/>
        <v>0</v>
      </c>
      <c r="J51" s="55"/>
      <c r="K51" s="55">
        <f t="shared" si="11"/>
        <v>0</v>
      </c>
      <c r="L51" s="55"/>
      <c r="M51" s="55">
        <v>0</v>
      </c>
      <c r="N51" s="55"/>
      <c r="O51" s="55">
        <v>0</v>
      </c>
      <c r="P51" s="55"/>
      <c r="Q51" s="55">
        <v>0</v>
      </c>
      <c r="R51" s="55"/>
      <c r="S51" s="55">
        <v>0</v>
      </c>
      <c r="T51" s="55"/>
      <c r="U51" s="55">
        <f t="shared" si="2"/>
        <v>0</v>
      </c>
      <c r="V51" s="55">
        <f t="shared" si="10"/>
        <v>0</v>
      </c>
      <c r="W51" s="55"/>
      <c r="X51" s="30" t="s">
        <v>47</v>
      </c>
      <c r="Y51" s="55"/>
      <c r="Z51" s="55">
        <v>0</v>
      </c>
      <c r="AA51" s="55"/>
      <c r="AB51" s="55">
        <v>0</v>
      </c>
      <c r="AC51" s="55"/>
      <c r="AD51" s="55">
        <v>0</v>
      </c>
      <c r="AE51" s="55"/>
      <c r="AF51" s="55">
        <f t="shared" si="3"/>
        <v>0</v>
      </c>
      <c r="AG51" s="55"/>
      <c r="AH51" s="55">
        <v>0</v>
      </c>
      <c r="AI51" s="55"/>
      <c r="AJ51" s="55">
        <v>0</v>
      </c>
      <c r="AK51" s="55"/>
      <c r="AL51" s="55">
        <v>0</v>
      </c>
      <c r="AM51" s="55"/>
      <c r="AN51" s="55">
        <v>0</v>
      </c>
      <c r="AO51" s="55"/>
      <c r="AP51" s="55">
        <f t="shared" si="4"/>
        <v>0</v>
      </c>
      <c r="AQ51" s="55"/>
      <c r="AR51" s="55">
        <v>0</v>
      </c>
      <c r="AS51" s="55"/>
      <c r="AT51" s="55">
        <v>0</v>
      </c>
      <c r="AU51" s="55"/>
      <c r="AV51" s="55">
        <f t="shared" si="5"/>
        <v>0</v>
      </c>
      <c r="AW51" s="55"/>
      <c r="AX51" s="30" t="s">
        <v>47</v>
      </c>
      <c r="AY51" s="55"/>
      <c r="AZ51" s="55">
        <v>0</v>
      </c>
      <c r="BA51" s="55"/>
      <c r="BB51" s="55">
        <v>0</v>
      </c>
      <c r="BC51" s="55"/>
      <c r="BD51" s="55">
        <v>0</v>
      </c>
      <c r="BE51" s="55"/>
      <c r="BF51" s="55">
        <v>0</v>
      </c>
      <c r="BG51" s="55"/>
      <c r="BH51" s="55"/>
      <c r="BI51" s="55"/>
      <c r="BJ51" s="51">
        <f t="shared" si="6"/>
        <v>0</v>
      </c>
      <c r="BK51" s="51"/>
    </row>
    <row r="52" spans="1:62" s="26" customFormat="1" ht="12">
      <c r="A52" s="30" t="s">
        <v>48</v>
      </c>
      <c r="B52" s="30"/>
      <c r="C52" s="55">
        <f t="shared" si="1"/>
        <v>17258176</v>
      </c>
      <c r="D52" s="55"/>
      <c r="E52" s="55">
        <v>58221010</v>
      </c>
      <c r="F52" s="55"/>
      <c r="G52" s="55">
        <v>75479186</v>
      </c>
      <c r="H52" s="55"/>
      <c r="I52" s="55">
        <f t="shared" si="9"/>
        <v>12954213</v>
      </c>
      <c r="J52" s="55"/>
      <c r="K52" s="55">
        <f t="shared" si="11"/>
        <v>20077775</v>
      </c>
      <c r="L52" s="55"/>
      <c r="M52" s="55">
        <v>33031988</v>
      </c>
      <c r="N52" s="55"/>
      <c r="O52" s="55">
        <v>32108895</v>
      </c>
      <c r="P52" s="55"/>
      <c r="Q52" s="55">
        <v>0</v>
      </c>
      <c r="R52" s="55"/>
      <c r="S52" s="55">
        <v>10338303</v>
      </c>
      <c r="T52" s="55"/>
      <c r="U52" s="55">
        <f t="shared" si="2"/>
        <v>42447198</v>
      </c>
      <c r="V52" s="55">
        <f t="shared" si="10"/>
        <v>0</v>
      </c>
      <c r="W52" s="55"/>
      <c r="X52" s="30" t="s">
        <v>48</v>
      </c>
      <c r="Y52" s="55"/>
      <c r="Z52" s="55">
        <v>19466792</v>
      </c>
      <c r="AA52" s="55"/>
      <c r="AB52" s="55">
        <f>11466916-3382719</f>
        <v>8084197</v>
      </c>
      <c r="AC52" s="55"/>
      <c r="AD52" s="55">
        <v>3382719</v>
      </c>
      <c r="AE52" s="55"/>
      <c r="AF52" s="55">
        <f t="shared" si="3"/>
        <v>7999876</v>
      </c>
      <c r="AG52" s="55"/>
      <c r="AH52" s="55">
        <v>-2085900</v>
      </c>
      <c r="AI52" s="55"/>
      <c r="AJ52" s="55">
        <v>0</v>
      </c>
      <c r="AK52" s="55"/>
      <c r="AL52" s="55">
        <v>0</v>
      </c>
      <c r="AM52" s="55"/>
      <c r="AN52" s="55">
        <v>0</v>
      </c>
      <c r="AO52" s="55"/>
      <c r="AP52" s="55">
        <f t="shared" si="4"/>
        <v>5913976</v>
      </c>
      <c r="AQ52" s="55"/>
      <c r="AR52" s="55">
        <v>0</v>
      </c>
      <c r="AS52" s="55"/>
      <c r="AT52" s="55">
        <v>0</v>
      </c>
      <c r="AU52" s="55"/>
      <c r="AV52" s="55">
        <f t="shared" si="5"/>
        <v>4303963</v>
      </c>
      <c r="AW52" s="55"/>
      <c r="AX52" s="30" t="s">
        <v>48</v>
      </c>
      <c r="AY52" s="55"/>
      <c r="AZ52" s="55">
        <v>2560000</v>
      </c>
      <c r="BA52" s="55"/>
      <c r="BB52" s="55">
        <v>0</v>
      </c>
      <c r="BC52" s="55"/>
      <c r="BD52" s="55">
        <v>16760577</v>
      </c>
      <c r="BE52" s="55"/>
      <c r="BF52" s="55">
        <v>757198</v>
      </c>
      <c r="BG52" s="55"/>
      <c r="BH52" s="55"/>
      <c r="BI52" s="55"/>
      <c r="BJ52" s="51">
        <f t="shared" si="6"/>
        <v>20077775</v>
      </c>
    </row>
    <row r="53" spans="1:62" s="26" customFormat="1" ht="12" hidden="1">
      <c r="A53" s="30" t="s">
        <v>234</v>
      </c>
      <c r="B53" s="30"/>
      <c r="C53" s="55">
        <f t="shared" si="1"/>
        <v>0</v>
      </c>
      <c r="D53" s="55"/>
      <c r="E53" s="55">
        <v>0</v>
      </c>
      <c r="F53" s="55"/>
      <c r="G53" s="55">
        <v>0</v>
      </c>
      <c r="H53" s="55"/>
      <c r="I53" s="55">
        <f t="shared" si="9"/>
        <v>0</v>
      </c>
      <c r="J53" s="55"/>
      <c r="K53" s="55">
        <f t="shared" si="11"/>
        <v>0</v>
      </c>
      <c r="L53" s="55"/>
      <c r="M53" s="55">
        <v>0</v>
      </c>
      <c r="N53" s="55"/>
      <c r="O53" s="55">
        <v>0</v>
      </c>
      <c r="P53" s="55"/>
      <c r="Q53" s="55">
        <v>0</v>
      </c>
      <c r="R53" s="55"/>
      <c r="S53" s="55">
        <v>0</v>
      </c>
      <c r="T53" s="55"/>
      <c r="U53" s="55">
        <f t="shared" si="2"/>
        <v>0</v>
      </c>
      <c r="V53" s="55">
        <f t="shared" si="10"/>
        <v>0</v>
      </c>
      <c r="W53" s="55"/>
      <c r="X53" s="30" t="s">
        <v>234</v>
      </c>
      <c r="Y53" s="55"/>
      <c r="Z53" s="55">
        <v>0</v>
      </c>
      <c r="AA53" s="55"/>
      <c r="AB53" s="55">
        <v>0</v>
      </c>
      <c r="AC53" s="55"/>
      <c r="AD53" s="55">
        <v>0</v>
      </c>
      <c r="AE53" s="55"/>
      <c r="AF53" s="55">
        <f t="shared" si="3"/>
        <v>0</v>
      </c>
      <c r="AG53" s="55"/>
      <c r="AH53" s="55">
        <v>0</v>
      </c>
      <c r="AI53" s="55"/>
      <c r="AJ53" s="55">
        <v>0</v>
      </c>
      <c r="AK53" s="55"/>
      <c r="AL53" s="55">
        <v>0</v>
      </c>
      <c r="AM53" s="55"/>
      <c r="AN53" s="55">
        <v>0</v>
      </c>
      <c r="AO53" s="55"/>
      <c r="AP53" s="55">
        <f t="shared" si="4"/>
        <v>0</v>
      </c>
      <c r="AQ53" s="55"/>
      <c r="AR53" s="55">
        <v>0</v>
      </c>
      <c r="AS53" s="55"/>
      <c r="AT53" s="55">
        <v>0</v>
      </c>
      <c r="AU53" s="55"/>
      <c r="AV53" s="55">
        <f t="shared" si="5"/>
        <v>0</v>
      </c>
      <c r="AW53" s="55"/>
      <c r="AX53" s="30" t="s">
        <v>234</v>
      </c>
      <c r="AY53" s="55"/>
      <c r="AZ53" s="55">
        <v>0</v>
      </c>
      <c r="BA53" s="55"/>
      <c r="BB53" s="55">
        <v>0</v>
      </c>
      <c r="BC53" s="55"/>
      <c r="BD53" s="55">
        <v>0</v>
      </c>
      <c r="BE53" s="55"/>
      <c r="BF53" s="55">
        <v>0</v>
      </c>
      <c r="BG53" s="55"/>
      <c r="BH53" s="55"/>
      <c r="BI53" s="55"/>
      <c r="BJ53" s="51">
        <f t="shared" si="6"/>
        <v>0</v>
      </c>
    </row>
    <row r="54" spans="1:62" s="26" customFormat="1" ht="12">
      <c r="A54" s="30" t="s">
        <v>49</v>
      </c>
      <c r="B54" s="30"/>
      <c r="C54" s="55">
        <f t="shared" si="1"/>
        <v>384381</v>
      </c>
      <c r="D54" s="55"/>
      <c r="E54" s="55">
        <v>877145</v>
      </c>
      <c r="F54" s="55"/>
      <c r="G54" s="55">
        <v>1261526</v>
      </c>
      <c r="H54" s="55"/>
      <c r="I54" s="55">
        <f t="shared" si="9"/>
        <v>89493</v>
      </c>
      <c r="J54" s="55"/>
      <c r="K54" s="55">
        <f t="shared" si="11"/>
        <v>370000</v>
      </c>
      <c r="L54" s="55"/>
      <c r="M54" s="55">
        <v>459493</v>
      </c>
      <c r="N54" s="55"/>
      <c r="O54" s="55">
        <v>462145</v>
      </c>
      <c r="P54" s="55"/>
      <c r="Q54" s="55">
        <v>0</v>
      </c>
      <c r="R54" s="55"/>
      <c r="S54" s="55">
        <v>339888</v>
      </c>
      <c r="T54" s="55"/>
      <c r="U54" s="55">
        <f t="shared" si="2"/>
        <v>802033</v>
      </c>
      <c r="V54" s="55">
        <f t="shared" si="10"/>
        <v>0</v>
      </c>
      <c r="W54" s="55"/>
      <c r="X54" s="30" t="s">
        <v>49</v>
      </c>
      <c r="Y54" s="55"/>
      <c r="Z54" s="55">
        <v>317892</v>
      </c>
      <c r="AA54" s="55"/>
      <c r="AB54" s="55">
        <f>253154-42317</f>
        <v>210837</v>
      </c>
      <c r="AC54" s="55"/>
      <c r="AD54" s="55">
        <v>42317</v>
      </c>
      <c r="AE54" s="55"/>
      <c r="AF54" s="55">
        <f t="shared" si="3"/>
        <v>64738</v>
      </c>
      <c r="AG54" s="55"/>
      <c r="AH54" s="55">
        <v>-19536</v>
      </c>
      <c r="AI54" s="55"/>
      <c r="AJ54" s="55">
        <v>161228</v>
      </c>
      <c r="AK54" s="55"/>
      <c r="AL54" s="55">
        <v>0</v>
      </c>
      <c r="AM54" s="55"/>
      <c r="AN54" s="55">
        <v>0</v>
      </c>
      <c r="AO54" s="55"/>
      <c r="AP54" s="55">
        <f t="shared" si="4"/>
        <v>206430</v>
      </c>
      <c r="AQ54" s="55"/>
      <c r="AR54" s="55">
        <v>0</v>
      </c>
      <c r="AS54" s="55"/>
      <c r="AT54" s="55">
        <v>0</v>
      </c>
      <c r="AU54" s="55"/>
      <c r="AV54" s="55">
        <f t="shared" si="5"/>
        <v>294888</v>
      </c>
      <c r="AW54" s="55"/>
      <c r="AX54" s="30" t="s">
        <v>49</v>
      </c>
      <c r="AY54" s="55"/>
      <c r="AZ54" s="55">
        <v>370000</v>
      </c>
      <c r="BA54" s="55"/>
      <c r="BB54" s="55">
        <v>0</v>
      </c>
      <c r="BC54" s="55"/>
      <c r="BD54" s="55">
        <v>0</v>
      </c>
      <c r="BE54" s="55"/>
      <c r="BF54" s="55">
        <v>0</v>
      </c>
      <c r="BG54" s="55"/>
      <c r="BH54" s="55"/>
      <c r="BI54" s="55"/>
      <c r="BJ54" s="51">
        <f t="shared" si="6"/>
        <v>370000</v>
      </c>
    </row>
    <row r="55" spans="1:62" s="26" customFormat="1" ht="12" hidden="1">
      <c r="A55" s="30" t="s">
        <v>50</v>
      </c>
      <c r="B55" s="30"/>
      <c r="C55" s="55">
        <f t="shared" si="1"/>
        <v>0</v>
      </c>
      <c r="D55" s="55"/>
      <c r="E55" s="55">
        <v>1053144</v>
      </c>
      <c r="F55" s="55"/>
      <c r="G55" s="55">
        <v>1053144</v>
      </c>
      <c r="H55" s="55"/>
      <c r="I55" s="55">
        <f t="shared" si="9"/>
        <v>-3159432</v>
      </c>
      <c r="J55" s="55"/>
      <c r="K55" s="55">
        <f t="shared" si="11"/>
        <v>4212576</v>
      </c>
      <c r="L55" s="55"/>
      <c r="M55" s="55">
        <v>1053144</v>
      </c>
      <c r="N55" s="55"/>
      <c r="O55" s="55">
        <v>1053144</v>
      </c>
      <c r="P55" s="55"/>
      <c r="Q55" s="55">
        <v>1053144</v>
      </c>
      <c r="R55" s="55"/>
      <c r="S55" s="55">
        <v>1053144</v>
      </c>
      <c r="T55" s="55"/>
      <c r="U55" s="55">
        <f t="shared" si="2"/>
        <v>3159432</v>
      </c>
      <c r="V55" s="55">
        <f t="shared" si="10"/>
        <v>-3159432</v>
      </c>
      <c r="W55" s="55"/>
      <c r="X55" s="30" t="s">
        <v>50</v>
      </c>
      <c r="Y55" s="55"/>
      <c r="Z55" s="55">
        <v>1053144</v>
      </c>
      <c r="AA55" s="55"/>
      <c r="AB55" s="55">
        <v>1053144</v>
      </c>
      <c r="AC55" s="55"/>
      <c r="AD55" s="55">
        <v>1053144</v>
      </c>
      <c r="AE55" s="55"/>
      <c r="AF55" s="55">
        <f t="shared" si="3"/>
        <v>-1053144</v>
      </c>
      <c r="AG55" s="55"/>
      <c r="AH55" s="55">
        <v>1053144</v>
      </c>
      <c r="AI55" s="55"/>
      <c r="AJ55" s="55">
        <v>1053144</v>
      </c>
      <c r="AK55" s="55"/>
      <c r="AL55" s="55">
        <v>1053144</v>
      </c>
      <c r="AM55" s="55"/>
      <c r="AN55" s="55">
        <v>1053144</v>
      </c>
      <c r="AO55" s="55"/>
      <c r="AP55" s="55">
        <f t="shared" si="4"/>
        <v>1053144</v>
      </c>
      <c r="AQ55" s="55"/>
      <c r="AR55" s="55">
        <v>0</v>
      </c>
      <c r="AS55" s="55"/>
      <c r="AT55" s="55">
        <v>0</v>
      </c>
      <c r="AU55" s="55"/>
      <c r="AV55" s="55">
        <f t="shared" si="5"/>
        <v>3159432</v>
      </c>
      <c r="AW55" s="55"/>
      <c r="AX55" s="30" t="s">
        <v>50</v>
      </c>
      <c r="AY55" s="55"/>
      <c r="AZ55" s="55">
        <v>1053144</v>
      </c>
      <c r="BA55" s="55"/>
      <c r="BB55" s="55">
        <v>1053144</v>
      </c>
      <c r="BC55" s="55"/>
      <c r="BD55" s="55">
        <v>1053144</v>
      </c>
      <c r="BE55" s="55"/>
      <c r="BF55" s="55">
        <v>1053144</v>
      </c>
      <c r="BG55" s="55"/>
      <c r="BH55" s="55"/>
      <c r="BI55" s="55"/>
      <c r="BJ55" s="51">
        <f t="shared" si="6"/>
        <v>4212576</v>
      </c>
    </row>
    <row r="56" spans="1:62" s="26" customFormat="1" ht="12" hidden="1">
      <c r="A56" s="30" t="s">
        <v>51</v>
      </c>
      <c r="B56" s="30"/>
      <c r="C56" s="55">
        <f t="shared" si="1"/>
        <v>0</v>
      </c>
      <c r="D56" s="55"/>
      <c r="E56" s="55">
        <v>0</v>
      </c>
      <c r="F56" s="55"/>
      <c r="G56" s="55">
        <v>0</v>
      </c>
      <c r="H56" s="55"/>
      <c r="I56" s="55">
        <f t="shared" si="9"/>
        <v>0</v>
      </c>
      <c r="J56" s="55"/>
      <c r="K56" s="55">
        <f t="shared" si="11"/>
        <v>0</v>
      </c>
      <c r="L56" s="55"/>
      <c r="M56" s="55">
        <v>0</v>
      </c>
      <c r="N56" s="55"/>
      <c r="O56" s="55">
        <v>0</v>
      </c>
      <c r="P56" s="55"/>
      <c r="Q56" s="55">
        <v>0</v>
      </c>
      <c r="R56" s="55"/>
      <c r="S56" s="55">
        <v>0</v>
      </c>
      <c r="T56" s="55"/>
      <c r="U56" s="55">
        <f t="shared" si="2"/>
        <v>0</v>
      </c>
      <c r="V56" s="55">
        <f t="shared" si="10"/>
        <v>0</v>
      </c>
      <c r="W56" s="55"/>
      <c r="X56" s="30" t="s">
        <v>51</v>
      </c>
      <c r="Y56" s="55"/>
      <c r="Z56" s="55">
        <v>0</v>
      </c>
      <c r="AA56" s="55"/>
      <c r="AB56" s="55">
        <v>0</v>
      </c>
      <c r="AC56" s="55"/>
      <c r="AD56" s="55">
        <v>0</v>
      </c>
      <c r="AE56" s="55"/>
      <c r="AF56" s="55">
        <f t="shared" si="3"/>
        <v>0</v>
      </c>
      <c r="AG56" s="55"/>
      <c r="AH56" s="55">
        <v>0</v>
      </c>
      <c r="AI56" s="55"/>
      <c r="AJ56" s="55">
        <v>0</v>
      </c>
      <c r="AK56" s="55"/>
      <c r="AL56" s="55">
        <v>0</v>
      </c>
      <c r="AM56" s="55"/>
      <c r="AN56" s="55">
        <v>0</v>
      </c>
      <c r="AO56" s="55"/>
      <c r="AP56" s="55">
        <f t="shared" si="4"/>
        <v>0</v>
      </c>
      <c r="AQ56" s="55"/>
      <c r="AR56" s="55">
        <v>0</v>
      </c>
      <c r="AS56" s="55"/>
      <c r="AT56" s="55">
        <v>0</v>
      </c>
      <c r="AU56" s="55"/>
      <c r="AV56" s="55">
        <f t="shared" si="5"/>
        <v>0</v>
      </c>
      <c r="AW56" s="55"/>
      <c r="AX56" s="30" t="s">
        <v>51</v>
      </c>
      <c r="AY56" s="55"/>
      <c r="AZ56" s="55">
        <v>0</v>
      </c>
      <c r="BA56" s="55"/>
      <c r="BB56" s="55">
        <v>0</v>
      </c>
      <c r="BC56" s="55"/>
      <c r="BD56" s="55">
        <v>0</v>
      </c>
      <c r="BE56" s="55"/>
      <c r="BF56" s="55">
        <v>0</v>
      </c>
      <c r="BG56" s="55"/>
      <c r="BH56" s="55"/>
      <c r="BI56" s="55"/>
      <c r="BJ56" s="51">
        <f t="shared" si="6"/>
        <v>0</v>
      </c>
    </row>
    <row r="57" spans="1:62" s="26" customFormat="1" ht="12">
      <c r="A57" s="30" t="s">
        <v>190</v>
      </c>
      <c r="B57" s="30"/>
      <c r="C57" s="55">
        <f t="shared" si="1"/>
        <v>2281000</v>
      </c>
      <c r="D57" s="55"/>
      <c r="E57" s="55">
        <v>43659000</v>
      </c>
      <c r="F57" s="55"/>
      <c r="G57" s="55">
        <v>45940000</v>
      </c>
      <c r="H57" s="55"/>
      <c r="I57" s="55">
        <f>+M57-K57</f>
        <v>186000</v>
      </c>
      <c r="J57" s="55"/>
      <c r="K57" s="55">
        <f t="shared" si="11"/>
        <v>4266000</v>
      </c>
      <c r="L57" s="55"/>
      <c r="M57" s="55">
        <v>4452000</v>
      </c>
      <c r="N57" s="55"/>
      <c r="O57" s="55">
        <v>39226000</v>
      </c>
      <c r="P57" s="55"/>
      <c r="Q57" s="55">
        <v>0</v>
      </c>
      <c r="R57" s="55"/>
      <c r="S57" s="55">
        <v>2262000</v>
      </c>
      <c r="T57" s="55"/>
      <c r="U57" s="55">
        <f t="shared" si="2"/>
        <v>41488000</v>
      </c>
      <c r="V57" s="55">
        <f t="shared" si="10"/>
        <v>0</v>
      </c>
      <c r="W57" s="55"/>
      <c r="X57" s="30" t="s">
        <v>190</v>
      </c>
      <c r="Y57" s="55"/>
      <c r="Z57" s="55">
        <v>1595000</v>
      </c>
      <c r="AA57" s="55"/>
      <c r="AB57" s="55">
        <f>2491000-1684000</f>
        <v>807000</v>
      </c>
      <c r="AC57" s="55"/>
      <c r="AD57" s="55">
        <v>1684000</v>
      </c>
      <c r="AE57" s="55"/>
      <c r="AF57" s="55">
        <f t="shared" si="3"/>
        <v>-896000</v>
      </c>
      <c r="AG57" s="55"/>
      <c r="AH57" s="55">
        <v>-277000</v>
      </c>
      <c r="AI57" s="55"/>
      <c r="AJ57" s="55">
        <v>0</v>
      </c>
      <c r="AK57" s="55"/>
      <c r="AL57" s="55">
        <v>0</v>
      </c>
      <c r="AM57" s="55"/>
      <c r="AN57" s="55">
        <v>6139000</v>
      </c>
      <c r="AO57" s="55"/>
      <c r="AP57" s="55">
        <f t="shared" si="4"/>
        <v>4966000</v>
      </c>
      <c r="AQ57" s="55"/>
      <c r="AR57" s="55">
        <v>0</v>
      </c>
      <c r="AS57" s="55"/>
      <c r="AT57" s="55">
        <v>0</v>
      </c>
      <c r="AU57" s="55"/>
      <c r="AV57" s="55">
        <f t="shared" si="5"/>
        <v>2095000</v>
      </c>
      <c r="AW57" s="55"/>
      <c r="AX57" s="30" t="s">
        <v>190</v>
      </c>
      <c r="AY57" s="55"/>
      <c r="AZ57" s="55">
        <v>0</v>
      </c>
      <c r="BA57" s="55"/>
      <c r="BB57" s="55">
        <v>0</v>
      </c>
      <c r="BC57" s="55"/>
      <c r="BD57" s="55">
        <v>0</v>
      </c>
      <c r="BE57" s="55"/>
      <c r="BF57" s="55">
        <v>4266000</v>
      </c>
      <c r="BG57" s="55"/>
      <c r="BH57" s="55"/>
      <c r="BI57" s="55"/>
      <c r="BJ57" s="51">
        <f t="shared" si="6"/>
        <v>4266000</v>
      </c>
    </row>
    <row r="58" spans="1:62" s="26" customFormat="1" ht="12" hidden="1">
      <c r="A58" s="30" t="s">
        <v>52</v>
      </c>
      <c r="B58" s="30"/>
      <c r="C58" s="55">
        <f t="shared" si="1"/>
        <v>0</v>
      </c>
      <c r="D58" s="55"/>
      <c r="E58" s="55">
        <v>0</v>
      </c>
      <c r="F58" s="55"/>
      <c r="G58" s="55">
        <v>0</v>
      </c>
      <c r="H58" s="55"/>
      <c r="I58" s="55">
        <f t="shared" si="9"/>
        <v>0</v>
      </c>
      <c r="J58" s="55"/>
      <c r="K58" s="55">
        <f t="shared" si="11"/>
        <v>0</v>
      </c>
      <c r="L58" s="55"/>
      <c r="M58" s="55">
        <v>0</v>
      </c>
      <c r="N58" s="55"/>
      <c r="O58" s="55">
        <v>0</v>
      </c>
      <c r="P58" s="55"/>
      <c r="Q58" s="55">
        <v>0</v>
      </c>
      <c r="R58" s="55"/>
      <c r="S58" s="55">
        <v>0</v>
      </c>
      <c r="T58" s="55"/>
      <c r="U58" s="55">
        <f t="shared" si="2"/>
        <v>0</v>
      </c>
      <c r="V58" s="55">
        <f t="shared" si="10"/>
        <v>0</v>
      </c>
      <c r="W58" s="55"/>
      <c r="X58" s="30" t="s">
        <v>52</v>
      </c>
      <c r="Y58" s="55"/>
      <c r="Z58" s="55">
        <v>0</v>
      </c>
      <c r="AA58" s="55"/>
      <c r="AB58" s="55">
        <v>0</v>
      </c>
      <c r="AC58" s="55"/>
      <c r="AD58" s="55">
        <v>0</v>
      </c>
      <c r="AE58" s="55"/>
      <c r="AF58" s="55">
        <f t="shared" si="3"/>
        <v>0</v>
      </c>
      <c r="AG58" s="55"/>
      <c r="AH58" s="55">
        <v>0</v>
      </c>
      <c r="AI58" s="55"/>
      <c r="AJ58" s="55">
        <v>0</v>
      </c>
      <c r="AK58" s="55"/>
      <c r="AL58" s="55">
        <v>0</v>
      </c>
      <c r="AM58" s="55"/>
      <c r="AN58" s="55">
        <v>0</v>
      </c>
      <c r="AO58" s="55"/>
      <c r="AP58" s="55">
        <f t="shared" si="4"/>
        <v>0</v>
      </c>
      <c r="AQ58" s="55"/>
      <c r="AR58" s="55">
        <v>0</v>
      </c>
      <c r="AS58" s="55"/>
      <c r="AT58" s="55">
        <v>0</v>
      </c>
      <c r="AU58" s="55"/>
      <c r="AV58" s="55">
        <f t="shared" si="5"/>
        <v>0</v>
      </c>
      <c r="AW58" s="55"/>
      <c r="AX58" s="30" t="s">
        <v>52</v>
      </c>
      <c r="AY58" s="55"/>
      <c r="AZ58" s="55">
        <v>0</v>
      </c>
      <c r="BA58" s="55"/>
      <c r="BB58" s="55">
        <v>0</v>
      </c>
      <c r="BC58" s="55"/>
      <c r="BD58" s="55">
        <v>0</v>
      </c>
      <c r="BE58" s="55"/>
      <c r="BF58" s="55">
        <v>0</v>
      </c>
      <c r="BG58" s="55"/>
      <c r="BH58" s="55"/>
      <c r="BI58" s="55"/>
      <c r="BJ58" s="51">
        <f t="shared" si="6"/>
        <v>0</v>
      </c>
    </row>
    <row r="59" spans="1:62" s="175" customFormat="1" ht="12" hidden="1">
      <c r="A59" s="153" t="s">
        <v>53</v>
      </c>
      <c r="B59" s="153"/>
      <c r="C59" s="173">
        <f t="shared" si="1"/>
        <v>0</v>
      </c>
      <c r="D59" s="173"/>
      <c r="E59" s="173">
        <v>0</v>
      </c>
      <c r="F59" s="173"/>
      <c r="G59" s="173">
        <v>0</v>
      </c>
      <c r="H59" s="173"/>
      <c r="I59" s="173">
        <f t="shared" si="9"/>
        <v>0</v>
      </c>
      <c r="J59" s="173"/>
      <c r="K59" s="173">
        <f t="shared" si="11"/>
        <v>0</v>
      </c>
      <c r="L59" s="173"/>
      <c r="M59" s="173">
        <v>0</v>
      </c>
      <c r="N59" s="173"/>
      <c r="O59" s="173">
        <v>0</v>
      </c>
      <c r="P59" s="173"/>
      <c r="Q59" s="173">
        <v>0</v>
      </c>
      <c r="R59" s="173"/>
      <c r="S59" s="173">
        <v>0</v>
      </c>
      <c r="T59" s="173"/>
      <c r="U59" s="173">
        <f t="shared" si="2"/>
        <v>0</v>
      </c>
      <c r="V59" s="173">
        <f t="shared" si="10"/>
        <v>0</v>
      </c>
      <c r="W59" s="173"/>
      <c r="X59" s="153" t="s">
        <v>53</v>
      </c>
      <c r="Y59" s="173"/>
      <c r="Z59" s="173">
        <v>0</v>
      </c>
      <c r="AA59" s="173"/>
      <c r="AB59" s="173">
        <v>0</v>
      </c>
      <c r="AC59" s="173"/>
      <c r="AD59" s="173">
        <v>0</v>
      </c>
      <c r="AE59" s="173"/>
      <c r="AF59" s="173">
        <f t="shared" si="3"/>
        <v>0</v>
      </c>
      <c r="AG59" s="173"/>
      <c r="AH59" s="173">
        <v>0</v>
      </c>
      <c r="AI59" s="173"/>
      <c r="AJ59" s="173">
        <v>0</v>
      </c>
      <c r="AK59" s="173"/>
      <c r="AL59" s="173">
        <v>0</v>
      </c>
      <c r="AM59" s="173"/>
      <c r="AN59" s="173">
        <v>0</v>
      </c>
      <c r="AO59" s="173"/>
      <c r="AP59" s="173">
        <f t="shared" si="4"/>
        <v>0</v>
      </c>
      <c r="AQ59" s="173"/>
      <c r="AR59" s="173">
        <v>0</v>
      </c>
      <c r="AS59" s="173"/>
      <c r="AT59" s="173">
        <v>0</v>
      </c>
      <c r="AU59" s="173"/>
      <c r="AV59" s="173">
        <f t="shared" si="5"/>
        <v>0</v>
      </c>
      <c r="AW59" s="173"/>
      <c r="AX59" s="153" t="s">
        <v>53</v>
      </c>
      <c r="AY59" s="173"/>
      <c r="AZ59" s="173">
        <v>0</v>
      </c>
      <c r="BA59" s="173"/>
      <c r="BB59" s="173">
        <v>0</v>
      </c>
      <c r="BC59" s="173"/>
      <c r="BD59" s="173">
        <v>0</v>
      </c>
      <c r="BE59" s="173"/>
      <c r="BF59" s="173">
        <v>0</v>
      </c>
      <c r="BG59" s="173"/>
      <c r="BH59" s="173"/>
      <c r="BI59" s="173"/>
      <c r="BJ59" s="174">
        <f t="shared" si="6"/>
        <v>0</v>
      </c>
    </row>
    <row r="60" spans="1:256" s="26" customFormat="1" ht="12" hidden="1">
      <c r="A60" s="93" t="s">
        <v>54</v>
      </c>
      <c r="B60" s="93"/>
      <c r="C60" s="55">
        <f t="shared" si="1"/>
        <v>0</v>
      </c>
      <c r="D60" s="55"/>
      <c r="E60" s="55">
        <v>0</v>
      </c>
      <c r="F60" s="55"/>
      <c r="G60" s="55">
        <v>0</v>
      </c>
      <c r="H60" s="55"/>
      <c r="I60" s="55">
        <f t="shared" si="9"/>
        <v>0</v>
      </c>
      <c r="J60" s="55"/>
      <c r="K60" s="55">
        <f t="shared" si="11"/>
        <v>0</v>
      </c>
      <c r="L60" s="55"/>
      <c r="M60" s="55">
        <v>0</v>
      </c>
      <c r="N60" s="55"/>
      <c r="O60" s="55">
        <v>0</v>
      </c>
      <c r="P60" s="55"/>
      <c r="Q60" s="55">
        <v>0</v>
      </c>
      <c r="R60" s="55"/>
      <c r="S60" s="55">
        <v>0</v>
      </c>
      <c r="T60" s="55"/>
      <c r="U60" s="55">
        <f t="shared" si="2"/>
        <v>0</v>
      </c>
      <c r="V60" s="55">
        <f t="shared" si="10"/>
        <v>0</v>
      </c>
      <c r="W60" s="55"/>
      <c r="X60" s="93" t="s">
        <v>54</v>
      </c>
      <c r="Y60" s="55"/>
      <c r="Z60" s="55">
        <v>0</v>
      </c>
      <c r="AA60" s="55"/>
      <c r="AB60" s="55">
        <v>0</v>
      </c>
      <c r="AC60" s="55"/>
      <c r="AD60" s="55">
        <v>0</v>
      </c>
      <c r="AE60" s="55"/>
      <c r="AF60" s="55">
        <f t="shared" si="3"/>
        <v>0</v>
      </c>
      <c r="AG60" s="55"/>
      <c r="AH60" s="55">
        <v>0</v>
      </c>
      <c r="AI60" s="55"/>
      <c r="AJ60" s="55">
        <v>0</v>
      </c>
      <c r="AK60" s="55"/>
      <c r="AL60" s="55">
        <v>0</v>
      </c>
      <c r="AM60" s="55"/>
      <c r="AN60" s="55">
        <v>0</v>
      </c>
      <c r="AO60" s="55"/>
      <c r="AP60" s="55">
        <f t="shared" si="4"/>
        <v>0</v>
      </c>
      <c r="AQ60" s="55"/>
      <c r="AR60" s="55">
        <v>0</v>
      </c>
      <c r="AS60" s="55"/>
      <c r="AT60" s="55">
        <v>0</v>
      </c>
      <c r="AU60" s="55"/>
      <c r="AV60" s="55">
        <f t="shared" si="5"/>
        <v>0</v>
      </c>
      <c r="AW60" s="55"/>
      <c r="AX60" s="93" t="s">
        <v>54</v>
      </c>
      <c r="AY60" s="55"/>
      <c r="AZ60" s="55">
        <v>0</v>
      </c>
      <c r="BA60" s="55"/>
      <c r="BB60" s="55">
        <v>0</v>
      </c>
      <c r="BC60" s="55"/>
      <c r="BD60" s="55">
        <v>0</v>
      </c>
      <c r="BE60" s="55"/>
      <c r="BF60" s="55">
        <v>0</v>
      </c>
      <c r="BG60" s="55"/>
      <c r="BH60" s="55"/>
      <c r="BI60" s="55"/>
      <c r="BJ60" s="51">
        <f t="shared" si="6"/>
        <v>0</v>
      </c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94"/>
      <c r="IH60" s="94"/>
      <c r="II60" s="94"/>
      <c r="IJ60" s="94"/>
      <c r="IK60" s="94"/>
      <c r="IL60" s="94"/>
      <c r="IM60" s="94"/>
      <c r="IN60" s="94"/>
      <c r="IO60" s="94"/>
      <c r="IP60" s="94"/>
      <c r="IQ60" s="94"/>
      <c r="IR60" s="94"/>
      <c r="IS60" s="94"/>
      <c r="IT60" s="94"/>
      <c r="IU60" s="94"/>
      <c r="IV60" s="94"/>
    </row>
    <row r="61" spans="1:62" s="26" customFormat="1" ht="12">
      <c r="A61" s="30" t="s">
        <v>55</v>
      </c>
      <c r="B61" s="30"/>
      <c r="C61" s="55">
        <f t="shared" si="1"/>
        <v>4545215</v>
      </c>
      <c r="D61" s="55"/>
      <c r="E61" s="55">
        <v>103707483</v>
      </c>
      <c r="F61" s="55"/>
      <c r="G61" s="55">
        <v>108252698</v>
      </c>
      <c r="H61" s="55"/>
      <c r="I61" s="55">
        <f t="shared" si="9"/>
        <v>2976731</v>
      </c>
      <c r="J61" s="55"/>
      <c r="K61" s="55">
        <f t="shared" si="11"/>
        <v>46243336</v>
      </c>
      <c r="L61" s="55"/>
      <c r="M61" s="55">
        <v>49220067</v>
      </c>
      <c r="N61" s="55"/>
      <c r="O61" s="55">
        <v>55955359</v>
      </c>
      <c r="P61" s="55"/>
      <c r="Q61" s="55">
        <v>0</v>
      </c>
      <c r="R61" s="55"/>
      <c r="S61" s="55">
        <v>3077272</v>
      </c>
      <c r="T61" s="55"/>
      <c r="U61" s="55">
        <f t="shared" si="2"/>
        <v>59032631</v>
      </c>
      <c r="V61" s="55">
        <f t="shared" si="10"/>
        <v>0</v>
      </c>
      <c r="W61" s="55"/>
      <c r="X61" s="30" t="s">
        <v>55</v>
      </c>
      <c r="Y61" s="55"/>
      <c r="Z61" s="55">
        <v>6656663</v>
      </c>
      <c r="AA61" s="55"/>
      <c r="AB61" s="55">
        <f>5734233-1215829</f>
        <v>4518404</v>
      </c>
      <c r="AC61" s="55"/>
      <c r="AD61" s="55">
        <v>1215829</v>
      </c>
      <c r="AE61" s="55"/>
      <c r="AF61" s="55">
        <f t="shared" si="3"/>
        <v>922430</v>
      </c>
      <c r="AG61" s="55"/>
      <c r="AH61" s="55">
        <v>-1972167</v>
      </c>
      <c r="AI61" s="55"/>
      <c r="AJ61" s="55">
        <v>0</v>
      </c>
      <c r="AK61" s="55"/>
      <c r="AL61" s="55">
        <v>93753</v>
      </c>
      <c r="AM61" s="55"/>
      <c r="AN61" s="55">
        <v>8570023</v>
      </c>
      <c r="AO61" s="55"/>
      <c r="AP61" s="55">
        <f>+AN61+AJ61+AH61+AF61-AL61</f>
        <v>7426533</v>
      </c>
      <c r="AQ61" s="55"/>
      <c r="AR61" s="55">
        <v>0</v>
      </c>
      <c r="AS61" s="55"/>
      <c r="AT61" s="55">
        <v>0</v>
      </c>
      <c r="AU61" s="55"/>
      <c r="AV61" s="55">
        <f t="shared" si="5"/>
        <v>1568484</v>
      </c>
      <c r="AW61" s="55"/>
      <c r="AX61" s="30" t="s">
        <v>55</v>
      </c>
      <c r="AY61" s="55"/>
      <c r="AZ61" s="55">
        <v>358765</v>
      </c>
      <c r="BA61" s="55"/>
      <c r="BB61" s="55">
        <v>0</v>
      </c>
      <c r="BC61" s="55"/>
      <c r="BD61" s="55">
        <f>45525875+251914</f>
        <v>45777789</v>
      </c>
      <c r="BE61" s="55"/>
      <c r="BF61" s="55">
        <v>106782</v>
      </c>
      <c r="BG61" s="55"/>
      <c r="BH61" s="55"/>
      <c r="BI61" s="55"/>
      <c r="BJ61" s="51">
        <f t="shared" si="6"/>
        <v>46243336</v>
      </c>
    </row>
    <row r="62" spans="1:62" s="26" customFormat="1" ht="12" hidden="1">
      <c r="A62" s="30" t="s">
        <v>175</v>
      </c>
      <c r="B62" s="30"/>
      <c r="C62" s="55">
        <f t="shared" si="1"/>
        <v>0</v>
      </c>
      <c r="D62" s="55"/>
      <c r="E62" s="55">
        <v>0</v>
      </c>
      <c r="F62" s="55"/>
      <c r="G62" s="55">
        <v>0</v>
      </c>
      <c r="H62" s="55"/>
      <c r="I62" s="55">
        <f t="shared" si="9"/>
        <v>0</v>
      </c>
      <c r="J62" s="55"/>
      <c r="K62" s="55">
        <f t="shared" si="11"/>
        <v>0</v>
      </c>
      <c r="L62" s="55"/>
      <c r="M62" s="55">
        <v>0</v>
      </c>
      <c r="N62" s="55"/>
      <c r="O62" s="55">
        <v>0</v>
      </c>
      <c r="P62" s="55"/>
      <c r="Q62" s="55">
        <v>0</v>
      </c>
      <c r="R62" s="55"/>
      <c r="S62" s="55">
        <v>0</v>
      </c>
      <c r="T62" s="55"/>
      <c r="U62" s="55">
        <f t="shared" si="2"/>
        <v>0</v>
      </c>
      <c r="V62" s="55">
        <f t="shared" si="10"/>
        <v>0</v>
      </c>
      <c r="W62" s="55"/>
      <c r="X62" s="30" t="s">
        <v>175</v>
      </c>
      <c r="Y62" s="55"/>
      <c r="Z62" s="55">
        <v>0</v>
      </c>
      <c r="AA62" s="55"/>
      <c r="AB62" s="55">
        <v>0</v>
      </c>
      <c r="AC62" s="55"/>
      <c r="AD62" s="55">
        <v>0</v>
      </c>
      <c r="AE62" s="55"/>
      <c r="AF62" s="55">
        <f t="shared" si="3"/>
        <v>0</v>
      </c>
      <c r="AG62" s="55"/>
      <c r="AH62" s="55">
        <v>0</v>
      </c>
      <c r="AI62" s="55"/>
      <c r="AJ62" s="55">
        <v>0</v>
      </c>
      <c r="AK62" s="55"/>
      <c r="AL62" s="55">
        <v>0</v>
      </c>
      <c r="AM62" s="55"/>
      <c r="AN62" s="55">
        <v>0</v>
      </c>
      <c r="AO62" s="55"/>
      <c r="AP62" s="55">
        <f t="shared" si="4"/>
        <v>0</v>
      </c>
      <c r="AQ62" s="55"/>
      <c r="AR62" s="55">
        <v>0</v>
      </c>
      <c r="AS62" s="55"/>
      <c r="AT62" s="55">
        <v>0</v>
      </c>
      <c r="AU62" s="55"/>
      <c r="AV62" s="55">
        <f t="shared" si="5"/>
        <v>0</v>
      </c>
      <c r="AW62" s="55"/>
      <c r="AX62" s="30" t="s">
        <v>175</v>
      </c>
      <c r="AY62" s="55"/>
      <c r="AZ62" s="55">
        <v>0</v>
      </c>
      <c r="BA62" s="55"/>
      <c r="BB62" s="55">
        <v>0</v>
      </c>
      <c r="BC62" s="55"/>
      <c r="BD62" s="55">
        <v>0</v>
      </c>
      <c r="BE62" s="55"/>
      <c r="BF62" s="55">
        <v>0</v>
      </c>
      <c r="BG62" s="55"/>
      <c r="BH62" s="55"/>
      <c r="BI62" s="55"/>
      <c r="BJ62" s="51">
        <f t="shared" si="6"/>
        <v>0</v>
      </c>
    </row>
    <row r="63" spans="1:62" s="26" customFormat="1" ht="12" hidden="1">
      <c r="A63" s="30" t="s">
        <v>56</v>
      </c>
      <c r="B63" s="30"/>
      <c r="C63" s="55">
        <f t="shared" si="1"/>
        <v>0</v>
      </c>
      <c r="D63" s="55"/>
      <c r="E63" s="55">
        <v>0</v>
      </c>
      <c r="F63" s="55"/>
      <c r="G63" s="55">
        <v>0</v>
      </c>
      <c r="H63" s="55"/>
      <c r="I63" s="55">
        <f t="shared" si="9"/>
        <v>0</v>
      </c>
      <c r="J63" s="55"/>
      <c r="K63" s="55">
        <f t="shared" si="11"/>
        <v>0</v>
      </c>
      <c r="L63" s="55"/>
      <c r="M63" s="55">
        <v>0</v>
      </c>
      <c r="N63" s="55"/>
      <c r="O63" s="55">
        <v>0</v>
      </c>
      <c r="P63" s="55"/>
      <c r="Q63" s="55">
        <v>0</v>
      </c>
      <c r="R63" s="55"/>
      <c r="S63" s="55">
        <v>0</v>
      </c>
      <c r="T63" s="55"/>
      <c r="U63" s="55">
        <f t="shared" si="2"/>
        <v>0</v>
      </c>
      <c r="V63" s="55">
        <f t="shared" si="10"/>
        <v>0</v>
      </c>
      <c r="W63" s="55"/>
      <c r="X63" s="30" t="s">
        <v>56</v>
      </c>
      <c r="Y63" s="55"/>
      <c r="Z63" s="55">
        <v>0</v>
      </c>
      <c r="AA63" s="55"/>
      <c r="AB63" s="55">
        <v>0</v>
      </c>
      <c r="AC63" s="55"/>
      <c r="AD63" s="55">
        <v>0</v>
      </c>
      <c r="AE63" s="55"/>
      <c r="AF63" s="55">
        <f t="shared" si="3"/>
        <v>0</v>
      </c>
      <c r="AG63" s="55"/>
      <c r="AH63" s="55">
        <v>0</v>
      </c>
      <c r="AI63" s="55"/>
      <c r="AJ63" s="55">
        <v>0</v>
      </c>
      <c r="AK63" s="55"/>
      <c r="AL63" s="55">
        <v>0</v>
      </c>
      <c r="AM63" s="55"/>
      <c r="AN63" s="55">
        <v>0</v>
      </c>
      <c r="AO63" s="55"/>
      <c r="AP63" s="55">
        <f t="shared" si="4"/>
        <v>0</v>
      </c>
      <c r="AQ63" s="55"/>
      <c r="AR63" s="55">
        <v>0</v>
      </c>
      <c r="AS63" s="55"/>
      <c r="AT63" s="55">
        <v>0</v>
      </c>
      <c r="AU63" s="55"/>
      <c r="AV63" s="55">
        <f t="shared" si="5"/>
        <v>0</v>
      </c>
      <c r="AW63" s="55"/>
      <c r="AX63" s="30" t="s">
        <v>56</v>
      </c>
      <c r="AY63" s="55"/>
      <c r="AZ63" s="55">
        <v>0</v>
      </c>
      <c r="BA63" s="55"/>
      <c r="BB63" s="55">
        <v>0</v>
      </c>
      <c r="BC63" s="55"/>
      <c r="BD63" s="55">
        <v>0</v>
      </c>
      <c r="BE63" s="55"/>
      <c r="BF63" s="55">
        <v>0</v>
      </c>
      <c r="BG63" s="55"/>
      <c r="BH63" s="55"/>
      <c r="BI63" s="55"/>
      <c r="BJ63" s="51">
        <f t="shared" si="6"/>
        <v>0</v>
      </c>
    </row>
    <row r="64" spans="1:62" s="26" customFormat="1" ht="12">
      <c r="A64" s="30" t="s">
        <v>57</v>
      </c>
      <c r="B64" s="30"/>
      <c r="C64" s="55">
        <f t="shared" si="1"/>
        <v>327485</v>
      </c>
      <c r="D64" s="55"/>
      <c r="E64" s="55">
        <v>4538450</v>
      </c>
      <c r="F64" s="55"/>
      <c r="G64" s="55">
        <v>4865935</v>
      </c>
      <c r="H64" s="55"/>
      <c r="I64" s="55">
        <f t="shared" si="9"/>
        <v>573843</v>
      </c>
      <c r="J64" s="55"/>
      <c r="K64" s="55">
        <f t="shared" si="11"/>
        <v>2259923</v>
      </c>
      <c r="L64" s="55"/>
      <c r="M64" s="55">
        <v>2833766</v>
      </c>
      <c r="N64" s="55"/>
      <c r="O64" s="55">
        <v>1874533</v>
      </c>
      <c r="P64" s="55"/>
      <c r="Q64" s="55">
        <v>0</v>
      </c>
      <c r="R64" s="55"/>
      <c r="S64" s="55">
        <v>157636</v>
      </c>
      <c r="T64" s="55"/>
      <c r="U64" s="55">
        <f t="shared" si="2"/>
        <v>2032169</v>
      </c>
      <c r="V64" s="55">
        <f>G64-M64-U64</f>
        <v>0</v>
      </c>
      <c r="W64" s="55"/>
      <c r="X64" s="30" t="s">
        <v>57</v>
      </c>
      <c r="Y64" s="55"/>
      <c r="Z64" s="55">
        <v>1227159</v>
      </c>
      <c r="AA64" s="55"/>
      <c r="AB64" s="55">
        <f>1178157-120460</f>
        <v>1057697</v>
      </c>
      <c r="AC64" s="55"/>
      <c r="AD64" s="55">
        <v>120460</v>
      </c>
      <c r="AE64" s="55"/>
      <c r="AF64" s="55">
        <f t="shared" si="3"/>
        <v>49002</v>
      </c>
      <c r="AG64" s="55"/>
      <c r="AH64" s="55">
        <v>34575</v>
      </c>
      <c r="AI64" s="55"/>
      <c r="AJ64" s="55">
        <v>0</v>
      </c>
      <c r="AK64" s="55"/>
      <c r="AL64" s="55">
        <v>0</v>
      </c>
      <c r="AM64" s="55"/>
      <c r="AN64" s="55">
        <v>79586</v>
      </c>
      <c r="AO64" s="55"/>
      <c r="AP64" s="55">
        <f t="shared" si="4"/>
        <v>163163</v>
      </c>
      <c r="AQ64" s="55"/>
      <c r="AR64" s="55">
        <v>0</v>
      </c>
      <c r="AS64" s="55"/>
      <c r="AT64" s="55">
        <v>0</v>
      </c>
      <c r="AU64" s="55"/>
      <c r="AV64" s="55">
        <f t="shared" si="5"/>
        <v>-246358</v>
      </c>
      <c r="AW64" s="55"/>
      <c r="AX64" s="30" t="s">
        <v>57</v>
      </c>
      <c r="AY64" s="55"/>
      <c r="AZ64" s="55">
        <v>1872681</v>
      </c>
      <c r="BA64" s="55"/>
      <c r="BB64" s="55">
        <v>0</v>
      </c>
      <c r="BC64" s="55"/>
      <c r="BD64" s="55">
        <v>375000</v>
      </c>
      <c r="BE64" s="55"/>
      <c r="BF64" s="55">
        <v>12242</v>
      </c>
      <c r="BG64" s="55"/>
      <c r="BH64" s="55"/>
      <c r="BI64" s="55"/>
      <c r="BJ64" s="51">
        <f t="shared" si="6"/>
        <v>2259923</v>
      </c>
    </row>
    <row r="65" spans="1:62" s="26" customFormat="1" ht="12" hidden="1">
      <c r="A65" s="30" t="s">
        <v>58</v>
      </c>
      <c r="B65" s="30"/>
      <c r="C65" s="55">
        <f t="shared" si="1"/>
        <v>0</v>
      </c>
      <c r="D65" s="55"/>
      <c r="E65" s="55">
        <v>0</v>
      </c>
      <c r="F65" s="55"/>
      <c r="G65" s="55">
        <v>0</v>
      </c>
      <c r="H65" s="55"/>
      <c r="I65" s="55">
        <f t="shared" si="9"/>
        <v>0</v>
      </c>
      <c r="J65" s="55"/>
      <c r="K65" s="55">
        <f t="shared" si="11"/>
        <v>0</v>
      </c>
      <c r="L65" s="55"/>
      <c r="M65" s="55">
        <v>0</v>
      </c>
      <c r="N65" s="55"/>
      <c r="O65" s="55">
        <v>0</v>
      </c>
      <c r="P65" s="55"/>
      <c r="Q65" s="55">
        <v>0</v>
      </c>
      <c r="R65" s="55"/>
      <c r="S65" s="55">
        <v>0</v>
      </c>
      <c r="T65" s="55"/>
      <c r="U65" s="55">
        <f t="shared" si="2"/>
        <v>0</v>
      </c>
      <c r="V65" s="55">
        <f t="shared" si="10"/>
        <v>0</v>
      </c>
      <c r="W65" s="55"/>
      <c r="X65" s="30" t="s">
        <v>58</v>
      </c>
      <c r="Y65" s="55"/>
      <c r="Z65" s="55">
        <v>0</v>
      </c>
      <c r="AA65" s="55"/>
      <c r="AB65" s="55">
        <v>0</v>
      </c>
      <c r="AC65" s="55"/>
      <c r="AD65" s="55">
        <v>0</v>
      </c>
      <c r="AE65" s="55"/>
      <c r="AF65" s="55">
        <f t="shared" si="3"/>
        <v>0</v>
      </c>
      <c r="AG65" s="55"/>
      <c r="AH65" s="55">
        <v>0</v>
      </c>
      <c r="AI65" s="55"/>
      <c r="AJ65" s="55">
        <v>0</v>
      </c>
      <c r="AK65" s="55"/>
      <c r="AL65" s="55">
        <v>0</v>
      </c>
      <c r="AM65" s="55"/>
      <c r="AN65" s="55">
        <v>0</v>
      </c>
      <c r="AO65" s="55"/>
      <c r="AP65" s="55">
        <f t="shared" si="4"/>
        <v>0</v>
      </c>
      <c r="AQ65" s="55"/>
      <c r="AR65" s="55">
        <v>0</v>
      </c>
      <c r="AS65" s="55"/>
      <c r="AT65" s="55">
        <v>0</v>
      </c>
      <c r="AU65" s="55"/>
      <c r="AV65" s="55">
        <f t="shared" si="5"/>
        <v>0</v>
      </c>
      <c r="AW65" s="55"/>
      <c r="AX65" s="30" t="s">
        <v>58</v>
      </c>
      <c r="AY65" s="55"/>
      <c r="AZ65" s="55">
        <v>0</v>
      </c>
      <c r="BA65" s="55"/>
      <c r="BB65" s="55">
        <v>0</v>
      </c>
      <c r="BC65" s="55"/>
      <c r="BD65" s="55">
        <v>0</v>
      </c>
      <c r="BE65" s="55"/>
      <c r="BF65" s="55">
        <v>0</v>
      </c>
      <c r="BG65" s="55"/>
      <c r="BH65" s="55"/>
      <c r="BI65" s="55"/>
      <c r="BJ65" s="51">
        <f t="shared" si="6"/>
        <v>0</v>
      </c>
    </row>
    <row r="66" spans="1:63" s="26" customFormat="1" ht="12">
      <c r="A66" s="30" t="s">
        <v>59</v>
      </c>
      <c r="B66" s="30"/>
      <c r="C66" s="55">
        <f t="shared" si="1"/>
        <v>133365645</v>
      </c>
      <c r="D66" s="55"/>
      <c r="E66" s="55">
        <f>27596912+7466595</f>
        <v>35063507</v>
      </c>
      <c r="F66" s="55"/>
      <c r="G66" s="55">
        <v>168429152</v>
      </c>
      <c r="H66" s="55"/>
      <c r="I66" s="55">
        <f t="shared" si="9"/>
        <v>46925224</v>
      </c>
      <c r="J66" s="55"/>
      <c r="K66" s="55">
        <f t="shared" si="11"/>
        <v>2375464</v>
      </c>
      <c r="L66" s="55"/>
      <c r="M66" s="55">
        <v>49300688</v>
      </c>
      <c r="N66" s="55"/>
      <c r="O66" s="55">
        <v>76277376</v>
      </c>
      <c r="P66" s="55"/>
      <c r="Q66" s="55">
        <f>29655612+2176345</f>
        <v>31831957</v>
      </c>
      <c r="R66" s="55"/>
      <c r="S66" s="55">
        <v>11019131</v>
      </c>
      <c r="T66" s="55"/>
      <c r="U66" s="55">
        <f t="shared" si="2"/>
        <v>119128464</v>
      </c>
      <c r="V66" s="55">
        <f t="shared" si="10"/>
        <v>0</v>
      </c>
      <c r="W66" s="55"/>
      <c r="X66" s="30" t="s">
        <v>59</v>
      </c>
      <c r="Y66" s="55"/>
      <c r="Z66" s="55">
        <v>30953696</v>
      </c>
      <c r="AA66" s="55"/>
      <c r="AB66" s="55">
        <f>29740835-3995726</f>
        <v>25745109</v>
      </c>
      <c r="AC66" s="55"/>
      <c r="AD66" s="55">
        <v>1995726</v>
      </c>
      <c r="AE66" s="55"/>
      <c r="AF66" s="55">
        <f t="shared" si="3"/>
        <v>3212861</v>
      </c>
      <c r="AG66" s="55"/>
      <c r="AH66" s="55">
        <v>-1150646</v>
      </c>
      <c r="AI66" s="55"/>
      <c r="AJ66" s="55">
        <v>0</v>
      </c>
      <c r="AK66" s="55"/>
      <c r="AL66" s="55">
        <v>119181</v>
      </c>
      <c r="AM66" s="55"/>
      <c r="AN66" s="55">
        <v>881855</v>
      </c>
      <c r="AO66" s="55"/>
      <c r="AP66" s="55">
        <f t="shared" si="4"/>
        <v>2824889</v>
      </c>
      <c r="AQ66" s="55"/>
      <c r="AR66" s="55">
        <v>0</v>
      </c>
      <c r="AS66" s="55"/>
      <c r="AT66" s="55">
        <v>0</v>
      </c>
      <c r="AU66" s="55"/>
      <c r="AV66" s="55">
        <f t="shared" si="5"/>
        <v>86440421</v>
      </c>
      <c r="AW66" s="55"/>
      <c r="AX66" s="30" t="s">
        <v>59</v>
      </c>
      <c r="AY66" s="55"/>
      <c r="AZ66" s="55">
        <f>2107528-10245</f>
        <v>2097283</v>
      </c>
      <c r="BA66" s="55"/>
      <c r="BB66" s="55">
        <v>0</v>
      </c>
      <c r="BC66" s="55"/>
      <c r="BD66" s="55">
        <v>0</v>
      </c>
      <c r="BE66" s="55"/>
      <c r="BF66" s="55">
        <v>278181</v>
      </c>
      <c r="BG66" s="55"/>
      <c r="BH66" s="55"/>
      <c r="BI66" s="55"/>
      <c r="BJ66" s="51">
        <f t="shared" si="6"/>
        <v>2375464</v>
      </c>
      <c r="BK66" s="51"/>
    </row>
    <row r="67" spans="1:62" s="26" customFormat="1" ht="12" hidden="1">
      <c r="A67" s="30" t="s">
        <v>60</v>
      </c>
      <c r="B67" s="30"/>
      <c r="C67" s="55">
        <f t="shared" si="1"/>
        <v>0</v>
      </c>
      <c r="D67" s="55"/>
      <c r="E67" s="55">
        <v>0</v>
      </c>
      <c r="F67" s="55"/>
      <c r="G67" s="55">
        <v>0</v>
      </c>
      <c r="H67" s="55"/>
      <c r="I67" s="55">
        <f t="shared" si="9"/>
        <v>0</v>
      </c>
      <c r="J67" s="55"/>
      <c r="K67" s="55">
        <f t="shared" si="11"/>
        <v>0</v>
      </c>
      <c r="L67" s="55"/>
      <c r="M67" s="55">
        <v>0</v>
      </c>
      <c r="N67" s="55"/>
      <c r="O67" s="55">
        <v>0</v>
      </c>
      <c r="P67" s="55"/>
      <c r="Q67" s="55">
        <v>0</v>
      </c>
      <c r="R67" s="55"/>
      <c r="S67" s="55">
        <v>0</v>
      </c>
      <c r="T67" s="55"/>
      <c r="U67" s="55">
        <f t="shared" si="2"/>
        <v>0</v>
      </c>
      <c r="V67" s="55">
        <f t="shared" si="10"/>
        <v>0</v>
      </c>
      <c r="W67" s="55"/>
      <c r="X67" s="30" t="s">
        <v>60</v>
      </c>
      <c r="Y67" s="55"/>
      <c r="Z67" s="55">
        <v>0</v>
      </c>
      <c r="AA67" s="55"/>
      <c r="AB67" s="55">
        <v>0</v>
      </c>
      <c r="AC67" s="55"/>
      <c r="AD67" s="55">
        <v>0</v>
      </c>
      <c r="AE67" s="55"/>
      <c r="AF67" s="55">
        <f t="shared" si="3"/>
        <v>0</v>
      </c>
      <c r="AG67" s="55"/>
      <c r="AH67" s="55">
        <v>0</v>
      </c>
      <c r="AI67" s="55"/>
      <c r="AJ67" s="55">
        <v>0</v>
      </c>
      <c r="AK67" s="55"/>
      <c r="AL67" s="55">
        <v>0</v>
      </c>
      <c r="AM67" s="55"/>
      <c r="AN67" s="55">
        <v>0</v>
      </c>
      <c r="AO67" s="55"/>
      <c r="AP67" s="55">
        <f t="shared" si="4"/>
        <v>0</v>
      </c>
      <c r="AQ67" s="55"/>
      <c r="AR67" s="55">
        <v>0</v>
      </c>
      <c r="AS67" s="55"/>
      <c r="AT67" s="55">
        <v>0</v>
      </c>
      <c r="AU67" s="55"/>
      <c r="AV67" s="55">
        <f t="shared" si="5"/>
        <v>0</v>
      </c>
      <c r="AW67" s="55"/>
      <c r="AX67" s="30" t="s">
        <v>60</v>
      </c>
      <c r="AY67" s="55"/>
      <c r="AZ67" s="55">
        <v>0</v>
      </c>
      <c r="BA67" s="55"/>
      <c r="BB67" s="55">
        <v>0</v>
      </c>
      <c r="BC67" s="55"/>
      <c r="BD67" s="55">
        <v>0</v>
      </c>
      <c r="BE67" s="55"/>
      <c r="BF67" s="55">
        <v>0</v>
      </c>
      <c r="BG67" s="55"/>
      <c r="BH67" s="55"/>
      <c r="BI67" s="55"/>
      <c r="BJ67" s="51">
        <f t="shared" si="6"/>
        <v>0</v>
      </c>
    </row>
    <row r="68" spans="1:62" s="128" customFormat="1" ht="12" hidden="1">
      <c r="A68" s="79" t="s">
        <v>97</v>
      </c>
      <c r="B68" s="79"/>
      <c r="C68" s="127">
        <f t="shared" si="1"/>
        <v>0</v>
      </c>
      <c r="D68" s="127"/>
      <c r="E68" s="127">
        <v>0</v>
      </c>
      <c r="F68" s="127"/>
      <c r="G68" s="127">
        <v>0</v>
      </c>
      <c r="H68" s="127"/>
      <c r="I68" s="55">
        <f t="shared" si="9"/>
        <v>0</v>
      </c>
      <c r="J68" s="127"/>
      <c r="K68" s="127">
        <v>0</v>
      </c>
      <c r="L68" s="127"/>
      <c r="M68" s="127">
        <v>0</v>
      </c>
      <c r="N68" s="127"/>
      <c r="O68" s="127">
        <v>0</v>
      </c>
      <c r="P68" s="127"/>
      <c r="Q68" s="127">
        <v>0</v>
      </c>
      <c r="R68" s="127"/>
      <c r="S68" s="127">
        <v>0</v>
      </c>
      <c r="T68" s="127"/>
      <c r="U68" s="127">
        <f t="shared" si="2"/>
        <v>0</v>
      </c>
      <c r="V68" s="55">
        <f t="shared" si="10"/>
        <v>0</v>
      </c>
      <c r="W68" s="127"/>
      <c r="X68" s="79" t="s">
        <v>97</v>
      </c>
      <c r="Y68" s="127"/>
      <c r="Z68" s="127">
        <v>0</v>
      </c>
      <c r="AA68" s="127"/>
      <c r="AB68" s="127">
        <v>0</v>
      </c>
      <c r="AC68" s="127"/>
      <c r="AD68" s="127">
        <v>0</v>
      </c>
      <c r="AE68" s="127"/>
      <c r="AF68" s="127">
        <f t="shared" si="3"/>
        <v>0</v>
      </c>
      <c r="AG68" s="127"/>
      <c r="AH68" s="127">
        <v>0</v>
      </c>
      <c r="AI68" s="127"/>
      <c r="AJ68" s="127">
        <v>0</v>
      </c>
      <c r="AK68" s="127"/>
      <c r="AL68" s="127">
        <v>0</v>
      </c>
      <c r="AM68" s="127"/>
      <c r="AN68" s="127">
        <v>0</v>
      </c>
      <c r="AO68" s="127"/>
      <c r="AP68" s="127">
        <f t="shared" si="4"/>
        <v>0</v>
      </c>
      <c r="AQ68" s="127"/>
      <c r="AR68" s="127">
        <v>0</v>
      </c>
      <c r="AS68" s="127"/>
      <c r="AT68" s="127">
        <v>0</v>
      </c>
      <c r="AU68" s="127"/>
      <c r="AV68" s="127">
        <f t="shared" si="5"/>
        <v>0</v>
      </c>
      <c r="AW68" s="127"/>
      <c r="AX68" s="79" t="s">
        <v>97</v>
      </c>
      <c r="AY68" s="127"/>
      <c r="AZ68" s="127">
        <v>0</v>
      </c>
      <c r="BA68" s="127"/>
      <c r="BB68" s="127">
        <v>0</v>
      </c>
      <c r="BC68" s="127"/>
      <c r="BD68" s="127">
        <v>0</v>
      </c>
      <c r="BE68" s="127"/>
      <c r="BF68" s="127">
        <v>0</v>
      </c>
      <c r="BG68" s="127"/>
      <c r="BH68" s="127"/>
      <c r="BI68" s="127"/>
      <c r="BJ68" s="65">
        <f t="shared" si="6"/>
        <v>0</v>
      </c>
    </row>
    <row r="69" spans="1:62" s="26" customFormat="1" ht="12">
      <c r="A69" s="30" t="s">
        <v>61</v>
      </c>
      <c r="B69" s="30"/>
      <c r="C69" s="55">
        <f t="shared" si="1"/>
        <v>2105876</v>
      </c>
      <c r="D69" s="55"/>
      <c r="E69" s="55">
        <v>20761157</v>
      </c>
      <c r="F69" s="55"/>
      <c r="G69" s="55">
        <v>22867033</v>
      </c>
      <c r="H69" s="55"/>
      <c r="I69" s="55">
        <f t="shared" si="9"/>
        <v>541614</v>
      </c>
      <c r="J69" s="55"/>
      <c r="K69" s="55">
        <f t="shared" si="11"/>
        <v>9583956</v>
      </c>
      <c r="L69" s="55"/>
      <c r="M69" s="55">
        <v>10125570</v>
      </c>
      <c r="N69" s="55"/>
      <c r="O69" s="55">
        <v>10864228</v>
      </c>
      <c r="P69" s="55"/>
      <c r="Q69" s="55">
        <v>0</v>
      </c>
      <c r="R69" s="55"/>
      <c r="S69" s="55">
        <v>1877235</v>
      </c>
      <c r="T69" s="55"/>
      <c r="U69" s="55">
        <f t="shared" si="2"/>
        <v>12741463</v>
      </c>
      <c r="V69" s="55">
        <f t="shared" si="10"/>
        <v>0</v>
      </c>
      <c r="W69" s="55"/>
      <c r="X69" s="30" t="s">
        <v>61</v>
      </c>
      <c r="Y69" s="55"/>
      <c r="Z69" s="55">
        <v>2803829</v>
      </c>
      <c r="AA69" s="55"/>
      <c r="AB69" s="55">
        <f>2543335-761715</f>
        <v>1781620</v>
      </c>
      <c r="AC69" s="55"/>
      <c r="AD69" s="55">
        <v>761715</v>
      </c>
      <c r="AE69" s="55"/>
      <c r="AF69" s="55">
        <f t="shared" si="3"/>
        <v>260494</v>
      </c>
      <c r="AG69" s="55"/>
      <c r="AH69" s="55">
        <v>-430298</v>
      </c>
      <c r="AI69" s="55"/>
      <c r="AJ69" s="55">
        <v>4694</v>
      </c>
      <c r="AK69" s="55"/>
      <c r="AL69" s="55">
        <v>0</v>
      </c>
      <c r="AM69" s="55"/>
      <c r="AN69" s="55">
        <f>122320+91286</f>
        <v>213606</v>
      </c>
      <c r="AO69" s="55"/>
      <c r="AP69" s="55">
        <f t="shared" si="4"/>
        <v>48496</v>
      </c>
      <c r="AQ69" s="55"/>
      <c r="AR69" s="55">
        <v>0</v>
      </c>
      <c r="AS69" s="55"/>
      <c r="AT69" s="55">
        <v>0</v>
      </c>
      <c r="AU69" s="55"/>
      <c r="AV69" s="55">
        <f t="shared" si="5"/>
        <v>1564262</v>
      </c>
      <c r="AW69" s="55"/>
      <c r="AX69" s="30" t="s">
        <v>61</v>
      </c>
      <c r="AY69" s="55"/>
      <c r="AZ69" s="55">
        <v>6620145</v>
      </c>
      <c r="BA69" s="55"/>
      <c r="BB69" s="55">
        <v>0</v>
      </c>
      <c r="BC69" s="55"/>
      <c r="BD69" s="55">
        <v>2937852</v>
      </c>
      <c r="BE69" s="55"/>
      <c r="BF69" s="55">
        <v>25959</v>
      </c>
      <c r="BG69" s="55"/>
      <c r="BH69" s="55"/>
      <c r="BI69" s="55"/>
      <c r="BJ69" s="51">
        <f t="shared" si="6"/>
        <v>9583956</v>
      </c>
    </row>
    <row r="70" spans="1:62" s="26" customFormat="1" ht="12" hidden="1">
      <c r="A70" s="30" t="s">
        <v>62</v>
      </c>
      <c r="B70" s="30"/>
      <c r="C70" s="55">
        <f t="shared" si="1"/>
        <v>0</v>
      </c>
      <c r="D70" s="55"/>
      <c r="E70" s="55">
        <v>0</v>
      </c>
      <c r="F70" s="55"/>
      <c r="G70" s="55">
        <v>0</v>
      </c>
      <c r="H70" s="55"/>
      <c r="I70" s="55">
        <f t="shared" si="9"/>
        <v>0</v>
      </c>
      <c r="J70" s="55"/>
      <c r="K70" s="55">
        <f t="shared" si="11"/>
        <v>0</v>
      </c>
      <c r="L70" s="55"/>
      <c r="M70" s="55">
        <v>0</v>
      </c>
      <c r="N70" s="55"/>
      <c r="O70" s="55">
        <v>0</v>
      </c>
      <c r="P70" s="55"/>
      <c r="Q70" s="55">
        <v>0</v>
      </c>
      <c r="R70" s="55"/>
      <c r="S70" s="55">
        <v>0</v>
      </c>
      <c r="T70" s="55"/>
      <c r="U70" s="55">
        <f t="shared" si="2"/>
        <v>0</v>
      </c>
      <c r="V70" s="55">
        <f t="shared" si="10"/>
        <v>0</v>
      </c>
      <c r="W70" s="55"/>
      <c r="X70" s="30" t="s">
        <v>62</v>
      </c>
      <c r="Y70" s="55"/>
      <c r="Z70" s="55">
        <v>0</v>
      </c>
      <c r="AA70" s="55"/>
      <c r="AB70" s="55">
        <v>0</v>
      </c>
      <c r="AC70" s="55"/>
      <c r="AD70" s="55">
        <v>0</v>
      </c>
      <c r="AE70" s="55"/>
      <c r="AF70" s="55">
        <f t="shared" si="3"/>
        <v>0</v>
      </c>
      <c r="AG70" s="55"/>
      <c r="AH70" s="55">
        <v>0</v>
      </c>
      <c r="AI70" s="55"/>
      <c r="AJ70" s="55">
        <v>0</v>
      </c>
      <c r="AK70" s="55"/>
      <c r="AL70" s="55">
        <v>0</v>
      </c>
      <c r="AM70" s="55"/>
      <c r="AN70" s="55">
        <v>0</v>
      </c>
      <c r="AO70" s="55"/>
      <c r="AP70" s="55">
        <f t="shared" si="4"/>
        <v>0</v>
      </c>
      <c r="AQ70" s="55"/>
      <c r="AR70" s="55">
        <v>0</v>
      </c>
      <c r="AS70" s="55"/>
      <c r="AT70" s="55">
        <v>0</v>
      </c>
      <c r="AU70" s="55"/>
      <c r="AV70" s="55">
        <f t="shared" si="5"/>
        <v>0</v>
      </c>
      <c r="AW70" s="55"/>
      <c r="AX70" s="30" t="s">
        <v>62</v>
      </c>
      <c r="AY70" s="55"/>
      <c r="AZ70" s="55">
        <v>0</v>
      </c>
      <c r="BA70" s="55"/>
      <c r="BB70" s="55">
        <v>0</v>
      </c>
      <c r="BC70" s="55"/>
      <c r="BD70" s="55">
        <v>0</v>
      </c>
      <c r="BE70" s="55"/>
      <c r="BF70" s="55">
        <v>0</v>
      </c>
      <c r="BG70" s="55"/>
      <c r="BH70" s="55"/>
      <c r="BI70" s="55"/>
      <c r="BJ70" s="51">
        <f t="shared" si="6"/>
        <v>0</v>
      </c>
    </row>
    <row r="71" spans="1:62" s="26" customFormat="1" ht="12">
      <c r="A71" s="30" t="s">
        <v>63</v>
      </c>
      <c r="B71" s="30"/>
      <c r="C71" s="55">
        <f t="shared" si="1"/>
        <v>5599447</v>
      </c>
      <c r="D71" s="55"/>
      <c r="E71" s="55">
        <v>68412370</v>
      </c>
      <c r="F71" s="55"/>
      <c r="G71" s="55">
        <v>74011817</v>
      </c>
      <c r="H71" s="55"/>
      <c r="I71" s="55">
        <f t="shared" si="9"/>
        <v>2051690</v>
      </c>
      <c r="J71" s="55"/>
      <c r="K71" s="55">
        <f t="shared" si="11"/>
        <v>31938622</v>
      </c>
      <c r="L71" s="55"/>
      <c r="M71" s="55">
        <v>33990312</v>
      </c>
      <c r="N71" s="55"/>
      <c r="O71" s="55">
        <v>35211958</v>
      </c>
      <c r="P71" s="55"/>
      <c r="Q71" s="55">
        <v>0</v>
      </c>
      <c r="R71" s="55"/>
      <c r="S71" s="55">
        <v>4809547</v>
      </c>
      <c r="T71" s="55"/>
      <c r="U71" s="55">
        <f t="shared" si="2"/>
        <v>40021505</v>
      </c>
      <c r="V71" s="55">
        <f t="shared" si="10"/>
        <v>0</v>
      </c>
      <c r="W71" s="55"/>
      <c r="X71" s="30" t="s">
        <v>63</v>
      </c>
      <c r="Y71" s="55"/>
      <c r="Z71" s="55">
        <v>4691161</v>
      </c>
      <c r="AA71" s="55"/>
      <c r="AB71" s="55">
        <f>3805903-1613513</f>
        <v>2192390</v>
      </c>
      <c r="AC71" s="55"/>
      <c r="AD71" s="55">
        <v>1613513</v>
      </c>
      <c r="AE71" s="55"/>
      <c r="AF71" s="55">
        <f t="shared" si="3"/>
        <v>885258</v>
      </c>
      <c r="AG71" s="55"/>
      <c r="AH71" s="55">
        <v>-2674491</v>
      </c>
      <c r="AI71" s="55"/>
      <c r="AJ71" s="55">
        <v>353933</v>
      </c>
      <c r="AK71" s="55"/>
      <c r="AL71" s="55">
        <v>-125800</v>
      </c>
      <c r="AM71" s="55"/>
      <c r="AN71" s="55">
        <v>1154670</v>
      </c>
      <c r="AO71" s="55"/>
      <c r="AP71" s="55">
        <f t="shared" si="4"/>
        <v>-154830</v>
      </c>
      <c r="AQ71" s="55"/>
      <c r="AR71" s="55">
        <v>0</v>
      </c>
      <c r="AS71" s="55"/>
      <c r="AT71" s="55">
        <v>0</v>
      </c>
      <c r="AU71" s="55"/>
      <c r="AV71" s="55">
        <f t="shared" si="5"/>
        <v>3547757</v>
      </c>
      <c r="AW71" s="55"/>
      <c r="AX71" s="30" t="s">
        <v>63</v>
      </c>
      <c r="AY71" s="55"/>
      <c r="AZ71" s="55">
        <v>1811600</v>
      </c>
      <c r="BA71" s="55"/>
      <c r="BB71" s="55">
        <v>0</v>
      </c>
      <c r="BC71" s="55"/>
      <c r="BD71" s="55">
        <f>26277932+232293+1101797+2479826</f>
        <v>30091848</v>
      </c>
      <c r="BE71" s="55"/>
      <c r="BF71" s="55">
        <v>35174</v>
      </c>
      <c r="BG71" s="55"/>
      <c r="BH71" s="55"/>
      <c r="BI71" s="55"/>
      <c r="BJ71" s="51">
        <f t="shared" si="6"/>
        <v>31938622</v>
      </c>
    </row>
    <row r="72" spans="1:62" s="26" customFormat="1" ht="12" hidden="1">
      <c r="A72" s="30" t="s">
        <v>132</v>
      </c>
      <c r="B72" s="30"/>
      <c r="C72" s="55">
        <f t="shared" si="1"/>
        <v>0</v>
      </c>
      <c r="D72" s="55"/>
      <c r="E72" s="55">
        <v>0</v>
      </c>
      <c r="F72" s="55"/>
      <c r="G72" s="55">
        <v>0</v>
      </c>
      <c r="H72" s="55"/>
      <c r="I72" s="55">
        <f t="shared" si="9"/>
        <v>0</v>
      </c>
      <c r="J72" s="55"/>
      <c r="K72" s="55">
        <f t="shared" si="11"/>
        <v>0</v>
      </c>
      <c r="L72" s="55"/>
      <c r="M72" s="55">
        <v>0</v>
      </c>
      <c r="N72" s="55"/>
      <c r="O72" s="55">
        <v>0</v>
      </c>
      <c r="P72" s="55"/>
      <c r="Q72" s="55">
        <v>0</v>
      </c>
      <c r="R72" s="55"/>
      <c r="S72" s="55">
        <v>0</v>
      </c>
      <c r="T72" s="55"/>
      <c r="U72" s="55">
        <f t="shared" si="2"/>
        <v>0</v>
      </c>
      <c r="V72" s="55">
        <f t="shared" si="10"/>
        <v>0</v>
      </c>
      <c r="W72" s="55"/>
      <c r="X72" s="30" t="s">
        <v>132</v>
      </c>
      <c r="Y72" s="55"/>
      <c r="Z72" s="55">
        <v>0</v>
      </c>
      <c r="AA72" s="55"/>
      <c r="AB72" s="55">
        <v>0</v>
      </c>
      <c r="AC72" s="55"/>
      <c r="AD72" s="55">
        <v>0</v>
      </c>
      <c r="AE72" s="55"/>
      <c r="AF72" s="55">
        <f t="shared" si="3"/>
        <v>0</v>
      </c>
      <c r="AG72" s="55"/>
      <c r="AH72" s="55">
        <v>0</v>
      </c>
      <c r="AI72" s="55"/>
      <c r="AJ72" s="55">
        <v>0</v>
      </c>
      <c r="AK72" s="55"/>
      <c r="AL72" s="55">
        <v>0</v>
      </c>
      <c r="AM72" s="55"/>
      <c r="AN72" s="55">
        <v>0</v>
      </c>
      <c r="AO72" s="55"/>
      <c r="AP72" s="55">
        <f t="shared" si="4"/>
        <v>0</v>
      </c>
      <c r="AQ72" s="55"/>
      <c r="AR72" s="55">
        <v>0</v>
      </c>
      <c r="AS72" s="55"/>
      <c r="AT72" s="55">
        <v>0</v>
      </c>
      <c r="AU72" s="55"/>
      <c r="AV72" s="55">
        <f t="shared" si="5"/>
        <v>0</v>
      </c>
      <c r="AW72" s="55"/>
      <c r="AX72" s="30" t="s">
        <v>132</v>
      </c>
      <c r="AY72" s="55"/>
      <c r="AZ72" s="55">
        <v>0</v>
      </c>
      <c r="BA72" s="55"/>
      <c r="BB72" s="55">
        <v>0</v>
      </c>
      <c r="BC72" s="55"/>
      <c r="BD72" s="55">
        <v>0</v>
      </c>
      <c r="BE72" s="55"/>
      <c r="BF72" s="55">
        <v>0</v>
      </c>
      <c r="BG72" s="55"/>
      <c r="BH72" s="55"/>
      <c r="BI72" s="55"/>
      <c r="BJ72" s="51">
        <f t="shared" si="6"/>
        <v>0</v>
      </c>
    </row>
    <row r="73" spans="1:66" s="26" customFormat="1" ht="12" hidden="1">
      <c r="A73" s="30" t="s">
        <v>64</v>
      </c>
      <c r="B73" s="30"/>
      <c r="C73" s="55">
        <f t="shared" si="1"/>
        <v>0</v>
      </c>
      <c r="D73" s="55"/>
      <c r="E73" s="55">
        <v>0</v>
      </c>
      <c r="F73" s="55"/>
      <c r="G73" s="55">
        <v>0</v>
      </c>
      <c r="H73" s="55"/>
      <c r="I73" s="55">
        <f t="shared" si="9"/>
        <v>0</v>
      </c>
      <c r="J73" s="55"/>
      <c r="K73" s="55">
        <f t="shared" si="11"/>
        <v>0</v>
      </c>
      <c r="L73" s="55"/>
      <c r="M73" s="55">
        <v>0</v>
      </c>
      <c r="N73" s="55"/>
      <c r="O73" s="55">
        <v>0</v>
      </c>
      <c r="P73" s="55"/>
      <c r="Q73" s="55">
        <v>0</v>
      </c>
      <c r="R73" s="55"/>
      <c r="S73" s="55">
        <v>0</v>
      </c>
      <c r="T73" s="55"/>
      <c r="U73" s="55">
        <f t="shared" si="2"/>
        <v>0</v>
      </c>
      <c r="V73" s="55">
        <f t="shared" si="10"/>
        <v>0</v>
      </c>
      <c r="W73" s="55"/>
      <c r="X73" s="30" t="s">
        <v>64</v>
      </c>
      <c r="Y73" s="55"/>
      <c r="Z73" s="55">
        <v>0</v>
      </c>
      <c r="AA73" s="55"/>
      <c r="AB73" s="55">
        <v>0</v>
      </c>
      <c r="AC73" s="55"/>
      <c r="AD73" s="55">
        <v>0</v>
      </c>
      <c r="AE73" s="55"/>
      <c r="AF73" s="55">
        <f t="shared" si="3"/>
        <v>0</v>
      </c>
      <c r="AG73" s="55"/>
      <c r="AH73" s="55">
        <v>0</v>
      </c>
      <c r="AI73" s="55"/>
      <c r="AJ73" s="55">
        <v>0</v>
      </c>
      <c r="AK73" s="55"/>
      <c r="AL73" s="55">
        <v>0</v>
      </c>
      <c r="AM73" s="55"/>
      <c r="AN73" s="55">
        <v>0</v>
      </c>
      <c r="AO73" s="55"/>
      <c r="AP73" s="55">
        <f t="shared" si="4"/>
        <v>0</v>
      </c>
      <c r="AQ73" s="55"/>
      <c r="AR73" s="55">
        <v>0</v>
      </c>
      <c r="AS73" s="55"/>
      <c r="AT73" s="55">
        <v>0</v>
      </c>
      <c r="AU73" s="55"/>
      <c r="AV73" s="55">
        <f t="shared" si="5"/>
        <v>0</v>
      </c>
      <c r="AW73" s="55"/>
      <c r="AX73" s="30" t="s">
        <v>64</v>
      </c>
      <c r="AY73" s="55"/>
      <c r="AZ73" s="55">
        <v>0</v>
      </c>
      <c r="BA73" s="55"/>
      <c r="BB73" s="55">
        <v>0</v>
      </c>
      <c r="BC73" s="55"/>
      <c r="BD73" s="55">
        <v>0</v>
      </c>
      <c r="BE73" s="55"/>
      <c r="BF73" s="55">
        <v>0</v>
      </c>
      <c r="BG73" s="55"/>
      <c r="BH73" s="55"/>
      <c r="BI73" s="55"/>
      <c r="BJ73" s="51">
        <f t="shared" si="6"/>
        <v>0</v>
      </c>
      <c r="BL73" s="44"/>
      <c r="BM73" s="44"/>
      <c r="BN73" s="44"/>
    </row>
    <row r="74" spans="1:66" s="26" customFormat="1" ht="12" hidden="1">
      <c r="A74" s="30" t="s">
        <v>65</v>
      </c>
      <c r="B74" s="30"/>
      <c r="C74" s="55">
        <f t="shared" si="1"/>
        <v>0</v>
      </c>
      <c r="D74" s="55"/>
      <c r="E74" s="55">
        <v>0</v>
      </c>
      <c r="F74" s="55"/>
      <c r="G74" s="55">
        <v>0</v>
      </c>
      <c r="H74" s="55"/>
      <c r="I74" s="55">
        <f t="shared" si="9"/>
        <v>0</v>
      </c>
      <c r="J74" s="55"/>
      <c r="K74" s="55">
        <f t="shared" si="11"/>
        <v>0</v>
      </c>
      <c r="L74" s="55"/>
      <c r="M74" s="55">
        <v>0</v>
      </c>
      <c r="N74" s="55"/>
      <c r="O74" s="55">
        <v>0</v>
      </c>
      <c r="P74" s="55"/>
      <c r="Q74" s="55">
        <v>0</v>
      </c>
      <c r="R74" s="55"/>
      <c r="S74" s="55">
        <v>0</v>
      </c>
      <c r="T74" s="55"/>
      <c r="U74" s="55">
        <f t="shared" si="2"/>
        <v>0</v>
      </c>
      <c r="V74" s="55">
        <f t="shared" si="10"/>
        <v>0</v>
      </c>
      <c r="W74" s="55"/>
      <c r="X74" s="30" t="s">
        <v>65</v>
      </c>
      <c r="Y74" s="55"/>
      <c r="Z74" s="55">
        <v>0</v>
      </c>
      <c r="AA74" s="55"/>
      <c r="AB74" s="55">
        <v>0</v>
      </c>
      <c r="AC74" s="55"/>
      <c r="AD74" s="55">
        <v>0</v>
      </c>
      <c r="AE74" s="55"/>
      <c r="AF74" s="55">
        <f t="shared" si="3"/>
        <v>0</v>
      </c>
      <c r="AG74" s="55"/>
      <c r="AH74" s="55">
        <v>0</v>
      </c>
      <c r="AI74" s="55"/>
      <c r="AJ74" s="55">
        <v>0</v>
      </c>
      <c r="AK74" s="55"/>
      <c r="AL74" s="55">
        <v>0</v>
      </c>
      <c r="AM74" s="55"/>
      <c r="AN74" s="55">
        <v>0</v>
      </c>
      <c r="AO74" s="55"/>
      <c r="AP74" s="55">
        <f t="shared" si="4"/>
        <v>0</v>
      </c>
      <c r="AQ74" s="55"/>
      <c r="AR74" s="55">
        <v>0</v>
      </c>
      <c r="AS74" s="55"/>
      <c r="AT74" s="55">
        <v>0</v>
      </c>
      <c r="AU74" s="55"/>
      <c r="AV74" s="55">
        <f t="shared" si="5"/>
        <v>0</v>
      </c>
      <c r="AW74" s="55"/>
      <c r="AX74" s="30" t="s">
        <v>65</v>
      </c>
      <c r="AY74" s="55"/>
      <c r="AZ74" s="55">
        <v>0</v>
      </c>
      <c r="BA74" s="55"/>
      <c r="BB74" s="55">
        <v>0</v>
      </c>
      <c r="BC74" s="55"/>
      <c r="BD74" s="55">
        <v>0</v>
      </c>
      <c r="BE74" s="55"/>
      <c r="BF74" s="55">
        <v>0</v>
      </c>
      <c r="BG74" s="55"/>
      <c r="BH74" s="55"/>
      <c r="BI74" s="55"/>
      <c r="BJ74" s="51">
        <f t="shared" si="6"/>
        <v>0</v>
      </c>
      <c r="BL74" s="44"/>
      <c r="BM74" s="44"/>
      <c r="BN74" s="44"/>
    </row>
    <row r="75" spans="1:62" s="26" customFormat="1" ht="12" hidden="1">
      <c r="A75" s="30" t="s">
        <v>66</v>
      </c>
      <c r="B75" s="30"/>
      <c r="C75" s="55">
        <f t="shared" si="1"/>
        <v>0</v>
      </c>
      <c r="D75" s="55"/>
      <c r="E75" s="55">
        <v>0</v>
      </c>
      <c r="F75" s="55"/>
      <c r="G75" s="55">
        <v>0</v>
      </c>
      <c r="H75" s="55"/>
      <c r="I75" s="55">
        <f t="shared" si="9"/>
        <v>0</v>
      </c>
      <c r="J75" s="55"/>
      <c r="K75" s="55">
        <f t="shared" si="11"/>
        <v>0</v>
      </c>
      <c r="L75" s="55"/>
      <c r="M75" s="55">
        <v>0</v>
      </c>
      <c r="N75" s="55"/>
      <c r="O75" s="55">
        <v>0</v>
      </c>
      <c r="P75" s="55"/>
      <c r="Q75" s="55">
        <v>0</v>
      </c>
      <c r="R75" s="55"/>
      <c r="S75" s="55">
        <v>0</v>
      </c>
      <c r="T75" s="55"/>
      <c r="U75" s="55">
        <f t="shared" si="2"/>
        <v>0</v>
      </c>
      <c r="V75" s="55">
        <f t="shared" si="10"/>
        <v>0</v>
      </c>
      <c r="W75" s="55"/>
      <c r="X75" s="30" t="s">
        <v>66</v>
      </c>
      <c r="Y75" s="55"/>
      <c r="Z75" s="55">
        <v>0</v>
      </c>
      <c r="AA75" s="55"/>
      <c r="AB75" s="55">
        <v>0</v>
      </c>
      <c r="AC75" s="55"/>
      <c r="AD75" s="55">
        <v>0</v>
      </c>
      <c r="AE75" s="55"/>
      <c r="AF75" s="55">
        <f t="shared" si="3"/>
        <v>0</v>
      </c>
      <c r="AG75" s="55"/>
      <c r="AH75" s="55">
        <v>0</v>
      </c>
      <c r="AI75" s="55"/>
      <c r="AJ75" s="55">
        <v>0</v>
      </c>
      <c r="AK75" s="55"/>
      <c r="AL75" s="55">
        <v>0</v>
      </c>
      <c r="AM75" s="55"/>
      <c r="AN75" s="55">
        <v>0</v>
      </c>
      <c r="AO75" s="55"/>
      <c r="AP75" s="55">
        <f t="shared" si="4"/>
        <v>0</v>
      </c>
      <c r="AQ75" s="55"/>
      <c r="AR75" s="55">
        <v>0</v>
      </c>
      <c r="AS75" s="55"/>
      <c r="AT75" s="55">
        <v>0</v>
      </c>
      <c r="AU75" s="55"/>
      <c r="AV75" s="55">
        <f t="shared" si="5"/>
        <v>0</v>
      </c>
      <c r="AW75" s="55"/>
      <c r="AX75" s="30" t="s">
        <v>66</v>
      </c>
      <c r="AY75" s="55"/>
      <c r="AZ75" s="55">
        <v>0</v>
      </c>
      <c r="BA75" s="55"/>
      <c r="BB75" s="55">
        <v>0</v>
      </c>
      <c r="BC75" s="55"/>
      <c r="BD75" s="55">
        <v>0</v>
      </c>
      <c r="BE75" s="55"/>
      <c r="BF75" s="55">
        <v>0</v>
      </c>
      <c r="BG75" s="55"/>
      <c r="BH75" s="55"/>
      <c r="BI75" s="55"/>
      <c r="BJ75" s="51">
        <f t="shared" si="6"/>
        <v>0</v>
      </c>
    </row>
    <row r="76" spans="1:62" s="26" customFormat="1" ht="12">
      <c r="A76" s="30" t="s">
        <v>67</v>
      </c>
      <c r="B76" s="30"/>
      <c r="C76" s="55">
        <f aca="true" t="shared" si="12" ref="C76:C96">+G76-E76</f>
        <v>3062234</v>
      </c>
      <c r="D76" s="55"/>
      <c r="E76" s="55">
        <v>14103667</v>
      </c>
      <c r="F76" s="55"/>
      <c r="G76" s="55">
        <v>17165901</v>
      </c>
      <c r="H76" s="55"/>
      <c r="I76" s="55">
        <f t="shared" si="9"/>
        <v>937839</v>
      </c>
      <c r="J76" s="55"/>
      <c r="K76" s="55">
        <f t="shared" si="11"/>
        <v>6949585</v>
      </c>
      <c r="L76" s="55"/>
      <c r="M76" s="55">
        <v>7887424</v>
      </c>
      <c r="N76" s="55"/>
      <c r="O76" s="55">
        <v>6427271</v>
      </c>
      <c r="P76" s="55"/>
      <c r="Q76" s="55">
        <v>0</v>
      </c>
      <c r="R76" s="55"/>
      <c r="S76" s="55">
        <v>2851206</v>
      </c>
      <c r="T76" s="55"/>
      <c r="U76" s="55">
        <f aca="true" t="shared" si="13" ref="U76:U96">SUM(O76:S76)</f>
        <v>9278477</v>
      </c>
      <c r="V76" s="55">
        <f t="shared" si="10"/>
        <v>0</v>
      </c>
      <c r="W76" s="55"/>
      <c r="X76" s="30" t="s">
        <v>67</v>
      </c>
      <c r="Y76" s="55"/>
      <c r="Z76" s="55">
        <v>3721467</v>
      </c>
      <c r="AA76" s="55"/>
      <c r="AB76" s="55">
        <f>2014061-383754</f>
        <v>1630307</v>
      </c>
      <c r="AC76" s="55"/>
      <c r="AD76" s="55">
        <v>383754</v>
      </c>
      <c r="AE76" s="55"/>
      <c r="AF76" s="55">
        <f aca="true" t="shared" si="14" ref="AF76:AF96">+Z76-AB76-AD76</f>
        <v>1707406</v>
      </c>
      <c r="AG76" s="55"/>
      <c r="AH76" s="55">
        <v>-319080</v>
      </c>
      <c r="AI76" s="55"/>
      <c r="AJ76" s="55">
        <v>0</v>
      </c>
      <c r="AK76" s="55"/>
      <c r="AL76" s="55">
        <v>0</v>
      </c>
      <c r="AM76" s="55"/>
      <c r="AN76" s="55">
        <v>0</v>
      </c>
      <c r="AO76" s="55"/>
      <c r="AP76" s="55">
        <f aca="true" t="shared" si="15" ref="AP76:AP96">+AN76+AJ76+AH76+AF76-AL76</f>
        <v>1388326</v>
      </c>
      <c r="AQ76" s="55"/>
      <c r="AR76" s="55">
        <v>0</v>
      </c>
      <c r="AS76" s="55"/>
      <c r="AT76" s="55">
        <v>0</v>
      </c>
      <c r="AU76" s="55"/>
      <c r="AV76" s="55">
        <f aca="true" t="shared" si="16" ref="AV76:AV96">C76-I76</f>
        <v>2124395</v>
      </c>
      <c r="AW76" s="55"/>
      <c r="AX76" s="30" t="s">
        <v>67</v>
      </c>
      <c r="AY76" s="55"/>
      <c r="AZ76" s="55">
        <v>0</v>
      </c>
      <c r="BA76" s="55"/>
      <c r="BB76" s="55">
        <v>6793225</v>
      </c>
      <c r="BC76" s="55"/>
      <c r="BD76" s="55">
        <f>110340+18257</f>
        <v>128597</v>
      </c>
      <c r="BE76" s="55"/>
      <c r="BF76" s="55">
        <v>27763</v>
      </c>
      <c r="BG76" s="55"/>
      <c r="BH76" s="55"/>
      <c r="BI76" s="55"/>
      <c r="BJ76" s="51">
        <f aca="true" t="shared" si="17" ref="BJ76:BJ96">SUM(AZ76:BF76)+BH76</f>
        <v>6949585</v>
      </c>
    </row>
    <row r="77" spans="1:62" s="26" customFormat="1" ht="12" hidden="1">
      <c r="A77" s="30" t="s">
        <v>68</v>
      </c>
      <c r="B77" s="30"/>
      <c r="C77" s="55">
        <f t="shared" si="12"/>
        <v>0</v>
      </c>
      <c r="D77" s="55"/>
      <c r="E77" s="55">
        <v>0</v>
      </c>
      <c r="F77" s="55"/>
      <c r="G77" s="55">
        <v>0</v>
      </c>
      <c r="H77" s="55"/>
      <c r="I77" s="55">
        <f aca="true" t="shared" si="18" ref="I77:I92">+M77-K77</f>
        <v>0</v>
      </c>
      <c r="J77" s="55"/>
      <c r="K77" s="55">
        <f aca="true" t="shared" si="19" ref="K77:K96">SUM(BJ77)</f>
        <v>0</v>
      </c>
      <c r="L77" s="55"/>
      <c r="M77" s="55">
        <v>0</v>
      </c>
      <c r="N77" s="55"/>
      <c r="O77" s="55">
        <v>0</v>
      </c>
      <c r="P77" s="55"/>
      <c r="Q77" s="55">
        <v>0</v>
      </c>
      <c r="R77" s="55"/>
      <c r="S77" s="55">
        <v>0</v>
      </c>
      <c r="T77" s="55"/>
      <c r="U77" s="55">
        <f t="shared" si="13"/>
        <v>0</v>
      </c>
      <c r="V77" s="55">
        <f t="shared" si="10"/>
        <v>0</v>
      </c>
      <c r="W77" s="55"/>
      <c r="X77" s="30" t="s">
        <v>68</v>
      </c>
      <c r="Y77" s="55"/>
      <c r="Z77" s="55">
        <v>0</v>
      </c>
      <c r="AA77" s="55"/>
      <c r="AB77" s="55">
        <v>0</v>
      </c>
      <c r="AC77" s="55"/>
      <c r="AD77" s="55">
        <v>0</v>
      </c>
      <c r="AE77" s="55"/>
      <c r="AF77" s="55">
        <f t="shared" si="14"/>
        <v>0</v>
      </c>
      <c r="AG77" s="55"/>
      <c r="AH77" s="55">
        <v>0</v>
      </c>
      <c r="AI77" s="55"/>
      <c r="AJ77" s="55">
        <v>0</v>
      </c>
      <c r="AK77" s="55"/>
      <c r="AL77" s="55">
        <v>0</v>
      </c>
      <c r="AM77" s="55"/>
      <c r="AN77" s="55">
        <v>0</v>
      </c>
      <c r="AO77" s="55"/>
      <c r="AP77" s="55">
        <f t="shared" si="15"/>
        <v>0</v>
      </c>
      <c r="AQ77" s="55"/>
      <c r="AR77" s="55">
        <v>0</v>
      </c>
      <c r="AS77" s="55"/>
      <c r="AT77" s="55">
        <v>0</v>
      </c>
      <c r="AU77" s="55"/>
      <c r="AV77" s="55">
        <f t="shared" si="16"/>
        <v>0</v>
      </c>
      <c r="AW77" s="55"/>
      <c r="AX77" s="30" t="s">
        <v>68</v>
      </c>
      <c r="AY77" s="55"/>
      <c r="AZ77" s="55">
        <v>0</v>
      </c>
      <c r="BA77" s="55"/>
      <c r="BB77" s="55">
        <v>0</v>
      </c>
      <c r="BC77" s="55"/>
      <c r="BD77" s="55">
        <v>0</v>
      </c>
      <c r="BE77" s="55"/>
      <c r="BF77" s="55">
        <v>0</v>
      </c>
      <c r="BG77" s="55"/>
      <c r="BH77" s="55"/>
      <c r="BI77" s="55"/>
      <c r="BJ77" s="51">
        <f t="shared" si="17"/>
        <v>0</v>
      </c>
    </row>
    <row r="78" spans="1:62" s="26" customFormat="1" ht="12" hidden="1">
      <c r="A78" s="30" t="s">
        <v>180</v>
      </c>
      <c r="B78" s="30"/>
      <c r="C78" s="55">
        <f t="shared" si="12"/>
        <v>0</v>
      </c>
      <c r="D78" s="55"/>
      <c r="E78" s="55">
        <v>0</v>
      </c>
      <c r="F78" s="55"/>
      <c r="G78" s="55">
        <v>0</v>
      </c>
      <c r="H78" s="55"/>
      <c r="I78" s="55">
        <f t="shared" si="18"/>
        <v>0</v>
      </c>
      <c r="J78" s="55"/>
      <c r="K78" s="55">
        <f t="shared" si="19"/>
        <v>0</v>
      </c>
      <c r="L78" s="55"/>
      <c r="M78" s="55">
        <v>0</v>
      </c>
      <c r="N78" s="55"/>
      <c r="O78" s="55">
        <v>0</v>
      </c>
      <c r="P78" s="55"/>
      <c r="Q78" s="55">
        <v>0</v>
      </c>
      <c r="R78" s="55"/>
      <c r="S78" s="55">
        <v>0</v>
      </c>
      <c r="T78" s="55"/>
      <c r="U78" s="55">
        <f t="shared" si="13"/>
        <v>0</v>
      </c>
      <c r="V78" s="55">
        <f t="shared" si="10"/>
        <v>0</v>
      </c>
      <c r="W78" s="55"/>
      <c r="X78" s="30" t="s">
        <v>180</v>
      </c>
      <c r="Y78" s="55"/>
      <c r="Z78" s="55">
        <v>0</v>
      </c>
      <c r="AA78" s="55"/>
      <c r="AB78" s="55">
        <v>0</v>
      </c>
      <c r="AC78" s="55"/>
      <c r="AD78" s="55">
        <v>0</v>
      </c>
      <c r="AE78" s="55"/>
      <c r="AF78" s="55">
        <f t="shared" si="14"/>
        <v>0</v>
      </c>
      <c r="AG78" s="55"/>
      <c r="AH78" s="55">
        <v>0</v>
      </c>
      <c r="AI78" s="55"/>
      <c r="AJ78" s="55">
        <v>0</v>
      </c>
      <c r="AK78" s="55"/>
      <c r="AL78" s="55">
        <v>0</v>
      </c>
      <c r="AM78" s="55"/>
      <c r="AN78" s="55">
        <v>0</v>
      </c>
      <c r="AO78" s="55"/>
      <c r="AP78" s="55">
        <f t="shared" si="15"/>
        <v>0</v>
      </c>
      <c r="AQ78" s="55"/>
      <c r="AR78" s="55">
        <v>0</v>
      </c>
      <c r="AS78" s="55"/>
      <c r="AT78" s="55">
        <v>0</v>
      </c>
      <c r="AU78" s="55"/>
      <c r="AV78" s="55">
        <f t="shared" si="16"/>
        <v>0</v>
      </c>
      <c r="AW78" s="55"/>
      <c r="AX78" s="30" t="s">
        <v>180</v>
      </c>
      <c r="AY78" s="55"/>
      <c r="AZ78" s="55">
        <v>0</v>
      </c>
      <c r="BA78" s="55"/>
      <c r="BB78" s="55">
        <v>0</v>
      </c>
      <c r="BC78" s="55"/>
      <c r="BD78" s="55">
        <v>0</v>
      </c>
      <c r="BE78" s="55"/>
      <c r="BF78" s="55">
        <v>0</v>
      </c>
      <c r="BG78" s="55"/>
      <c r="BH78" s="55"/>
      <c r="BI78" s="55"/>
      <c r="BJ78" s="51">
        <f t="shared" si="17"/>
        <v>0</v>
      </c>
    </row>
    <row r="79" spans="1:62" s="26" customFormat="1" ht="12" hidden="1">
      <c r="A79" s="30" t="s">
        <v>136</v>
      </c>
      <c r="B79" s="30"/>
      <c r="C79" s="55">
        <f t="shared" si="12"/>
        <v>0</v>
      </c>
      <c r="D79" s="55"/>
      <c r="E79" s="55">
        <v>0</v>
      </c>
      <c r="F79" s="55"/>
      <c r="G79" s="55">
        <v>0</v>
      </c>
      <c r="H79" s="55"/>
      <c r="I79" s="55">
        <f t="shared" si="18"/>
        <v>0</v>
      </c>
      <c r="J79" s="55"/>
      <c r="K79" s="55">
        <f t="shared" si="19"/>
        <v>0</v>
      </c>
      <c r="L79" s="55"/>
      <c r="M79" s="55">
        <v>0</v>
      </c>
      <c r="N79" s="55"/>
      <c r="O79" s="55">
        <v>0</v>
      </c>
      <c r="P79" s="55"/>
      <c r="Q79" s="55">
        <v>0</v>
      </c>
      <c r="R79" s="55"/>
      <c r="S79" s="55">
        <v>0</v>
      </c>
      <c r="T79" s="55"/>
      <c r="U79" s="55">
        <f t="shared" si="13"/>
        <v>0</v>
      </c>
      <c r="V79" s="55">
        <f t="shared" si="10"/>
        <v>0</v>
      </c>
      <c r="W79" s="55"/>
      <c r="X79" s="30" t="s">
        <v>136</v>
      </c>
      <c r="Y79" s="55"/>
      <c r="Z79" s="55">
        <v>0</v>
      </c>
      <c r="AA79" s="55"/>
      <c r="AB79" s="55">
        <v>0</v>
      </c>
      <c r="AC79" s="55"/>
      <c r="AD79" s="55">
        <v>0</v>
      </c>
      <c r="AE79" s="55"/>
      <c r="AF79" s="55">
        <f t="shared" si="14"/>
        <v>0</v>
      </c>
      <c r="AG79" s="55"/>
      <c r="AH79" s="55">
        <v>0</v>
      </c>
      <c r="AI79" s="55"/>
      <c r="AJ79" s="55">
        <v>0</v>
      </c>
      <c r="AK79" s="55"/>
      <c r="AL79" s="55">
        <v>0</v>
      </c>
      <c r="AM79" s="55"/>
      <c r="AN79" s="55">
        <v>0</v>
      </c>
      <c r="AO79" s="55"/>
      <c r="AP79" s="55">
        <f t="shared" si="15"/>
        <v>0</v>
      </c>
      <c r="AQ79" s="55"/>
      <c r="AR79" s="55">
        <v>0</v>
      </c>
      <c r="AS79" s="55"/>
      <c r="AT79" s="55">
        <v>0</v>
      </c>
      <c r="AU79" s="55"/>
      <c r="AV79" s="55">
        <f t="shared" si="16"/>
        <v>0</v>
      </c>
      <c r="AW79" s="55"/>
      <c r="AX79" s="30" t="s">
        <v>136</v>
      </c>
      <c r="AY79" s="55"/>
      <c r="AZ79" s="55">
        <v>0</v>
      </c>
      <c r="BA79" s="55"/>
      <c r="BB79" s="55">
        <v>0</v>
      </c>
      <c r="BC79" s="55"/>
      <c r="BD79" s="55">
        <v>0</v>
      </c>
      <c r="BE79" s="55"/>
      <c r="BF79" s="55">
        <v>0</v>
      </c>
      <c r="BG79" s="55"/>
      <c r="BH79" s="55"/>
      <c r="BI79" s="55"/>
      <c r="BJ79" s="51">
        <f t="shared" si="17"/>
        <v>0</v>
      </c>
    </row>
    <row r="80" spans="1:62" s="26" customFormat="1" ht="12" hidden="1">
      <c r="A80" s="30" t="s">
        <v>69</v>
      </c>
      <c r="B80" s="30"/>
      <c r="C80" s="55">
        <f t="shared" si="12"/>
        <v>0</v>
      </c>
      <c r="D80" s="55"/>
      <c r="E80" s="55">
        <v>0</v>
      </c>
      <c r="F80" s="55"/>
      <c r="G80" s="55">
        <v>0</v>
      </c>
      <c r="H80" s="55"/>
      <c r="I80" s="55">
        <f t="shared" si="18"/>
        <v>0</v>
      </c>
      <c r="J80" s="55"/>
      <c r="K80" s="55">
        <f t="shared" si="19"/>
        <v>0</v>
      </c>
      <c r="L80" s="55"/>
      <c r="M80" s="55">
        <v>0</v>
      </c>
      <c r="N80" s="55"/>
      <c r="O80" s="55">
        <v>0</v>
      </c>
      <c r="P80" s="55"/>
      <c r="Q80" s="55">
        <v>0</v>
      </c>
      <c r="R80" s="55"/>
      <c r="S80" s="55">
        <v>0</v>
      </c>
      <c r="T80" s="55"/>
      <c r="U80" s="55">
        <f t="shared" si="13"/>
        <v>0</v>
      </c>
      <c r="V80" s="55">
        <f aca="true" t="shared" si="20" ref="V80:V92">G80-M80-U80</f>
        <v>0</v>
      </c>
      <c r="W80" s="55"/>
      <c r="X80" s="30" t="s">
        <v>69</v>
      </c>
      <c r="Y80" s="55"/>
      <c r="Z80" s="55">
        <v>0</v>
      </c>
      <c r="AA80" s="55"/>
      <c r="AB80" s="55">
        <v>0</v>
      </c>
      <c r="AC80" s="55"/>
      <c r="AD80" s="55">
        <v>0</v>
      </c>
      <c r="AE80" s="55"/>
      <c r="AF80" s="55">
        <f t="shared" si="14"/>
        <v>0</v>
      </c>
      <c r="AG80" s="55"/>
      <c r="AH80" s="55">
        <v>0</v>
      </c>
      <c r="AI80" s="55"/>
      <c r="AJ80" s="55">
        <v>0</v>
      </c>
      <c r="AK80" s="55"/>
      <c r="AL80" s="55">
        <v>0</v>
      </c>
      <c r="AM80" s="55"/>
      <c r="AN80" s="55">
        <v>0</v>
      </c>
      <c r="AO80" s="55"/>
      <c r="AP80" s="55">
        <f t="shared" si="15"/>
        <v>0</v>
      </c>
      <c r="AQ80" s="55"/>
      <c r="AR80" s="55">
        <v>0</v>
      </c>
      <c r="AS80" s="55"/>
      <c r="AT80" s="55">
        <v>0</v>
      </c>
      <c r="AU80" s="55"/>
      <c r="AV80" s="55">
        <f t="shared" si="16"/>
        <v>0</v>
      </c>
      <c r="AW80" s="55"/>
      <c r="AX80" s="30" t="s">
        <v>69</v>
      </c>
      <c r="AY80" s="55"/>
      <c r="AZ80" s="55">
        <v>0</v>
      </c>
      <c r="BA80" s="55"/>
      <c r="BB80" s="55">
        <v>0</v>
      </c>
      <c r="BC80" s="55"/>
      <c r="BD80" s="55">
        <v>0</v>
      </c>
      <c r="BE80" s="55"/>
      <c r="BF80" s="55">
        <v>0</v>
      </c>
      <c r="BG80" s="55"/>
      <c r="BH80" s="55"/>
      <c r="BI80" s="55"/>
      <c r="BJ80" s="51">
        <f t="shared" si="17"/>
        <v>0</v>
      </c>
    </row>
    <row r="81" spans="1:62" s="26" customFormat="1" ht="12" hidden="1">
      <c r="A81" s="30" t="s">
        <v>98</v>
      </c>
      <c r="B81" s="30"/>
      <c r="C81" s="55">
        <f t="shared" si="12"/>
        <v>0</v>
      </c>
      <c r="D81" s="55"/>
      <c r="E81" s="55">
        <v>0</v>
      </c>
      <c r="F81" s="55"/>
      <c r="G81" s="55">
        <v>0</v>
      </c>
      <c r="H81" s="55"/>
      <c r="I81" s="55">
        <f t="shared" si="18"/>
        <v>0</v>
      </c>
      <c r="J81" s="55"/>
      <c r="K81" s="55">
        <f t="shared" si="19"/>
        <v>0</v>
      </c>
      <c r="L81" s="55"/>
      <c r="M81" s="55">
        <v>0</v>
      </c>
      <c r="N81" s="55"/>
      <c r="O81" s="55">
        <v>0</v>
      </c>
      <c r="P81" s="55"/>
      <c r="Q81" s="55">
        <v>0</v>
      </c>
      <c r="R81" s="55"/>
      <c r="S81" s="55">
        <v>0</v>
      </c>
      <c r="T81" s="55"/>
      <c r="U81" s="55">
        <f t="shared" si="13"/>
        <v>0</v>
      </c>
      <c r="V81" s="55">
        <f t="shared" si="20"/>
        <v>0</v>
      </c>
      <c r="W81" s="55"/>
      <c r="X81" s="30" t="s">
        <v>98</v>
      </c>
      <c r="Y81" s="55"/>
      <c r="Z81" s="55">
        <v>0</v>
      </c>
      <c r="AA81" s="55"/>
      <c r="AB81" s="55">
        <v>0</v>
      </c>
      <c r="AC81" s="55"/>
      <c r="AD81" s="55">
        <v>0</v>
      </c>
      <c r="AE81" s="55"/>
      <c r="AF81" s="55">
        <f t="shared" si="14"/>
        <v>0</v>
      </c>
      <c r="AG81" s="55"/>
      <c r="AH81" s="55">
        <v>0</v>
      </c>
      <c r="AI81" s="55"/>
      <c r="AJ81" s="55">
        <v>0</v>
      </c>
      <c r="AK81" s="55"/>
      <c r="AL81" s="55">
        <v>0</v>
      </c>
      <c r="AM81" s="55"/>
      <c r="AN81" s="55">
        <v>0</v>
      </c>
      <c r="AO81" s="55"/>
      <c r="AP81" s="55">
        <f t="shared" si="15"/>
        <v>0</v>
      </c>
      <c r="AQ81" s="55"/>
      <c r="AR81" s="55">
        <v>0</v>
      </c>
      <c r="AS81" s="55"/>
      <c r="AT81" s="55">
        <v>0</v>
      </c>
      <c r="AU81" s="55"/>
      <c r="AV81" s="55">
        <f t="shared" si="16"/>
        <v>0</v>
      </c>
      <c r="AW81" s="55"/>
      <c r="AX81" s="30" t="s">
        <v>98</v>
      </c>
      <c r="AY81" s="55"/>
      <c r="AZ81" s="55">
        <v>0</v>
      </c>
      <c r="BA81" s="55"/>
      <c r="BB81" s="55">
        <v>0</v>
      </c>
      <c r="BC81" s="55"/>
      <c r="BD81" s="55">
        <v>0</v>
      </c>
      <c r="BE81" s="55"/>
      <c r="BF81" s="55">
        <v>0</v>
      </c>
      <c r="BG81" s="55"/>
      <c r="BH81" s="55"/>
      <c r="BI81" s="55"/>
      <c r="BJ81" s="51">
        <f t="shared" si="17"/>
        <v>0</v>
      </c>
    </row>
    <row r="82" spans="1:62" s="26" customFormat="1" ht="12" hidden="1">
      <c r="A82" s="30" t="s">
        <v>70</v>
      </c>
      <c r="B82" s="30"/>
      <c r="C82" s="55">
        <f t="shared" si="12"/>
        <v>0</v>
      </c>
      <c r="D82" s="55"/>
      <c r="E82" s="55">
        <v>0</v>
      </c>
      <c r="F82" s="55"/>
      <c r="G82" s="55">
        <v>0</v>
      </c>
      <c r="H82" s="55"/>
      <c r="I82" s="55">
        <f t="shared" si="18"/>
        <v>0</v>
      </c>
      <c r="J82" s="55"/>
      <c r="K82" s="55">
        <f t="shared" si="19"/>
        <v>0</v>
      </c>
      <c r="L82" s="55"/>
      <c r="M82" s="55">
        <v>0</v>
      </c>
      <c r="N82" s="55"/>
      <c r="O82" s="55">
        <v>0</v>
      </c>
      <c r="P82" s="55"/>
      <c r="Q82" s="55">
        <v>0</v>
      </c>
      <c r="R82" s="55"/>
      <c r="S82" s="55">
        <v>0</v>
      </c>
      <c r="T82" s="55"/>
      <c r="U82" s="55">
        <f t="shared" si="13"/>
        <v>0</v>
      </c>
      <c r="V82" s="55">
        <f t="shared" si="20"/>
        <v>0</v>
      </c>
      <c r="W82" s="55"/>
      <c r="X82" s="30" t="s">
        <v>70</v>
      </c>
      <c r="Y82" s="55"/>
      <c r="Z82" s="55">
        <v>0</v>
      </c>
      <c r="AA82" s="55"/>
      <c r="AB82" s="55">
        <v>0</v>
      </c>
      <c r="AC82" s="55"/>
      <c r="AD82" s="55">
        <v>0</v>
      </c>
      <c r="AE82" s="55"/>
      <c r="AF82" s="55">
        <f t="shared" si="14"/>
        <v>0</v>
      </c>
      <c r="AG82" s="55"/>
      <c r="AH82" s="55">
        <v>0</v>
      </c>
      <c r="AI82" s="55"/>
      <c r="AJ82" s="55">
        <v>0</v>
      </c>
      <c r="AK82" s="55"/>
      <c r="AL82" s="55">
        <v>0</v>
      </c>
      <c r="AM82" s="55"/>
      <c r="AN82" s="55">
        <v>0</v>
      </c>
      <c r="AO82" s="55"/>
      <c r="AP82" s="55">
        <f t="shared" si="15"/>
        <v>0</v>
      </c>
      <c r="AQ82" s="55"/>
      <c r="AR82" s="55">
        <v>0</v>
      </c>
      <c r="AS82" s="55"/>
      <c r="AT82" s="55">
        <v>0</v>
      </c>
      <c r="AU82" s="55"/>
      <c r="AV82" s="55">
        <f t="shared" si="16"/>
        <v>0</v>
      </c>
      <c r="AW82" s="55"/>
      <c r="AX82" s="30" t="s">
        <v>70</v>
      </c>
      <c r="AY82" s="55"/>
      <c r="AZ82" s="55">
        <v>0</v>
      </c>
      <c r="BA82" s="55"/>
      <c r="BB82" s="55">
        <v>0</v>
      </c>
      <c r="BC82" s="55"/>
      <c r="BD82" s="55">
        <v>0</v>
      </c>
      <c r="BE82" s="55"/>
      <c r="BF82" s="55">
        <v>0</v>
      </c>
      <c r="BG82" s="55"/>
      <c r="BH82" s="55"/>
      <c r="BI82" s="55"/>
      <c r="BJ82" s="51">
        <f t="shared" si="17"/>
        <v>0</v>
      </c>
    </row>
    <row r="83" spans="1:62" s="26" customFormat="1" ht="12" hidden="1">
      <c r="A83" s="30" t="s">
        <v>71</v>
      </c>
      <c r="B83" s="30"/>
      <c r="C83" s="55">
        <f t="shared" si="12"/>
        <v>0</v>
      </c>
      <c r="D83" s="55"/>
      <c r="E83" s="55">
        <v>0</v>
      </c>
      <c r="F83" s="55"/>
      <c r="G83" s="55">
        <v>0</v>
      </c>
      <c r="H83" s="55"/>
      <c r="I83" s="55">
        <f t="shared" si="18"/>
        <v>0</v>
      </c>
      <c r="J83" s="55"/>
      <c r="K83" s="55">
        <f t="shared" si="19"/>
        <v>0</v>
      </c>
      <c r="L83" s="55"/>
      <c r="M83" s="55">
        <v>0</v>
      </c>
      <c r="N83" s="55"/>
      <c r="O83" s="55">
        <v>0</v>
      </c>
      <c r="P83" s="55"/>
      <c r="Q83" s="55">
        <v>0</v>
      </c>
      <c r="R83" s="55"/>
      <c r="S83" s="55">
        <v>0</v>
      </c>
      <c r="T83" s="55"/>
      <c r="U83" s="55">
        <f t="shared" si="13"/>
        <v>0</v>
      </c>
      <c r="V83" s="55">
        <f t="shared" si="20"/>
        <v>0</v>
      </c>
      <c r="W83" s="55"/>
      <c r="X83" s="30" t="s">
        <v>71</v>
      </c>
      <c r="Y83" s="55"/>
      <c r="Z83" s="55">
        <v>0</v>
      </c>
      <c r="AA83" s="55"/>
      <c r="AB83" s="55">
        <v>0</v>
      </c>
      <c r="AC83" s="55"/>
      <c r="AD83" s="55">
        <v>0</v>
      </c>
      <c r="AE83" s="55"/>
      <c r="AF83" s="55">
        <f t="shared" si="14"/>
        <v>0</v>
      </c>
      <c r="AG83" s="55"/>
      <c r="AH83" s="55">
        <v>0</v>
      </c>
      <c r="AI83" s="55"/>
      <c r="AJ83" s="55">
        <v>0</v>
      </c>
      <c r="AK83" s="55"/>
      <c r="AL83" s="55">
        <v>0</v>
      </c>
      <c r="AM83" s="55"/>
      <c r="AN83" s="55">
        <v>0</v>
      </c>
      <c r="AO83" s="55"/>
      <c r="AP83" s="55">
        <f t="shared" si="15"/>
        <v>0</v>
      </c>
      <c r="AQ83" s="55"/>
      <c r="AR83" s="55">
        <v>0</v>
      </c>
      <c r="AS83" s="55"/>
      <c r="AT83" s="55">
        <v>0</v>
      </c>
      <c r="AU83" s="55"/>
      <c r="AV83" s="55">
        <f t="shared" si="16"/>
        <v>0</v>
      </c>
      <c r="AW83" s="55"/>
      <c r="AX83" s="30" t="s">
        <v>71</v>
      </c>
      <c r="AY83" s="55"/>
      <c r="AZ83" s="55">
        <v>0</v>
      </c>
      <c r="BA83" s="55"/>
      <c r="BB83" s="55">
        <v>0</v>
      </c>
      <c r="BC83" s="55"/>
      <c r="BD83" s="55">
        <v>0</v>
      </c>
      <c r="BE83" s="55"/>
      <c r="BF83" s="55">
        <v>0</v>
      </c>
      <c r="BG83" s="55"/>
      <c r="BH83" s="55"/>
      <c r="BI83" s="55"/>
      <c r="BJ83" s="51">
        <f t="shared" si="17"/>
        <v>0</v>
      </c>
    </row>
    <row r="84" spans="1:62" s="26" customFormat="1" ht="12" hidden="1">
      <c r="A84" s="30" t="s">
        <v>72</v>
      </c>
      <c r="B84" s="30"/>
      <c r="C84" s="55">
        <f t="shared" si="12"/>
        <v>0</v>
      </c>
      <c r="D84" s="55"/>
      <c r="E84" s="55">
        <v>0</v>
      </c>
      <c r="F84" s="55"/>
      <c r="G84" s="55">
        <v>0</v>
      </c>
      <c r="H84" s="55"/>
      <c r="I84" s="55">
        <f t="shared" si="18"/>
        <v>0</v>
      </c>
      <c r="J84" s="55"/>
      <c r="K84" s="55">
        <f t="shared" si="19"/>
        <v>0</v>
      </c>
      <c r="L84" s="55"/>
      <c r="M84" s="55">
        <v>0</v>
      </c>
      <c r="N84" s="55"/>
      <c r="O84" s="55">
        <v>0</v>
      </c>
      <c r="P84" s="55"/>
      <c r="Q84" s="55">
        <v>0</v>
      </c>
      <c r="R84" s="55"/>
      <c r="S84" s="55">
        <v>0</v>
      </c>
      <c r="T84" s="55"/>
      <c r="U84" s="55">
        <f t="shared" si="13"/>
        <v>0</v>
      </c>
      <c r="V84" s="55">
        <f t="shared" si="20"/>
        <v>0</v>
      </c>
      <c r="W84" s="55"/>
      <c r="X84" s="30" t="s">
        <v>72</v>
      </c>
      <c r="Y84" s="55"/>
      <c r="Z84" s="55">
        <v>0</v>
      </c>
      <c r="AA84" s="55"/>
      <c r="AB84" s="55">
        <v>0</v>
      </c>
      <c r="AC84" s="55"/>
      <c r="AD84" s="55">
        <v>0</v>
      </c>
      <c r="AE84" s="55"/>
      <c r="AF84" s="55">
        <f t="shared" si="14"/>
        <v>0</v>
      </c>
      <c r="AG84" s="55"/>
      <c r="AH84" s="55">
        <v>0</v>
      </c>
      <c r="AI84" s="55"/>
      <c r="AJ84" s="55">
        <v>0</v>
      </c>
      <c r="AK84" s="55"/>
      <c r="AL84" s="55">
        <v>0</v>
      </c>
      <c r="AM84" s="55"/>
      <c r="AN84" s="55">
        <v>0</v>
      </c>
      <c r="AO84" s="55"/>
      <c r="AP84" s="55">
        <f t="shared" si="15"/>
        <v>0</v>
      </c>
      <c r="AQ84" s="55"/>
      <c r="AR84" s="55">
        <v>0</v>
      </c>
      <c r="AS84" s="55"/>
      <c r="AT84" s="55">
        <v>0</v>
      </c>
      <c r="AU84" s="55"/>
      <c r="AV84" s="55">
        <f t="shared" si="16"/>
        <v>0</v>
      </c>
      <c r="AW84" s="55"/>
      <c r="AX84" s="30" t="s">
        <v>72</v>
      </c>
      <c r="AY84" s="55"/>
      <c r="AZ84" s="55">
        <v>0</v>
      </c>
      <c r="BA84" s="55"/>
      <c r="BB84" s="55">
        <v>0</v>
      </c>
      <c r="BC84" s="55"/>
      <c r="BD84" s="55">
        <v>0</v>
      </c>
      <c r="BE84" s="55"/>
      <c r="BF84" s="55">
        <v>0</v>
      </c>
      <c r="BG84" s="55"/>
      <c r="BH84" s="55"/>
      <c r="BI84" s="55"/>
      <c r="BJ84" s="51">
        <f t="shared" si="17"/>
        <v>0</v>
      </c>
    </row>
    <row r="85" spans="1:62" s="26" customFormat="1" ht="12" hidden="1">
      <c r="A85" s="30" t="s">
        <v>73</v>
      </c>
      <c r="B85" s="30"/>
      <c r="C85" s="55">
        <f t="shared" si="12"/>
        <v>0</v>
      </c>
      <c r="D85" s="55"/>
      <c r="E85" s="55">
        <v>0</v>
      </c>
      <c r="F85" s="55"/>
      <c r="G85" s="55">
        <v>0</v>
      </c>
      <c r="H85" s="55"/>
      <c r="I85" s="55">
        <f t="shared" si="18"/>
        <v>0</v>
      </c>
      <c r="J85" s="55"/>
      <c r="K85" s="55">
        <f t="shared" si="19"/>
        <v>0</v>
      </c>
      <c r="L85" s="55"/>
      <c r="M85" s="55">
        <v>0</v>
      </c>
      <c r="N85" s="55"/>
      <c r="O85" s="55">
        <v>0</v>
      </c>
      <c r="P85" s="55"/>
      <c r="Q85" s="55">
        <v>0</v>
      </c>
      <c r="R85" s="55"/>
      <c r="S85" s="55">
        <v>0</v>
      </c>
      <c r="T85" s="55"/>
      <c r="U85" s="55">
        <f t="shared" si="13"/>
        <v>0</v>
      </c>
      <c r="V85" s="55">
        <f t="shared" si="20"/>
        <v>0</v>
      </c>
      <c r="W85" s="55"/>
      <c r="X85" s="30" t="s">
        <v>73</v>
      </c>
      <c r="Y85" s="55"/>
      <c r="Z85" s="55">
        <v>0</v>
      </c>
      <c r="AA85" s="55"/>
      <c r="AB85" s="55">
        <v>0</v>
      </c>
      <c r="AC85" s="55"/>
      <c r="AD85" s="55">
        <v>0</v>
      </c>
      <c r="AE85" s="55"/>
      <c r="AF85" s="55">
        <f t="shared" si="14"/>
        <v>0</v>
      </c>
      <c r="AG85" s="55"/>
      <c r="AH85" s="55">
        <v>0</v>
      </c>
      <c r="AI85" s="55"/>
      <c r="AJ85" s="55">
        <v>0</v>
      </c>
      <c r="AK85" s="55"/>
      <c r="AL85" s="55">
        <v>0</v>
      </c>
      <c r="AM85" s="55"/>
      <c r="AN85" s="55">
        <v>0</v>
      </c>
      <c r="AO85" s="55"/>
      <c r="AP85" s="55">
        <f t="shared" si="15"/>
        <v>0</v>
      </c>
      <c r="AQ85" s="55"/>
      <c r="AR85" s="55">
        <v>0</v>
      </c>
      <c r="AS85" s="55"/>
      <c r="AT85" s="55">
        <v>0</v>
      </c>
      <c r="AU85" s="55"/>
      <c r="AV85" s="55">
        <f t="shared" si="16"/>
        <v>0</v>
      </c>
      <c r="AW85" s="55"/>
      <c r="AX85" s="30" t="s">
        <v>73</v>
      </c>
      <c r="AY85" s="55"/>
      <c r="AZ85" s="55">
        <v>0</v>
      </c>
      <c r="BA85" s="55"/>
      <c r="BB85" s="55">
        <v>0</v>
      </c>
      <c r="BC85" s="55"/>
      <c r="BD85" s="55">
        <v>0</v>
      </c>
      <c r="BE85" s="55"/>
      <c r="BF85" s="55">
        <v>0</v>
      </c>
      <c r="BG85" s="55"/>
      <c r="BH85" s="55"/>
      <c r="BI85" s="55"/>
      <c r="BJ85" s="51">
        <f t="shared" si="17"/>
        <v>0</v>
      </c>
    </row>
    <row r="86" spans="1:62" s="26" customFormat="1" ht="12">
      <c r="A86" s="30" t="s">
        <v>74</v>
      </c>
      <c r="B86" s="30"/>
      <c r="C86" s="55">
        <f t="shared" si="12"/>
        <v>3654483</v>
      </c>
      <c r="D86" s="55"/>
      <c r="E86" s="55">
        <v>6742943</v>
      </c>
      <c r="F86" s="55"/>
      <c r="G86" s="55">
        <v>10397426</v>
      </c>
      <c r="H86" s="55"/>
      <c r="I86" s="55">
        <f t="shared" si="18"/>
        <v>492178</v>
      </c>
      <c r="J86" s="55"/>
      <c r="K86" s="55">
        <f t="shared" si="19"/>
        <v>759217</v>
      </c>
      <c r="L86" s="55"/>
      <c r="M86" s="55">
        <v>1251395</v>
      </c>
      <c r="N86" s="55"/>
      <c r="O86" s="55">
        <v>6238455</v>
      </c>
      <c r="P86" s="55"/>
      <c r="Q86" s="55">
        <v>0</v>
      </c>
      <c r="R86" s="55"/>
      <c r="S86" s="55">
        <v>2907576</v>
      </c>
      <c r="T86" s="55"/>
      <c r="U86" s="55">
        <f t="shared" si="13"/>
        <v>9146031</v>
      </c>
      <c r="V86" s="55">
        <f t="shared" si="20"/>
        <v>0</v>
      </c>
      <c r="W86" s="55"/>
      <c r="X86" s="30" t="s">
        <v>74</v>
      </c>
      <c r="Y86" s="55"/>
      <c r="Z86" s="55">
        <v>728960</v>
      </c>
      <c r="AA86" s="55"/>
      <c r="AB86" s="55">
        <f>1588566-124784</f>
        <v>1463782</v>
      </c>
      <c r="AC86" s="55"/>
      <c r="AD86" s="55">
        <v>124784</v>
      </c>
      <c r="AE86" s="55"/>
      <c r="AF86" s="55">
        <f t="shared" si="14"/>
        <v>-859606</v>
      </c>
      <c r="AG86" s="55"/>
      <c r="AH86" s="55">
        <v>-43606</v>
      </c>
      <c r="AI86" s="55"/>
      <c r="AJ86" s="55">
        <v>0</v>
      </c>
      <c r="AK86" s="55"/>
      <c r="AL86" s="55">
        <v>0</v>
      </c>
      <c r="AM86" s="55"/>
      <c r="AN86" s="55">
        <v>0</v>
      </c>
      <c r="AO86" s="55"/>
      <c r="AP86" s="55">
        <f t="shared" si="15"/>
        <v>-903212</v>
      </c>
      <c r="AQ86" s="55"/>
      <c r="AR86" s="55">
        <v>0</v>
      </c>
      <c r="AS86" s="55"/>
      <c r="AT86" s="55">
        <v>0</v>
      </c>
      <c r="AU86" s="55"/>
      <c r="AV86" s="55">
        <f t="shared" si="16"/>
        <v>3162305</v>
      </c>
      <c r="AW86" s="55"/>
      <c r="AX86" s="30" t="s">
        <v>74</v>
      </c>
      <c r="AY86" s="55"/>
      <c r="AZ86" s="55">
        <v>56987</v>
      </c>
      <c r="BA86" s="55"/>
      <c r="BB86" s="55">
        <v>0</v>
      </c>
      <c r="BC86" s="55"/>
      <c r="BD86" s="55">
        <v>361375</v>
      </c>
      <c r="BE86" s="55"/>
      <c r="BF86" s="55">
        <v>340855</v>
      </c>
      <c r="BG86" s="55"/>
      <c r="BH86" s="55"/>
      <c r="BI86" s="55"/>
      <c r="BJ86" s="51">
        <f t="shared" si="17"/>
        <v>759217</v>
      </c>
    </row>
    <row r="87" spans="1:62" s="26" customFormat="1" ht="12">
      <c r="A87" s="30" t="s">
        <v>75</v>
      </c>
      <c r="B87" s="30"/>
      <c r="C87" s="55">
        <f t="shared" si="12"/>
        <v>3973051</v>
      </c>
      <c r="D87" s="55"/>
      <c r="E87" s="55">
        <v>14432539</v>
      </c>
      <c r="F87" s="55"/>
      <c r="G87" s="55">
        <v>18405590</v>
      </c>
      <c r="H87" s="55"/>
      <c r="I87" s="55">
        <f t="shared" si="18"/>
        <v>313945</v>
      </c>
      <c r="J87" s="55"/>
      <c r="K87" s="55">
        <f t="shared" si="19"/>
        <v>818591</v>
      </c>
      <c r="L87" s="55"/>
      <c r="M87" s="55">
        <v>1132536</v>
      </c>
      <c r="N87" s="55"/>
      <c r="O87" s="55">
        <v>15415029</v>
      </c>
      <c r="P87" s="55"/>
      <c r="Q87" s="55">
        <v>0</v>
      </c>
      <c r="R87" s="55"/>
      <c r="S87" s="55">
        <v>1858025</v>
      </c>
      <c r="T87" s="55"/>
      <c r="U87" s="55">
        <f t="shared" si="13"/>
        <v>17273054</v>
      </c>
      <c r="V87" s="55">
        <f t="shared" si="20"/>
        <v>0</v>
      </c>
      <c r="W87" s="55"/>
      <c r="X87" s="30" t="s">
        <v>75</v>
      </c>
      <c r="Y87" s="55"/>
      <c r="Z87" s="55">
        <v>3647319</v>
      </c>
      <c r="AA87" s="55"/>
      <c r="AB87" s="55">
        <f>4438495-992324</f>
        <v>3446171</v>
      </c>
      <c r="AC87" s="55"/>
      <c r="AD87" s="55">
        <v>992324</v>
      </c>
      <c r="AE87" s="55"/>
      <c r="AF87" s="55">
        <f t="shared" si="14"/>
        <v>-791176</v>
      </c>
      <c r="AG87" s="55"/>
      <c r="AH87" s="55">
        <v>-33179</v>
      </c>
      <c r="AI87" s="55"/>
      <c r="AJ87" s="55">
        <v>435300</v>
      </c>
      <c r="AK87" s="55"/>
      <c r="AL87" s="55">
        <v>-910501</v>
      </c>
      <c r="AM87" s="55"/>
      <c r="AN87" s="55">
        <v>47955</v>
      </c>
      <c r="AO87" s="55"/>
      <c r="AP87" s="55">
        <f t="shared" si="15"/>
        <v>569401</v>
      </c>
      <c r="AQ87" s="55"/>
      <c r="AR87" s="55">
        <v>0</v>
      </c>
      <c r="AS87" s="55"/>
      <c r="AT87" s="55">
        <v>0</v>
      </c>
      <c r="AU87" s="55"/>
      <c r="AV87" s="55">
        <f t="shared" si="16"/>
        <v>3659106</v>
      </c>
      <c r="AW87" s="55"/>
      <c r="AX87" s="30" t="s">
        <v>75</v>
      </c>
      <c r="AY87" s="55"/>
      <c r="AZ87" s="55">
        <v>149559</v>
      </c>
      <c r="BA87" s="55"/>
      <c r="BB87" s="55">
        <v>0</v>
      </c>
      <c r="BC87" s="55"/>
      <c r="BD87" s="55">
        <v>636101</v>
      </c>
      <c r="BE87" s="55"/>
      <c r="BF87" s="55">
        <v>32931</v>
      </c>
      <c r="BG87" s="55"/>
      <c r="BH87" s="55"/>
      <c r="BI87" s="55"/>
      <c r="BJ87" s="51">
        <f t="shared" si="17"/>
        <v>818591</v>
      </c>
    </row>
    <row r="88" spans="1:62" s="26" customFormat="1" ht="12">
      <c r="A88" s="30" t="s">
        <v>76</v>
      </c>
      <c r="B88" s="30"/>
      <c r="C88" s="55">
        <f t="shared" si="12"/>
        <v>1456003</v>
      </c>
      <c r="D88" s="55"/>
      <c r="E88" s="55">
        <v>4484669</v>
      </c>
      <c r="F88" s="55"/>
      <c r="G88" s="55">
        <v>5940672</v>
      </c>
      <c r="H88" s="55"/>
      <c r="I88" s="55">
        <f t="shared" si="18"/>
        <v>96445</v>
      </c>
      <c r="J88" s="55"/>
      <c r="K88" s="55">
        <f t="shared" si="19"/>
        <v>1030190</v>
      </c>
      <c r="L88" s="55"/>
      <c r="M88" s="55">
        <v>1126635</v>
      </c>
      <c r="N88" s="55"/>
      <c r="O88" s="55">
        <v>3389009</v>
      </c>
      <c r="P88" s="55"/>
      <c r="Q88" s="55">
        <v>0</v>
      </c>
      <c r="R88" s="55"/>
      <c r="S88" s="55">
        <v>1425028</v>
      </c>
      <c r="T88" s="55"/>
      <c r="U88" s="55">
        <f t="shared" si="13"/>
        <v>4814037</v>
      </c>
      <c r="V88" s="55">
        <f t="shared" si="20"/>
        <v>0</v>
      </c>
      <c r="W88" s="55"/>
      <c r="X88" s="30" t="s">
        <v>76</v>
      </c>
      <c r="Y88" s="55"/>
      <c r="Z88" s="55">
        <v>623993</v>
      </c>
      <c r="AA88" s="55"/>
      <c r="AB88" s="55">
        <f>762865-163864</f>
        <v>599001</v>
      </c>
      <c r="AC88" s="55"/>
      <c r="AD88" s="55">
        <v>163864</v>
      </c>
      <c r="AE88" s="55"/>
      <c r="AF88" s="55">
        <f t="shared" si="14"/>
        <v>-138872</v>
      </c>
      <c r="AG88" s="55"/>
      <c r="AH88" s="55">
        <v>-21713</v>
      </c>
      <c r="AI88" s="55"/>
      <c r="AJ88" s="55">
        <v>0</v>
      </c>
      <c r="AK88" s="55"/>
      <c r="AL88" s="55">
        <v>0</v>
      </c>
      <c r="AM88" s="55"/>
      <c r="AN88" s="55">
        <v>0</v>
      </c>
      <c r="AO88" s="55"/>
      <c r="AP88" s="55">
        <f t="shared" si="15"/>
        <v>-160585</v>
      </c>
      <c r="AQ88" s="55"/>
      <c r="AR88" s="55">
        <v>0</v>
      </c>
      <c r="AS88" s="55"/>
      <c r="AT88" s="55">
        <v>0</v>
      </c>
      <c r="AU88" s="55"/>
      <c r="AV88" s="55">
        <f t="shared" si="16"/>
        <v>1359558</v>
      </c>
      <c r="AW88" s="55"/>
      <c r="AX88" s="30" t="s">
        <v>76</v>
      </c>
      <c r="AY88" s="55"/>
      <c r="AZ88" s="55">
        <v>0</v>
      </c>
      <c r="BA88" s="55"/>
      <c r="BB88" s="55">
        <v>0</v>
      </c>
      <c r="BC88" s="55"/>
      <c r="BD88" s="55">
        <f>294648+730885</f>
        <v>1025533</v>
      </c>
      <c r="BE88" s="55"/>
      <c r="BF88" s="55">
        <v>4657</v>
      </c>
      <c r="BG88" s="55"/>
      <c r="BH88" s="55"/>
      <c r="BI88" s="55"/>
      <c r="BJ88" s="51">
        <f t="shared" si="17"/>
        <v>1030190</v>
      </c>
    </row>
    <row r="89" spans="1:62" s="26" customFormat="1" ht="12" hidden="1">
      <c r="A89" s="30" t="s">
        <v>77</v>
      </c>
      <c r="B89" s="30"/>
      <c r="C89" s="55">
        <f t="shared" si="12"/>
        <v>0</v>
      </c>
      <c r="D89" s="55"/>
      <c r="E89" s="55">
        <v>0</v>
      </c>
      <c r="F89" s="55"/>
      <c r="G89" s="55">
        <v>0</v>
      </c>
      <c r="H89" s="55"/>
      <c r="I89" s="55">
        <f t="shared" si="18"/>
        <v>0</v>
      </c>
      <c r="J89" s="55"/>
      <c r="K89" s="55">
        <f t="shared" si="19"/>
        <v>0</v>
      </c>
      <c r="L89" s="55"/>
      <c r="M89" s="55">
        <v>0</v>
      </c>
      <c r="N89" s="55"/>
      <c r="O89" s="55">
        <v>0</v>
      </c>
      <c r="P89" s="55"/>
      <c r="Q89" s="55">
        <v>0</v>
      </c>
      <c r="R89" s="55"/>
      <c r="S89" s="55">
        <v>0</v>
      </c>
      <c r="T89" s="55"/>
      <c r="U89" s="55">
        <f t="shared" si="13"/>
        <v>0</v>
      </c>
      <c r="V89" s="55">
        <f t="shared" si="20"/>
        <v>0</v>
      </c>
      <c r="W89" s="55"/>
      <c r="X89" s="30" t="s">
        <v>77</v>
      </c>
      <c r="Y89" s="55"/>
      <c r="Z89" s="55">
        <v>0</v>
      </c>
      <c r="AA89" s="55"/>
      <c r="AB89" s="55">
        <v>0</v>
      </c>
      <c r="AC89" s="55"/>
      <c r="AD89" s="55">
        <v>0</v>
      </c>
      <c r="AE89" s="55"/>
      <c r="AF89" s="55">
        <f t="shared" si="14"/>
        <v>0</v>
      </c>
      <c r="AG89" s="55"/>
      <c r="AH89" s="55">
        <v>0</v>
      </c>
      <c r="AI89" s="55"/>
      <c r="AJ89" s="55">
        <v>0</v>
      </c>
      <c r="AK89" s="55"/>
      <c r="AL89" s="55">
        <v>0</v>
      </c>
      <c r="AM89" s="55"/>
      <c r="AN89" s="55">
        <v>0</v>
      </c>
      <c r="AO89" s="55"/>
      <c r="AP89" s="55">
        <f t="shared" si="15"/>
        <v>0</v>
      </c>
      <c r="AQ89" s="55"/>
      <c r="AR89" s="55">
        <v>0</v>
      </c>
      <c r="AS89" s="55"/>
      <c r="AT89" s="55">
        <v>0</v>
      </c>
      <c r="AU89" s="55"/>
      <c r="AV89" s="55">
        <f t="shared" si="16"/>
        <v>0</v>
      </c>
      <c r="AW89" s="55"/>
      <c r="AX89" s="30" t="s">
        <v>77</v>
      </c>
      <c r="AY89" s="55"/>
      <c r="AZ89" s="55">
        <v>0</v>
      </c>
      <c r="BA89" s="55"/>
      <c r="BB89" s="55">
        <v>0</v>
      </c>
      <c r="BC89" s="55"/>
      <c r="BD89" s="55">
        <v>0</v>
      </c>
      <c r="BE89" s="55"/>
      <c r="BF89" s="55">
        <v>0</v>
      </c>
      <c r="BG89" s="55"/>
      <c r="BH89" s="55"/>
      <c r="BI89" s="55"/>
      <c r="BJ89" s="51">
        <f t="shared" si="17"/>
        <v>0</v>
      </c>
    </row>
    <row r="90" spans="1:62" s="26" customFormat="1" ht="12" hidden="1">
      <c r="A90" s="30" t="s">
        <v>78</v>
      </c>
      <c r="B90" s="30"/>
      <c r="C90" s="55">
        <f t="shared" si="12"/>
        <v>0</v>
      </c>
      <c r="D90" s="55"/>
      <c r="E90" s="55">
        <v>0</v>
      </c>
      <c r="F90" s="55"/>
      <c r="G90" s="55">
        <v>0</v>
      </c>
      <c r="H90" s="55"/>
      <c r="I90" s="55">
        <f t="shared" si="18"/>
        <v>0</v>
      </c>
      <c r="J90" s="55"/>
      <c r="K90" s="55">
        <f t="shared" si="19"/>
        <v>0</v>
      </c>
      <c r="L90" s="55"/>
      <c r="M90" s="55">
        <v>0</v>
      </c>
      <c r="N90" s="55"/>
      <c r="O90" s="55">
        <v>0</v>
      </c>
      <c r="P90" s="55"/>
      <c r="Q90" s="55">
        <v>0</v>
      </c>
      <c r="R90" s="55"/>
      <c r="S90" s="55">
        <v>0</v>
      </c>
      <c r="T90" s="55"/>
      <c r="U90" s="55">
        <f t="shared" si="13"/>
        <v>0</v>
      </c>
      <c r="V90" s="55">
        <f t="shared" si="20"/>
        <v>0</v>
      </c>
      <c r="W90" s="55"/>
      <c r="X90" s="30" t="s">
        <v>78</v>
      </c>
      <c r="Y90" s="55"/>
      <c r="Z90" s="55">
        <v>0</v>
      </c>
      <c r="AA90" s="55"/>
      <c r="AB90" s="55">
        <v>0</v>
      </c>
      <c r="AC90" s="55"/>
      <c r="AD90" s="55">
        <v>0</v>
      </c>
      <c r="AE90" s="55"/>
      <c r="AF90" s="55">
        <f t="shared" si="14"/>
        <v>0</v>
      </c>
      <c r="AG90" s="55"/>
      <c r="AH90" s="55">
        <v>0</v>
      </c>
      <c r="AI90" s="55"/>
      <c r="AJ90" s="55">
        <v>0</v>
      </c>
      <c r="AK90" s="55"/>
      <c r="AL90" s="55">
        <v>0</v>
      </c>
      <c r="AM90" s="55"/>
      <c r="AN90" s="55">
        <v>0</v>
      </c>
      <c r="AO90" s="55"/>
      <c r="AP90" s="55">
        <f t="shared" si="15"/>
        <v>0</v>
      </c>
      <c r="AQ90" s="55"/>
      <c r="AR90" s="55">
        <v>0</v>
      </c>
      <c r="AS90" s="55"/>
      <c r="AT90" s="55">
        <v>0</v>
      </c>
      <c r="AU90" s="55"/>
      <c r="AV90" s="55">
        <f t="shared" si="16"/>
        <v>0</v>
      </c>
      <c r="AW90" s="55"/>
      <c r="AX90" s="30" t="s">
        <v>78</v>
      </c>
      <c r="AY90" s="55"/>
      <c r="AZ90" s="55">
        <v>0</v>
      </c>
      <c r="BA90" s="55"/>
      <c r="BB90" s="55">
        <v>0</v>
      </c>
      <c r="BC90" s="55"/>
      <c r="BD90" s="55">
        <v>0</v>
      </c>
      <c r="BE90" s="55"/>
      <c r="BF90" s="55">
        <v>0</v>
      </c>
      <c r="BG90" s="55"/>
      <c r="BH90" s="55"/>
      <c r="BI90" s="55"/>
      <c r="BJ90" s="51">
        <f t="shared" si="17"/>
        <v>0</v>
      </c>
    </row>
    <row r="91" spans="1:62" s="26" customFormat="1" ht="12" hidden="1">
      <c r="A91" s="30" t="s">
        <v>79</v>
      </c>
      <c r="B91" s="30"/>
      <c r="C91" s="55">
        <f t="shared" si="12"/>
        <v>0</v>
      </c>
      <c r="D91" s="55"/>
      <c r="E91" s="55">
        <v>0</v>
      </c>
      <c r="F91" s="55"/>
      <c r="G91" s="55">
        <v>0</v>
      </c>
      <c r="H91" s="55"/>
      <c r="I91" s="55">
        <f t="shared" si="18"/>
        <v>0</v>
      </c>
      <c r="J91" s="55"/>
      <c r="K91" s="55">
        <f t="shared" si="19"/>
        <v>0</v>
      </c>
      <c r="L91" s="55"/>
      <c r="M91" s="55">
        <v>0</v>
      </c>
      <c r="N91" s="55"/>
      <c r="O91" s="55">
        <v>0</v>
      </c>
      <c r="P91" s="55"/>
      <c r="Q91" s="55">
        <v>0</v>
      </c>
      <c r="R91" s="55"/>
      <c r="S91" s="55">
        <v>0</v>
      </c>
      <c r="T91" s="55"/>
      <c r="U91" s="55">
        <f t="shared" si="13"/>
        <v>0</v>
      </c>
      <c r="V91" s="55">
        <f t="shared" si="20"/>
        <v>0</v>
      </c>
      <c r="W91" s="55"/>
      <c r="X91" s="30" t="s">
        <v>79</v>
      </c>
      <c r="Y91" s="55"/>
      <c r="Z91" s="55">
        <v>0</v>
      </c>
      <c r="AA91" s="55"/>
      <c r="AB91" s="55">
        <v>0</v>
      </c>
      <c r="AC91" s="55"/>
      <c r="AD91" s="55">
        <v>0</v>
      </c>
      <c r="AE91" s="55"/>
      <c r="AF91" s="55">
        <f t="shared" si="14"/>
        <v>0</v>
      </c>
      <c r="AG91" s="55"/>
      <c r="AH91" s="55">
        <v>0</v>
      </c>
      <c r="AI91" s="55"/>
      <c r="AJ91" s="55">
        <v>0</v>
      </c>
      <c r="AK91" s="55"/>
      <c r="AL91" s="55">
        <v>0</v>
      </c>
      <c r="AM91" s="55"/>
      <c r="AN91" s="55">
        <v>0</v>
      </c>
      <c r="AO91" s="55"/>
      <c r="AP91" s="55">
        <f t="shared" si="15"/>
        <v>0</v>
      </c>
      <c r="AQ91" s="55"/>
      <c r="AR91" s="55">
        <v>0</v>
      </c>
      <c r="AS91" s="55"/>
      <c r="AT91" s="55">
        <v>0</v>
      </c>
      <c r="AU91" s="55"/>
      <c r="AV91" s="55">
        <f t="shared" si="16"/>
        <v>0</v>
      </c>
      <c r="AW91" s="55"/>
      <c r="AX91" s="30" t="s">
        <v>79</v>
      </c>
      <c r="AY91" s="55"/>
      <c r="AZ91" s="55">
        <v>0</v>
      </c>
      <c r="BA91" s="55"/>
      <c r="BB91" s="55">
        <v>0</v>
      </c>
      <c r="BC91" s="55"/>
      <c r="BD91" s="55">
        <v>0</v>
      </c>
      <c r="BE91" s="55"/>
      <c r="BF91" s="55">
        <v>0</v>
      </c>
      <c r="BG91" s="55"/>
      <c r="BH91" s="55"/>
      <c r="BI91" s="55"/>
      <c r="BJ91" s="51">
        <f t="shared" si="17"/>
        <v>0</v>
      </c>
    </row>
    <row r="92" spans="1:62" s="26" customFormat="1" ht="12">
      <c r="A92" s="30" t="s">
        <v>80</v>
      </c>
      <c r="B92" s="30"/>
      <c r="C92" s="55">
        <f t="shared" si="12"/>
        <v>26178873</v>
      </c>
      <c r="D92" s="55"/>
      <c r="E92" s="55">
        <v>77442321</v>
      </c>
      <c r="F92" s="55"/>
      <c r="G92" s="55">
        <v>103621194</v>
      </c>
      <c r="H92" s="55"/>
      <c r="I92" s="55">
        <f t="shared" si="18"/>
        <v>1872006</v>
      </c>
      <c r="J92" s="55"/>
      <c r="K92" s="55">
        <f t="shared" si="19"/>
        <v>13414854</v>
      </c>
      <c r="L92" s="55"/>
      <c r="M92" s="55">
        <v>15286860</v>
      </c>
      <c r="N92" s="55"/>
      <c r="O92" s="55">
        <v>59442321</v>
      </c>
      <c r="P92" s="55"/>
      <c r="Q92" s="55">
        <v>130920</v>
      </c>
      <c r="R92" s="55"/>
      <c r="S92" s="55">
        <v>28761093</v>
      </c>
      <c r="T92" s="55"/>
      <c r="U92" s="55">
        <f t="shared" si="13"/>
        <v>88334334</v>
      </c>
      <c r="V92" s="55">
        <f t="shared" si="20"/>
        <v>0</v>
      </c>
      <c r="W92" s="55"/>
      <c r="X92" s="30" t="s">
        <v>80</v>
      </c>
      <c r="Y92" s="55"/>
      <c r="Z92" s="55">
        <v>9680295</v>
      </c>
      <c r="AA92" s="55"/>
      <c r="AB92" s="55">
        <f>9536397-2742201</f>
        <v>6794196</v>
      </c>
      <c r="AC92" s="55"/>
      <c r="AD92" s="55">
        <v>2742201</v>
      </c>
      <c r="AE92" s="55"/>
      <c r="AF92" s="55">
        <f t="shared" si="14"/>
        <v>143898</v>
      </c>
      <c r="AG92" s="55"/>
      <c r="AH92" s="55">
        <v>-540928</v>
      </c>
      <c r="AI92" s="55"/>
      <c r="AJ92" s="55">
        <v>0</v>
      </c>
      <c r="AK92" s="55"/>
      <c r="AL92" s="55">
        <v>0</v>
      </c>
      <c r="AM92" s="55"/>
      <c r="AN92" s="55">
        <f>6122509+3220302</f>
        <v>9342811</v>
      </c>
      <c r="AO92" s="55"/>
      <c r="AP92" s="55">
        <f t="shared" si="15"/>
        <v>8945781</v>
      </c>
      <c r="AQ92" s="55"/>
      <c r="AR92" s="55">
        <v>0</v>
      </c>
      <c r="AS92" s="55"/>
      <c r="AT92" s="55">
        <v>0</v>
      </c>
      <c r="AU92" s="55"/>
      <c r="AV92" s="55">
        <f t="shared" si="16"/>
        <v>24306867</v>
      </c>
      <c r="AW92" s="55"/>
      <c r="AX92" s="30" t="s">
        <v>80</v>
      </c>
      <c r="AY92" s="55"/>
      <c r="AZ92" s="55">
        <v>0</v>
      </c>
      <c r="BA92" s="55"/>
      <c r="BB92" s="55">
        <v>12253971</v>
      </c>
      <c r="BC92" s="55"/>
      <c r="BD92" s="55">
        <v>386590</v>
      </c>
      <c r="BE92" s="55"/>
      <c r="BF92" s="55">
        <f>262741+511552</f>
        <v>774293</v>
      </c>
      <c r="BG92" s="55"/>
      <c r="BH92" s="55"/>
      <c r="BI92" s="55"/>
      <c r="BJ92" s="51">
        <f t="shared" si="17"/>
        <v>13414854</v>
      </c>
    </row>
    <row r="93" spans="1:62" s="26" customFormat="1" ht="12" hidden="1">
      <c r="A93" s="30" t="s">
        <v>81</v>
      </c>
      <c r="B93" s="30"/>
      <c r="C93" s="55">
        <f t="shared" si="12"/>
        <v>0</v>
      </c>
      <c r="D93" s="55"/>
      <c r="E93" s="55">
        <v>0</v>
      </c>
      <c r="F93" s="55"/>
      <c r="G93" s="55">
        <v>0</v>
      </c>
      <c r="H93" s="55"/>
      <c r="I93" s="55">
        <f>+M93-K93</f>
        <v>0</v>
      </c>
      <c r="J93" s="55"/>
      <c r="K93" s="55">
        <f t="shared" si="19"/>
        <v>0</v>
      </c>
      <c r="L93" s="55"/>
      <c r="M93" s="55">
        <v>0</v>
      </c>
      <c r="N93" s="55"/>
      <c r="O93" s="55">
        <v>0</v>
      </c>
      <c r="P93" s="55"/>
      <c r="Q93" s="55">
        <v>0</v>
      </c>
      <c r="R93" s="55"/>
      <c r="S93" s="55">
        <v>0</v>
      </c>
      <c r="T93" s="55"/>
      <c r="U93" s="55">
        <f t="shared" si="13"/>
        <v>0</v>
      </c>
      <c r="V93" s="55"/>
      <c r="W93" s="55"/>
      <c r="X93" s="30" t="s">
        <v>81</v>
      </c>
      <c r="Y93" s="55"/>
      <c r="Z93" s="55">
        <v>0</v>
      </c>
      <c r="AA93" s="55"/>
      <c r="AB93" s="55">
        <v>0</v>
      </c>
      <c r="AC93" s="55"/>
      <c r="AD93" s="55">
        <v>0</v>
      </c>
      <c r="AE93" s="55"/>
      <c r="AF93" s="55">
        <f t="shared" si="14"/>
        <v>0</v>
      </c>
      <c r="AG93" s="55"/>
      <c r="AH93" s="55">
        <v>0</v>
      </c>
      <c r="AI93" s="55"/>
      <c r="AJ93" s="55">
        <v>0</v>
      </c>
      <c r="AK93" s="55"/>
      <c r="AL93" s="55">
        <v>0</v>
      </c>
      <c r="AM93" s="55"/>
      <c r="AN93" s="55">
        <v>0</v>
      </c>
      <c r="AO93" s="55"/>
      <c r="AP93" s="55">
        <f t="shared" si="15"/>
        <v>0</v>
      </c>
      <c r="AQ93" s="55"/>
      <c r="AR93" s="55">
        <v>0</v>
      </c>
      <c r="AS93" s="55"/>
      <c r="AT93" s="55">
        <v>0</v>
      </c>
      <c r="AU93" s="55"/>
      <c r="AV93" s="55">
        <f t="shared" si="16"/>
        <v>0</v>
      </c>
      <c r="AW93" s="55"/>
      <c r="AX93" s="30" t="s">
        <v>81</v>
      </c>
      <c r="AY93" s="55"/>
      <c r="AZ93" s="55">
        <v>0</v>
      </c>
      <c r="BA93" s="55"/>
      <c r="BB93" s="55">
        <v>0</v>
      </c>
      <c r="BC93" s="55"/>
      <c r="BD93" s="55">
        <v>0</v>
      </c>
      <c r="BE93" s="55"/>
      <c r="BF93" s="55">
        <v>0</v>
      </c>
      <c r="BG93" s="55"/>
      <c r="BH93" s="55"/>
      <c r="BI93" s="55"/>
      <c r="BJ93" s="51">
        <f t="shared" si="17"/>
        <v>0</v>
      </c>
    </row>
    <row r="94" spans="1:62" s="26" customFormat="1" ht="12" hidden="1">
      <c r="A94" s="30" t="s">
        <v>139</v>
      </c>
      <c r="B94" s="30"/>
      <c r="C94" s="55">
        <f t="shared" si="12"/>
        <v>0</v>
      </c>
      <c r="D94" s="55"/>
      <c r="E94" s="55">
        <v>0</v>
      </c>
      <c r="F94" s="55"/>
      <c r="G94" s="55">
        <v>0</v>
      </c>
      <c r="H94" s="55"/>
      <c r="I94" s="55">
        <f>+M94-K94</f>
        <v>0</v>
      </c>
      <c r="J94" s="55"/>
      <c r="K94" s="55">
        <f t="shared" si="19"/>
        <v>0</v>
      </c>
      <c r="L94" s="55"/>
      <c r="M94" s="55">
        <v>0</v>
      </c>
      <c r="N94" s="55"/>
      <c r="O94" s="55">
        <v>0</v>
      </c>
      <c r="P94" s="55"/>
      <c r="Q94" s="55">
        <v>0</v>
      </c>
      <c r="R94" s="55"/>
      <c r="S94" s="55">
        <v>0</v>
      </c>
      <c r="T94" s="55"/>
      <c r="U94" s="55">
        <f t="shared" si="13"/>
        <v>0</v>
      </c>
      <c r="V94" s="55"/>
      <c r="W94" s="55"/>
      <c r="X94" s="30" t="s">
        <v>139</v>
      </c>
      <c r="Y94" s="55"/>
      <c r="Z94" s="55">
        <v>0</v>
      </c>
      <c r="AA94" s="55"/>
      <c r="AB94" s="55">
        <v>0</v>
      </c>
      <c r="AC94" s="55"/>
      <c r="AD94" s="55">
        <v>0</v>
      </c>
      <c r="AE94" s="55"/>
      <c r="AF94" s="55">
        <f t="shared" si="14"/>
        <v>0</v>
      </c>
      <c r="AG94" s="55"/>
      <c r="AH94" s="55">
        <v>0</v>
      </c>
      <c r="AI94" s="55"/>
      <c r="AJ94" s="55">
        <v>0</v>
      </c>
      <c r="AK94" s="55"/>
      <c r="AL94" s="55">
        <v>0</v>
      </c>
      <c r="AM94" s="55"/>
      <c r="AN94" s="55">
        <v>0</v>
      </c>
      <c r="AO94" s="55"/>
      <c r="AP94" s="55">
        <f t="shared" si="15"/>
        <v>0</v>
      </c>
      <c r="AQ94" s="55"/>
      <c r="AR94" s="55">
        <v>0</v>
      </c>
      <c r="AS94" s="55"/>
      <c r="AT94" s="55">
        <v>0</v>
      </c>
      <c r="AU94" s="55"/>
      <c r="AV94" s="55">
        <f t="shared" si="16"/>
        <v>0</v>
      </c>
      <c r="AW94" s="55"/>
      <c r="AX94" s="30" t="s">
        <v>139</v>
      </c>
      <c r="AY94" s="55"/>
      <c r="AZ94" s="55">
        <v>0</v>
      </c>
      <c r="BA94" s="55"/>
      <c r="BB94" s="55">
        <v>0</v>
      </c>
      <c r="BC94" s="55"/>
      <c r="BD94" s="55">
        <v>0</v>
      </c>
      <c r="BE94" s="55"/>
      <c r="BF94" s="55">
        <v>0</v>
      </c>
      <c r="BG94" s="55"/>
      <c r="BH94" s="55"/>
      <c r="BI94" s="55"/>
      <c r="BJ94" s="51">
        <f t="shared" si="17"/>
        <v>0</v>
      </c>
    </row>
    <row r="95" spans="1:62" s="26" customFormat="1" ht="12" hidden="1">
      <c r="A95" s="30" t="s">
        <v>178</v>
      </c>
      <c r="B95" s="30"/>
      <c r="C95" s="55">
        <f t="shared" si="12"/>
        <v>0</v>
      </c>
      <c r="D95" s="55"/>
      <c r="E95" s="55">
        <v>0</v>
      </c>
      <c r="F95" s="55"/>
      <c r="G95" s="55">
        <v>0</v>
      </c>
      <c r="H95" s="55"/>
      <c r="I95" s="55">
        <f>+M95-K95</f>
        <v>0</v>
      </c>
      <c r="J95" s="55"/>
      <c r="K95" s="55">
        <f t="shared" si="19"/>
        <v>0</v>
      </c>
      <c r="L95" s="55"/>
      <c r="M95" s="55">
        <v>0</v>
      </c>
      <c r="N95" s="55"/>
      <c r="O95" s="55">
        <v>0</v>
      </c>
      <c r="P95" s="55"/>
      <c r="Q95" s="55">
        <v>0</v>
      </c>
      <c r="R95" s="55"/>
      <c r="S95" s="55">
        <v>0</v>
      </c>
      <c r="T95" s="55"/>
      <c r="U95" s="55">
        <f t="shared" si="13"/>
        <v>0</v>
      </c>
      <c r="V95" s="55"/>
      <c r="W95" s="55"/>
      <c r="X95" s="30" t="s">
        <v>178</v>
      </c>
      <c r="Y95" s="55"/>
      <c r="Z95" s="55">
        <v>0</v>
      </c>
      <c r="AA95" s="55"/>
      <c r="AB95" s="55">
        <v>0</v>
      </c>
      <c r="AC95" s="55"/>
      <c r="AD95" s="55">
        <v>0</v>
      </c>
      <c r="AE95" s="55"/>
      <c r="AF95" s="55">
        <f t="shared" si="14"/>
        <v>0</v>
      </c>
      <c r="AG95" s="55"/>
      <c r="AH95" s="55">
        <v>0</v>
      </c>
      <c r="AI95" s="55"/>
      <c r="AJ95" s="55">
        <v>0</v>
      </c>
      <c r="AK95" s="55"/>
      <c r="AL95" s="55">
        <v>0</v>
      </c>
      <c r="AM95" s="55"/>
      <c r="AN95" s="55">
        <v>0</v>
      </c>
      <c r="AO95" s="55"/>
      <c r="AP95" s="55">
        <f t="shared" si="15"/>
        <v>0</v>
      </c>
      <c r="AQ95" s="55"/>
      <c r="AR95" s="55">
        <v>0</v>
      </c>
      <c r="AS95" s="55"/>
      <c r="AT95" s="55">
        <v>0</v>
      </c>
      <c r="AU95" s="55"/>
      <c r="AV95" s="55">
        <f t="shared" si="16"/>
        <v>0</v>
      </c>
      <c r="AW95" s="55"/>
      <c r="AX95" s="30" t="s">
        <v>178</v>
      </c>
      <c r="AY95" s="55"/>
      <c r="AZ95" s="55">
        <v>0</v>
      </c>
      <c r="BA95" s="55"/>
      <c r="BB95" s="55">
        <v>0</v>
      </c>
      <c r="BC95" s="55"/>
      <c r="BD95" s="55">
        <v>0</v>
      </c>
      <c r="BE95" s="55"/>
      <c r="BF95" s="55">
        <v>0</v>
      </c>
      <c r="BG95" s="55"/>
      <c r="BH95" s="55"/>
      <c r="BI95" s="55"/>
      <c r="BJ95" s="51">
        <f t="shared" si="17"/>
        <v>0</v>
      </c>
    </row>
    <row r="96" spans="1:62" s="26" customFormat="1" ht="12" hidden="1">
      <c r="A96" s="30" t="s">
        <v>83</v>
      </c>
      <c r="B96" s="30"/>
      <c r="C96" s="55">
        <f t="shared" si="12"/>
        <v>0</v>
      </c>
      <c r="D96" s="55"/>
      <c r="E96" s="55">
        <v>0</v>
      </c>
      <c r="F96" s="55"/>
      <c r="G96" s="55">
        <v>0</v>
      </c>
      <c r="H96" s="55"/>
      <c r="I96" s="55">
        <f>+M96-K96</f>
        <v>0</v>
      </c>
      <c r="J96" s="55"/>
      <c r="K96" s="55">
        <f t="shared" si="19"/>
        <v>0</v>
      </c>
      <c r="L96" s="55"/>
      <c r="M96" s="55">
        <v>0</v>
      </c>
      <c r="N96" s="55"/>
      <c r="O96" s="55">
        <v>0</v>
      </c>
      <c r="P96" s="55"/>
      <c r="Q96" s="55">
        <v>0</v>
      </c>
      <c r="R96" s="55"/>
      <c r="S96" s="55">
        <v>0</v>
      </c>
      <c r="T96" s="55"/>
      <c r="U96" s="55">
        <f t="shared" si="13"/>
        <v>0</v>
      </c>
      <c r="V96" s="55"/>
      <c r="W96" s="55"/>
      <c r="X96" s="30" t="s">
        <v>83</v>
      </c>
      <c r="Y96" s="55"/>
      <c r="Z96" s="55">
        <v>0</v>
      </c>
      <c r="AA96" s="55"/>
      <c r="AB96" s="55">
        <v>0</v>
      </c>
      <c r="AC96" s="55"/>
      <c r="AD96" s="55">
        <v>0</v>
      </c>
      <c r="AE96" s="55"/>
      <c r="AF96" s="55">
        <f t="shared" si="14"/>
        <v>0</v>
      </c>
      <c r="AG96" s="55"/>
      <c r="AH96" s="55">
        <v>0</v>
      </c>
      <c r="AI96" s="55"/>
      <c r="AJ96" s="55">
        <v>0</v>
      </c>
      <c r="AK96" s="55"/>
      <c r="AL96" s="55">
        <v>0</v>
      </c>
      <c r="AM96" s="55"/>
      <c r="AN96" s="55">
        <v>0</v>
      </c>
      <c r="AO96" s="55"/>
      <c r="AP96" s="55">
        <f t="shared" si="15"/>
        <v>0</v>
      </c>
      <c r="AQ96" s="55"/>
      <c r="AR96" s="55">
        <v>0</v>
      </c>
      <c r="AS96" s="55"/>
      <c r="AT96" s="55">
        <v>0</v>
      </c>
      <c r="AU96" s="55"/>
      <c r="AV96" s="55">
        <f t="shared" si="16"/>
        <v>0</v>
      </c>
      <c r="AW96" s="55"/>
      <c r="AX96" s="30" t="s">
        <v>83</v>
      </c>
      <c r="AY96" s="55"/>
      <c r="AZ96" s="55">
        <v>0</v>
      </c>
      <c r="BA96" s="55"/>
      <c r="BB96" s="55">
        <v>0</v>
      </c>
      <c r="BC96" s="55"/>
      <c r="BD96" s="55">
        <v>0</v>
      </c>
      <c r="BE96" s="55"/>
      <c r="BF96" s="55">
        <v>0</v>
      </c>
      <c r="BG96" s="55"/>
      <c r="BH96" s="55"/>
      <c r="BI96" s="55"/>
      <c r="BJ96" s="51">
        <f t="shared" si="17"/>
        <v>0</v>
      </c>
    </row>
    <row r="97" spans="1:62" s="26" customFormat="1" ht="12" hidden="1">
      <c r="A97" s="30" t="s">
        <v>179</v>
      </c>
      <c r="B97" s="30"/>
      <c r="C97" s="55">
        <v>0</v>
      </c>
      <c r="D97" s="55"/>
      <c r="E97" s="55">
        <v>0</v>
      </c>
      <c r="F97" s="55"/>
      <c r="G97" s="55">
        <v>0</v>
      </c>
      <c r="H97" s="55"/>
      <c r="I97" s="55">
        <v>0</v>
      </c>
      <c r="J97" s="55"/>
      <c r="K97" s="55">
        <v>0</v>
      </c>
      <c r="L97" s="55"/>
      <c r="M97" s="55">
        <v>0</v>
      </c>
      <c r="N97" s="55"/>
      <c r="O97" s="55">
        <v>0</v>
      </c>
      <c r="P97" s="55"/>
      <c r="Q97" s="55">
        <v>0</v>
      </c>
      <c r="R97" s="55"/>
      <c r="S97" s="55">
        <v>0</v>
      </c>
      <c r="T97" s="55"/>
      <c r="U97" s="55">
        <v>0</v>
      </c>
      <c r="V97" s="55"/>
      <c r="W97" s="55"/>
      <c r="X97" s="55"/>
      <c r="Y97" s="55"/>
      <c r="Z97" s="55">
        <v>0</v>
      </c>
      <c r="AA97" s="55"/>
      <c r="AB97" s="55">
        <v>0</v>
      </c>
      <c r="AC97" s="55"/>
      <c r="AD97" s="55">
        <v>0</v>
      </c>
      <c r="AE97" s="55"/>
      <c r="AF97" s="55">
        <v>0</v>
      </c>
      <c r="AG97" s="55"/>
      <c r="AH97" s="55">
        <v>0</v>
      </c>
      <c r="AI97" s="55"/>
      <c r="AJ97" s="55">
        <v>0</v>
      </c>
      <c r="AK97" s="55"/>
      <c r="AL97" s="55">
        <v>0</v>
      </c>
      <c r="AM97" s="55"/>
      <c r="AN97" s="55">
        <v>0</v>
      </c>
      <c r="AO97" s="55"/>
      <c r="AP97" s="55">
        <v>0</v>
      </c>
      <c r="AQ97" s="55"/>
      <c r="AR97" s="55">
        <v>0</v>
      </c>
      <c r="AS97" s="55"/>
      <c r="AT97" s="55">
        <v>0</v>
      </c>
      <c r="AU97" s="55"/>
      <c r="AV97" s="55">
        <v>0</v>
      </c>
      <c r="AW97" s="55"/>
      <c r="AX97" s="55"/>
      <c r="AY97" s="55"/>
      <c r="AZ97" s="55">
        <v>0</v>
      </c>
      <c r="BA97" s="55"/>
      <c r="BB97" s="55">
        <v>0</v>
      </c>
      <c r="BC97" s="55"/>
      <c r="BD97" s="55">
        <v>0</v>
      </c>
      <c r="BE97" s="55"/>
      <c r="BF97" s="55">
        <v>0</v>
      </c>
      <c r="BG97" s="55"/>
      <c r="BH97" s="55"/>
      <c r="BI97" s="55"/>
      <c r="BJ97" s="51">
        <f>SUM(AZ97:BF97)+BH97</f>
        <v>0</v>
      </c>
    </row>
    <row r="98" spans="1:39" s="26" customFormat="1" ht="12">
      <c r="A98" s="30"/>
      <c r="B98" s="30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27"/>
      <c r="AC98" s="27"/>
      <c r="AD98" s="27"/>
      <c r="AE98" s="27"/>
      <c r="AF98" s="31"/>
      <c r="AG98" s="31"/>
      <c r="AH98" s="31"/>
      <c r="AI98" s="31"/>
      <c r="AJ98" s="31"/>
      <c r="AK98" s="31"/>
      <c r="AL98" s="31"/>
      <c r="AM98" s="31"/>
    </row>
    <row r="99" spans="1:39" s="26" customFormat="1" ht="12">
      <c r="A99" s="30"/>
      <c r="B99" s="30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27"/>
      <c r="AC99" s="27"/>
      <c r="AD99" s="27"/>
      <c r="AE99" s="27"/>
      <c r="AF99" s="31"/>
      <c r="AG99" s="31"/>
      <c r="AH99" s="31"/>
      <c r="AI99" s="31"/>
      <c r="AJ99" s="31"/>
      <c r="AK99" s="31"/>
      <c r="AL99" s="31"/>
      <c r="AM99" s="31"/>
    </row>
    <row r="100" spans="3:31" ht="12.7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>
        <f>SUM(Z13:Z99)</f>
        <v>160563162</v>
      </c>
      <c r="AA100" s="12"/>
      <c r="AB100" s="10"/>
      <c r="AC100" s="10"/>
      <c r="AD100" s="10">
        <f>SUM(AB13:AD99)</f>
        <v>150693005</v>
      </c>
      <c r="AE100" s="10"/>
    </row>
    <row r="101" spans="3:31" ht="12.7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0"/>
      <c r="AC101" s="10"/>
      <c r="AD101" s="10"/>
      <c r="AE101" s="10"/>
    </row>
    <row r="102" spans="3:31" ht="12.7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0"/>
      <c r="AC102" s="10"/>
      <c r="AD102" s="10"/>
      <c r="AE102" s="10"/>
    </row>
    <row r="103" spans="3:31" ht="12.7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0"/>
      <c r="AC103" s="10"/>
      <c r="AD103" s="10"/>
      <c r="AE103" s="10"/>
    </row>
    <row r="104" spans="3:31" ht="12.7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0"/>
      <c r="AC104" s="10"/>
      <c r="AD104" s="10"/>
      <c r="AE104" s="10"/>
    </row>
    <row r="105" spans="3:31" ht="12.7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0"/>
      <c r="AC105" s="10"/>
      <c r="AD105" s="10"/>
      <c r="AE105" s="10"/>
    </row>
    <row r="106" spans="3:31" ht="12.7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0"/>
      <c r="AC106" s="10"/>
      <c r="AD106" s="10"/>
      <c r="AE106" s="10"/>
    </row>
    <row r="107" spans="3:31" ht="12.7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0"/>
      <c r="AC107" s="10"/>
      <c r="AD107" s="10"/>
      <c r="AE107" s="10"/>
    </row>
    <row r="108" spans="3:31" ht="12.7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0"/>
      <c r="AC108" s="10"/>
      <c r="AD108" s="10"/>
      <c r="AE108" s="10"/>
    </row>
    <row r="109" spans="3:31" ht="12.7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0"/>
      <c r="AC109" s="10"/>
      <c r="AD109" s="10"/>
      <c r="AE109" s="10"/>
    </row>
    <row r="110" spans="3:31" ht="12.7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0"/>
      <c r="AC110" s="10"/>
      <c r="AD110" s="10"/>
      <c r="AE110" s="10"/>
    </row>
    <row r="111" spans="3:31" ht="12.7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0"/>
      <c r="AC111" s="10"/>
      <c r="AD111" s="10"/>
      <c r="AE111" s="10"/>
    </row>
    <row r="112" spans="3:31" ht="12.7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0"/>
      <c r="AC112" s="10"/>
      <c r="AD112" s="10"/>
      <c r="AE112" s="10"/>
    </row>
    <row r="113" spans="3:31" ht="12.7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0"/>
      <c r="AC113" s="10"/>
      <c r="AD113" s="10"/>
      <c r="AE113" s="10"/>
    </row>
    <row r="114" spans="3:31" ht="12.7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0"/>
      <c r="AC114" s="10"/>
      <c r="AD114" s="10"/>
      <c r="AE114" s="10"/>
    </row>
    <row r="115" spans="3:31" ht="12.7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0"/>
      <c r="AC115" s="10"/>
      <c r="AD115" s="10"/>
      <c r="AE115" s="10"/>
    </row>
  </sheetData>
  <printOptions/>
  <pageMargins left="1" right="1" top="0.5" bottom="0.5" header="0" footer="0.25"/>
  <pageSetup firstPageNumber="44" useFirstPageNumber="1" horizontalDpi="600" verticalDpi="600" orientation="portrait" r:id="rId1"/>
  <headerFooter alignWithMargins="0">
    <oddFooter>&amp;C&amp;"Times New Roman,Regular"&amp;11&amp;P</oddFooter>
  </headerFooter>
  <colBreaks count="2" manualBreakCount="2">
    <brk id="21" max="97" man="1"/>
    <brk id="49" max="9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W132"/>
  <sheetViews>
    <sheetView zoomScaleSheetLayoutView="75" workbookViewId="0" topLeftCell="A1">
      <pane xSplit="1" ySplit="9" topLeftCell="Q4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E104" sqref="AE104"/>
    </sheetView>
  </sheetViews>
  <sheetFormatPr defaultColWidth="9.140625" defaultRowHeight="12.75"/>
  <cols>
    <col min="1" max="1" width="18.00390625" style="4" customWidth="1"/>
    <col min="2" max="2" width="1.7109375" style="4" customWidth="1"/>
    <col min="3" max="3" width="11.7109375" style="4" customWidth="1"/>
    <col min="4" max="4" width="1.7109375" style="4" customWidth="1"/>
    <col min="5" max="5" width="11.7109375" style="4" customWidth="1"/>
    <col min="6" max="6" width="1.7109375" style="4" customWidth="1"/>
    <col min="7" max="7" width="11.7109375" style="4" customWidth="1"/>
    <col min="8" max="8" width="1.7109375" style="4" customWidth="1"/>
    <col min="9" max="9" width="11.7109375" style="4" customWidth="1"/>
    <col min="10" max="10" width="1.7109375" style="4" customWidth="1"/>
    <col min="11" max="11" width="11.7109375" style="4" customWidth="1"/>
    <col min="12" max="12" width="1.7109375" style="4" customWidth="1"/>
    <col min="13" max="13" width="11.7109375" style="4" customWidth="1"/>
    <col min="14" max="14" width="1.7109375" style="4" customWidth="1"/>
    <col min="15" max="15" width="11.7109375" style="4" customWidth="1"/>
    <col min="16" max="16" width="1.7109375" style="4" customWidth="1"/>
    <col min="17" max="17" width="11.7109375" style="4" customWidth="1"/>
    <col min="18" max="18" width="1.7109375" style="4" customWidth="1"/>
    <col min="19" max="19" width="11.7109375" style="4" customWidth="1"/>
    <col min="20" max="20" width="1.7109375" style="4" customWidth="1"/>
    <col min="21" max="21" width="11.7109375" style="4" customWidth="1"/>
    <col min="22" max="22" width="1.7109375" style="4" customWidth="1"/>
    <col min="23" max="23" width="11.7109375" style="4" hidden="1" customWidth="1"/>
    <col min="24" max="24" width="1.7109375" style="4" hidden="1" customWidth="1"/>
    <col min="25" max="25" width="15.7109375" style="4" customWidth="1"/>
    <col min="26" max="26" width="1.7109375" style="4" customWidth="1"/>
    <col min="27" max="27" width="10.7109375" style="4" customWidth="1"/>
    <col min="28" max="28" width="1.7109375" style="4" customWidth="1"/>
    <col min="29" max="29" width="10.7109375" style="4" customWidth="1"/>
    <col min="30" max="30" width="1.7109375" style="4" customWidth="1"/>
    <col min="31" max="31" width="10.7109375" style="4" customWidth="1"/>
    <col min="32" max="32" width="1.7109375" style="4" customWidth="1"/>
    <col min="33" max="33" width="10.7109375" style="9" customWidth="1"/>
    <col min="34" max="34" width="1.7109375" style="9" customWidth="1"/>
    <col min="35" max="35" width="10.7109375" style="9" customWidth="1"/>
    <col min="36" max="36" width="1.7109375" style="9" customWidth="1"/>
    <col min="37" max="37" width="10.7109375" style="9" customWidth="1"/>
    <col min="38" max="38" width="1.7109375" style="9" customWidth="1"/>
    <col min="39" max="39" width="10.7109375" style="9" customWidth="1"/>
    <col min="40" max="40" width="1.7109375" style="9" customWidth="1"/>
    <col min="41" max="41" width="10.7109375" style="2" customWidth="1"/>
    <col min="42" max="42" width="1.7109375" style="2" customWidth="1"/>
    <col min="43" max="43" width="10.7109375" style="2" customWidth="1"/>
    <col min="44" max="44" width="1.7109375" style="2" hidden="1" customWidth="1"/>
    <col min="45" max="45" width="10.7109375" style="2" hidden="1" customWidth="1"/>
    <col min="46" max="46" width="1.7109375" style="2" hidden="1" customWidth="1"/>
    <col min="47" max="47" width="10.7109375" style="2" hidden="1" customWidth="1"/>
    <col min="48" max="48" width="1.7109375" style="2" customWidth="1"/>
    <col min="49" max="49" width="10.7109375" style="2" customWidth="1"/>
    <col min="50" max="50" width="1.7109375" style="2" customWidth="1"/>
    <col min="51" max="51" width="15.7109375" style="4" customWidth="1"/>
    <col min="52" max="52" width="1.7109375" style="2" customWidth="1"/>
    <col min="53" max="53" width="10.7109375" style="2" customWidth="1"/>
    <col min="54" max="54" width="1.7109375" style="2" customWidth="1"/>
    <col min="55" max="55" width="10.7109375" style="2" customWidth="1"/>
    <col min="56" max="56" width="1.7109375" style="2" customWidth="1"/>
    <col min="57" max="57" width="10.7109375" style="2" customWidth="1"/>
    <col min="58" max="58" width="1.7109375" style="2" customWidth="1"/>
    <col min="59" max="59" width="10.7109375" style="2" customWidth="1"/>
    <col min="60" max="60" width="1.7109375" style="2" customWidth="1"/>
    <col min="61" max="61" width="10.7109375" style="2" hidden="1" customWidth="1"/>
    <col min="62" max="62" width="1.7109375" style="2" hidden="1" customWidth="1"/>
    <col min="63" max="63" width="11.7109375" style="2" customWidth="1"/>
    <col min="64" max="64" width="9.28125" style="2" bestFit="1" customWidth="1"/>
    <col min="65" max="16384" width="8.421875" style="2" customWidth="1"/>
  </cols>
  <sheetData>
    <row r="1" spans="1:65" s="18" customFormat="1" ht="12.75">
      <c r="A1" s="41" t="s">
        <v>204</v>
      </c>
      <c r="B1" s="4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98" t="s">
        <v>212</v>
      </c>
      <c r="Z1" s="5"/>
      <c r="AA1" s="5"/>
      <c r="AB1" s="5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41" t="s">
        <v>204</v>
      </c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1:65" s="18" customFormat="1" ht="12.75">
      <c r="A2" s="34" t="s">
        <v>140</v>
      </c>
      <c r="B2" s="4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34" t="s">
        <v>211</v>
      </c>
      <c r="Z2" s="5"/>
      <c r="AA2" s="5"/>
      <c r="AB2" s="5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41" t="s">
        <v>102</v>
      </c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4" s="18" customFormat="1" ht="12.75">
      <c r="A3" s="34" t="s">
        <v>255</v>
      </c>
      <c r="B3" s="4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4" t="s">
        <v>254</v>
      </c>
      <c r="Z3" s="5"/>
      <c r="AA3" s="5"/>
      <c r="AB3" s="5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34" t="s">
        <v>252</v>
      </c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4" ht="12.75">
      <c r="A4" s="43"/>
      <c r="B4" s="43"/>
      <c r="C4" s="8"/>
      <c r="D4" s="8"/>
      <c r="E4" s="8"/>
      <c r="F4" s="8"/>
      <c r="G4" s="8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99"/>
      <c r="Z4" s="6"/>
      <c r="AA4" s="6"/>
      <c r="AB4" s="6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"/>
      <c r="AP4" s="1"/>
      <c r="AQ4" s="1"/>
      <c r="AR4" s="1"/>
      <c r="AS4" s="1"/>
      <c r="AT4" s="1"/>
      <c r="AU4" s="1"/>
      <c r="AV4" s="1"/>
      <c r="AW4" s="1"/>
      <c r="AX4" s="1"/>
      <c r="AY4" s="43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24" t="s">
        <v>191</v>
      </c>
      <c r="B5" s="4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24" t="s">
        <v>191</v>
      </c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24" t="s">
        <v>191</v>
      </c>
      <c r="AZ5" s="48"/>
      <c r="BJ5" s="73"/>
      <c r="BK5" s="51"/>
      <c r="BL5" s="1"/>
    </row>
    <row r="6" spans="1:64" ht="12.75">
      <c r="A6" s="24"/>
      <c r="B6" s="45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50" t="s">
        <v>141</v>
      </c>
      <c r="P6" s="50"/>
      <c r="Q6" s="50"/>
      <c r="R6" s="50"/>
      <c r="S6" s="50"/>
      <c r="T6" s="50"/>
      <c r="U6" s="50"/>
      <c r="V6" s="48"/>
      <c r="W6" s="48"/>
      <c r="X6" s="48"/>
      <c r="Y6" s="24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24"/>
      <c r="AZ6" s="48"/>
      <c r="BA6" s="49" t="s">
        <v>102</v>
      </c>
      <c r="BB6" s="49"/>
      <c r="BC6" s="49"/>
      <c r="BD6" s="49"/>
      <c r="BE6" s="49"/>
      <c r="BF6" s="49"/>
      <c r="BG6" s="50"/>
      <c r="BH6" s="73"/>
      <c r="BI6" s="73"/>
      <c r="BJ6" s="73"/>
      <c r="BK6" s="51"/>
      <c r="BL6" s="1"/>
    </row>
    <row r="7" spans="1:64" ht="12.75">
      <c r="A7" s="45"/>
      <c r="B7" s="4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U7" s="48" t="s">
        <v>4</v>
      </c>
      <c r="V7" s="97" t="s">
        <v>201</v>
      </c>
      <c r="W7" s="73"/>
      <c r="X7" s="73"/>
      <c r="Y7" s="45"/>
      <c r="Z7" s="73"/>
      <c r="AA7" s="48"/>
      <c r="AB7" s="48"/>
      <c r="AC7" s="48"/>
      <c r="AD7" s="48"/>
      <c r="AE7" s="48"/>
      <c r="AF7" s="48"/>
      <c r="AG7" s="48"/>
      <c r="AH7" s="48"/>
      <c r="AI7" s="48" t="s">
        <v>161</v>
      </c>
      <c r="AJ7" s="48"/>
      <c r="AK7" s="48"/>
      <c r="AL7" s="48"/>
      <c r="AM7" s="48"/>
      <c r="AN7" s="48"/>
      <c r="AO7" s="48"/>
      <c r="AP7" s="48"/>
      <c r="AQ7" s="48"/>
      <c r="AR7" s="48"/>
      <c r="AS7" s="48" t="s">
        <v>158</v>
      </c>
      <c r="AT7" s="48"/>
      <c r="AU7" s="48" t="s">
        <v>158</v>
      </c>
      <c r="AV7" s="48"/>
      <c r="AW7" s="48"/>
      <c r="AX7" s="48"/>
      <c r="AY7" s="45"/>
      <c r="AZ7" s="48"/>
      <c r="BA7" s="48" t="s">
        <v>103</v>
      </c>
      <c r="BB7" s="48"/>
      <c r="BC7" s="48" t="s">
        <v>104</v>
      </c>
      <c r="BD7" s="48"/>
      <c r="BE7" s="48"/>
      <c r="BF7" s="48"/>
      <c r="BG7" s="48" t="s">
        <v>105</v>
      </c>
      <c r="BH7" s="48"/>
      <c r="BI7" s="48" t="s">
        <v>198</v>
      </c>
      <c r="BJ7" s="48"/>
      <c r="BK7" s="53" t="s">
        <v>4</v>
      </c>
      <c r="BL7" s="1"/>
    </row>
    <row r="8" spans="1:64" ht="12.75">
      <c r="A8" s="45"/>
      <c r="B8" s="45"/>
      <c r="C8" s="48" t="s">
        <v>138</v>
      </c>
      <c r="D8" s="48"/>
      <c r="E8" s="48" t="s">
        <v>159</v>
      </c>
      <c r="F8" s="48"/>
      <c r="G8" s="48" t="s">
        <v>4</v>
      </c>
      <c r="H8" s="48"/>
      <c r="I8" s="48" t="s">
        <v>138</v>
      </c>
      <c r="J8" s="48"/>
      <c r="K8" s="48" t="s">
        <v>159</v>
      </c>
      <c r="L8" s="48"/>
      <c r="M8" s="48" t="s">
        <v>4</v>
      </c>
      <c r="N8" s="48"/>
      <c r="O8" s="48" t="s">
        <v>142</v>
      </c>
      <c r="P8" s="48"/>
      <c r="Q8" s="48"/>
      <c r="R8" s="48"/>
      <c r="S8" s="48"/>
      <c r="T8" s="48"/>
      <c r="U8" s="76" t="s">
        <v>247</v>
      </c>
      <c r="V8" s="48"/>
      <c r="W8" s="48"/>
      <c r="X8" s="48"/>
      <c r="Y8" s="45"/>
      <c r="Z8" s="48"/>
      <c r="AA8" s="48" t="s">
        <v>101</v>
      </c>
      <c r="AB8" s="48"/>
      <c r="AC8" s="48" t="s">
        <v>160</v>
      </c>
      <c r="AD8" s="48"/>
      <c r="AE8" s="48"/>
      <c r="AF8" s="48"/>
      <c r="AG8" s="48" t="s">
        <v>101</v>
      </c>
      <c r="AH8" s="48"/>
      <c r="AI8" s="48" t="s">
        <v>12</v>
      </c>
      <c r="AJ8" s="48"/>
      <c r="AK8" s="48"/>
      <c r="AL8" s="48"/>
      <c r="AM8" s="48"/>
      <c r="AN8" s="48"/>
      <c r="AO8" s="48" t="s">
        <v>87</v>
      </c>
      <c r="AP8" s="48"/>
      <c r="AQ8" s="48" t="s">
        <v>246</v>
      </c>
      <c r="AR8" s="48"/>
      <c r="AS8" s="48" t="s">
        <v>163</v>
      </c>
      <c r="AT8" s="48"/>
      <c r="AU8" s="48" t="s">
        <v>163</v>
      </c>
      <c r="AV8" s="48"/>
      <c r="AW8" s="48" t="s">
        <v>106</v>
      </c>
      <c r="AX8" s="48"/>
      <c r="AY8" s="45"/>
      <c r="AZ8" s="48"/>
      <c r="BA8" s="48" t="s">
        <v>107</v>
      </c>
      <c r="BB8" s="48"/>
      <c r="BC8" s="48" t="s">
        <v>12</v>
      </c>
      <c r="BD8" s="48"/>
      <c r="BE8" s="48"/>
      <c r="BF8" s="48"/>
      <c r="BG8" s="48" t="s">
        <v>108</v>
      </c>
      <c r="BH8" s="48"/>
      <c r="BI8" s="48" t="s">
        <v>199</v>
      </c>
      <c r="BJ8" s="48"/>
      <c r="BK8" s="53" t="s">
        <v>108</v>
      </c>
      <c r="BL8" s="1"/>
    </row>
    <row r="9" spans="1:64" ht="12.75">
      <c r="A9" s="46" t="s">
        <v>5</v>
      </c>
      <c r="B9" s="1"/>
      <c r="C9" s="57" t="s">
        <v>116</v>
      </c>
      <c r="D9" s="1"/>
      <c r="E9" s="57" t="s">
        <v>116</v>
      </c>
      <c r="F9" s="1"/>
      <c r="G9" s="57" t="s">
        <v>116</v>
      </c>
      <c r="H9" s="1"/>
      <c r="I9" s="57" t="s">
        <v>122</v>
      </c>
      <c r="J9" s="1"/>
      <c r="K9" s="57" t="s">
        <v>122</v>
      </c>
      <c r="L9" s="1"/>
      <c r="M9" s="57" t="s">
        <v>122</v>
      </c>
      <c r="N9" s="1"/>
      <c r="O9" s="57" t="s">
        <v>144</v>
      </c>
      <c r="P9" s="1"/>
      <c r="Q9" s="57" t="s">
        <v>145</v>
      </c>
      <c r="R9" s="1"/>
      <c r="S9" s="57" t="s">
        <v>146</v>
      </c>
      <c r="T9" s="1"/>
      <c r="U9" s="57" t="s">
        <v>116</v>
      </c>
      <c r="V9" s="1"/>
      <c r="W9" s="57"/>
      <c r="X9" s="57"/>
      <c r="Y9" s="46" t="s">
        <v>5</v>
      </c>
      <c r="Z9" s="1"/>
      <c r="AA9" s="57" t="s">
        <v>12</v>
      </c>
      <c r="AB9" s="1"/>
      <c r="AC9" s="57" t="s">
        <v>109</v>
      </c>
      <c r="AD9" s="1"/>
      <c r="AE9" s="57" t="s">
        <v>109</v>
      </c>
      <c r="AF9" s="1"/>
      <c r="AG9" s="57" t="s">
        <v>110</v>
      </c>
      <c r="AH9" s="1"/>
      <c r="AI9" s="57" t="s">
        <v>245</v>
      </c>
      <c r="AJ9" s="1"/>
      <c r="AK9" s="57" t="s">
        <v>111</v>
      </c>
      <c r="AL9" s="1"/>
      <c r="AM9" s="57" t="s">
        <v>112</v>
      </c>
      <c r="AN9" s="1"/>
      <c r="AO9" s="57" t="s">
        <v>165</v>
      </c>
      <c r="AP9" s="1"/>
      <c r="AQ9" s="57" t="s">
        <v>141</v>
      </c>
      <c r="AR9" s="1"/>
      <c r="AS9" s="58" t="s">
        <v>166</v>
      </c>
      <c r="AT9" s="1"/>
      <c r="AU9" s="58" t="s">
        <v>167</v>
      </c>
      <c r="AV9" s="1"/>
      <c r="AW9" s="57" t="s">
        <v>87</v>
      </c>
      <c r="AX9" s="1"/>
      <c r="AY9" s="46" t="s">
        <v>5</v>
      </c>
      <c r="AZ9" s="1"/>
      <c r="BA9" s="57" t="s">
        <v>113</v>
      </c>
      <c r="BB9" s="1"/>
      <c r="BC9" s="57" t="s">
        <v>113</v>
      </c>
      <c r="BD9" s="1"/>
      <c r="BE9" s="57" t="s">
        <v>114</v>
      </c>
      <c r="BF9" s="1"/>
      <c r="BG9" s="57" t="s">
        <v>115</v>
      </c>
      <c r="BH9" s="1"/>
      <c r="BI9" s="57" t="s">
        <v>200</v>
      </c>
      <c r="BJ9" s="57"/>
      <c r="BK9" s="59" t="s">
        <v>122</v>
      </c>
      <c r="BL9" s="1"/>
    </row>
    <row r="10" spans="1:64" ht="12.75">
      <c r="A10" s="148"/>
      <c r="B10" s="1"/>
      <c r="C10" s="76"/>
      <c r="D10" s="1"/>
      <c r="E10" s="76"/>
      <c r="F10" s="1"/>
      <c r="G10" s="76"/>
      <c r="H10" s="1"/>
      <c r="I10" s="76"/>
      <c r="J10" s="1"/>
      <c r="K10" s="76"/>
      <c r="L10" s="1"/>
      <c r="M10" s="76"/>
      <c r="N10" s="1"/>
      <c r="O10" s="76"/>
      <c r="P10" s="1"/>
      <c r="Q10" s="76"/>
      <c r="R10" s="1"/>
      <c r="S10" s="76"/>
      <c r="T10" s="1"/>
      <c r="U10" s="76"/>
      <c r="V10" s="1"/>
      <c r="W10" s="76"/>
      <c r="X10" s="76"/>
      <c r="Y10" s="148"/>
      <c r="Z10" s="1"/>
      <c r="AA10" s="76"/>
      <c r="AB10" s="1"/>
      <c r="AC10" s="76"/>
      <c r="AD10" s="1"/>
      <c r="AE10" s="76"/>
      <c r="AF10" s="1"/>
      <c r="AG10" s="76"/>
      <c r="AH10" s="1"/>
      <c r="AI10" s="76"/>
      <c r="AJ10" s="1"/>
      <c r="AK10" s="76"/>
      <c r="AL10" s="1"/>
      <c r="AM10" s="76"/>
      <c r="AN10" s="1"/>
      <c r="AO10" s="76"/>
      <c r="AP10" s="1"/>
      <c r="AQ10" s="76"/>
      <c r="AR10" s="1"/>
      <c r="AS10" s="48"/>
      <c r="AT10" s="1"/>
      <c r="AU10" s="48"/>
      <c r="AV10" s="1"/>
      <c r="AW10" s="76"/>
      <c r="AX10" s="1"/>
      <c r="AY10" s="148"/>
      <c r="AZ10" s="1"/>
      <c r="BA10" s="76"/>
      <c r="BB10" s="1"/>
      <c r="BC10" s="76"/>
      <c r="BD10" s="1"/>
      <c r="BE10" s="76"/>
      <c r="BF10" s="1"/>
      <c r="BG10" s="76"/>
      <c r="BH10" s="1"/>
      <c r="BI10" s="76"/>
      <c r="BJ10" s="76"/>
      <c r="BK10" s="53"/>
      <c r="BL10" s="1"/>
    </row>
    <row r="11" spans="1:64" ht="12.75">
      <c r="A11" s="44" t="s">
        <v>13</v>
      </c>
      <c r="B11" s="44"/>
      <c r="C11" s="100">
        <f>+G11-E11</f>
        <v>7398816</v>
      </c>
      <c r="D11" s="100"/>
      <c r="E11" s="100">
        <v>28682241</v>
      </c>
      <c r="F11" s="100"/>
      <c r="G11" s="100">
        <v>36081057</v>
      </c>
      <c r="H11" s="100"/>
      <c r="I11" s="100">
        <f>M11-K11</f>
        <v>3574416</v>
      </c>
      <c r="J11" s="100"/>
      <c r="K11" s="100">
        <f>SUM(BK11)</f>
        <v>6020566</v>
      </c>
      <c r="L11" s="100"/>
      <c r="M11" s="100">
        <v>9594982</v>
      </c>
      <c r="N11" s="100"/>
      <c r="O11" s="100">
        <v>19402895</v>
      </c>
      <c r="P11" s="100"/>
      <c r="Q11" s="100">
        <v>2264837</v>
      </c>
      <c r="R11" s="100"/>
      <c r="S11" s="100">
        <v>4818342</v>
      </c>
      <c r="T11" s="100"/>
      <c r="U11" s="100">
        <f>SUM(O11:S11)</f>
        <v>26486074</v>
      </c>
      <c r="V11" s="55"/>
      <c r="W11" s="55">
        <f>+G11-M11-U11</f>
        <v>1</v>
      </c>
      <c r="X11" s="55"/>
      <c r="Y11" s="44" t="s">
        <v>13</v>
      </c>
      <c r="Z11" s="55"/>
      <c r="AA11" s="100">
        <v>4383018</v>
      </c>
      <c r="AB11" s="51"/>
      <c r="AC11" s="100">
        <f>6506857-1328630</f>
        <v>5178227</v>
      </c>
      <c r="AD11" s="51"/>
      <c r="AE11" s="100">
        <v>1328630</v>
      </c>
      <c r="AF11" s="51"/>
      <c r="AG11" s="56">
        <f>+AA11-AC11-AE11</f>
        <v>-2123839</v>
      </c>
      <c r="AH11" s="56"/>
      <c r="AI11" s="100">
        <v>-249684</v>
      </c>
      <c r="AJ11" s="56"/>
      <c r="AK11" s="100">
        <v>22</v>
      </c>
      <c r="AL11" s="51"/>
      <c r="AM11" s="100">
        <v>502524</v>
      </c>
      <c r="AN11" s="51"/>
      <c r="AO11" s="100">
        <v>2373523</v>
      </c>
      <c r="AP11" s="51"/>
      <c r="AQ11" s="56">
        <f>+AO11+AK11-AM11+AI11+AG11</f>
        <v>-502502</v>
      </c>
      <c r="AR11" s="56"/>
      <c r="AS11" s="51">
        <v>0</v>
      </c>
      <c r="AT11" s="51"/>
      <c r="AU11" s="51">
        <v>0</v>
      </c>
      <c r="AV11" s="51"/>
      <c r="AW11" s="51">
        <f>+C11-I11</f>
        <v>3824400</v>
      </c>
      <c r="AX11" s="55"/>
      <c r="AY11" s="44" t="s">
        <v>13</v>
      </c>
      <c r="AZ11" s="55"/>
      <c r="BA11" s="100">
        <v>0</v>
      </c>
      <c r="BB11" s="51"/>
      <c r="BC11" s="100">
        <v>5707536</v>
      </c>
      <c r="BD11" s="51"/>
      <c r="BE11" s="100">
        <v>210355</v>
      </c>
      <c r="BF11" s="51"/>
      <c r="BG11" s="100">
        <v>102675</v>
      </c>
      <c r="BH11" s="51"/>
      <c r="BI11" s="51"/>
      <c r="BJ11" s="51"/>
      <c r="BK11" s="51">
        <f>SUM(BA11:BI11)</f>
        <v>6020566</v>
      </c>
      <c r="BL11" s="66"/>
    </row>
    <row r="12" spans="1:64" ht="12.75" hidden="1">
      <c r="A12" s="44" t="s">
        <v>14</v>
      </c>
      <c r="B12" s="44"/>
      <c r="C12" s="55">
        <f aca="true" t="shared" si="0" ref="C12:C27">+G12-E12</f>
        <v>0</v>
      </c>
      <c r="D12" s="55"/>
      <c r="E12" s="55">
        <v>0</v>
      </c>
      <c r="F12" s="55"/>
      <c r="G12" s="55">
        <v>0</v>
      </c>
      <c r="H12" s="55"/>
      <c r="I12" s="55">
        <f aca="true" t="shared" si="1" ref="I12:I27">M12-K12</f>
        <v>0</v>
      </c>
      <c r="J12" s="55"/>
      <c r="K12" s="55">
        <f aca="true" t="shared" si="2" ref="K12:K27">SUM(BK12)</f>
        <v>0</v>
      </c>
      <c r="L12" s="55"/>
      <c r="M12" s="55">
        <v>0</v>
      </c>
      <c r="N12" s="55"/>
      <c r="O12" s="55">
        <v>0</v>
      </c>
      <c r="P12" s="55"/>
      <c r="Q12" s="55">
        <v>0</v>
      </c>
      <c r="R12" s="55"/>
      <c r="S12" s="55">
        <v>0</v>
      </c>
      <c r="T12" s="55"/>
      <c r="U12" s="55">
        <f aca="true" t="shared" si="3" ref="U12:U27">SUM(O12:S12)</f>
        <v>0</v>
      </c>
      <c r="V12" s="55"/>
      <c r="W12" s="55">
        <f>+G12-M12-U12</f>
        <v>0</v>
      </c>
      <c r="X12" s="55"/>
      <c r="Y12" s="44" t="s">
        <v>14</v>
      </c>
      <c r="Z12" s="55"/>
      <c r="AA12" s="55">
        <v>0</v>
      </c>
      <c r="AB12" s="51"/>
      <c r="AC12" s="55">
        <v>0</v>
      </c>
      <c r="AD12" s="51"/>
      <c r="AE12" s="55">
        <v>0</v>
      </c>
      <c r="AF12" s="51"/>
      <c r="AG12" s="56">
        <f aca="true" t="shared" si="4" ref="AG12:AG27">+AA12-AC12-AE12</f>
        <v>0</v>
      </c>
      <c r="AH12" s="56"/>
      <c r="AI12" s="55">
        <v>0</v>
      </c>
      <c r="AJ12" s="56"/>
      <c r="AK12" s="55">
        <v>0</v>
      </c>
      <c r="AL12" s="51"/>
      <c r="AM12" s="55">
        <v>0</v>
      </c>
      <c r="AN12" s="51"/>
      <c r="AO12" s="55">
        <v>0</v>
      </c>
      <c r="AP12" s="51"/>
      <c r="AQ12" s="56">
        <f aca="true" t="shared" si="5" ref="AQ12:AQ27">+AO12+AK12-AM12+AI12+AG12</f>
        <v>0</v>
      </c>
      <c r="AR12" s="56"/>
      <c r="AS12" s="51">
        <v>0</v>
      </c>
      <c r="AT12" s="51"/>
      <c r="AU12" s="51">
        <v>0</v>
      </c>
      <c r="AV12" s="51"/>
      <c r="AW12" s="51">
        <f aca="true" t="shared" si="6" ref="AW12:AW27">+C12-I12</f>
        <v>0</v>
      </c>
      <c r="AX12" s="55"/>
      <c r="AY12" s="44" t="s">
        <v>14</v>
      </c>
      <c r="AZ12" s="55"/>
      <c r="BA12" s="55">
        <v>0</v>
      </c>
      <c r="BB12" s="51"/>
      <c r="BC12" s="55">
        <v>0</v>
      </c>
      <c r="BD12" s="51"/>
      <c r="BE12" s="55">
        <v>0</v>
      </c>
      <c r="BF12" s="51"/>
      <c r="BG12" s="55">
        <v>0</v>
      </c>
      <c r="BH12" s="51"/>
      <c r="BI12" s="51"/>
      <c r="BJ12" s="51"/>
      <c r="BK12" s="51">
        <f>SUM(BA12:BI12)</f>
        <v>0</v>
      </c>
      <c r="BL12" s="66"/>
    </row>
    <row r="13" spans="1:64" ht="12.75">
      <c r="A13" s="44" t="s">
        <v>15</v>
      </c>
      <c r="B13" s="44"/>
      <c r="C13" s="55">
        <f t="shared" si="0"/>
        <v>2861849</v>
      </c>
      <c r="D13" s="55"/>
      <c r="E13" s="55">
        <v>10678739</v>
      </c>
      <c r="F13" s="55"/>
      <c r="G13" s="55">
        <v>13540588</v>
      </c>
      <c r="H13" s="55"/>
      <c r="I13" s="55">
        <f t="shared" si="1"/>
        <v>275534</v>
      </c>
      <c r="J13" s="55"/>
      <c r="K13" s="55">
        <f t="shared" si="2"/>
        <v>3890064</v>
      </c>
      <c r="L13" s="55"/>
      <c r="M13" s="55">
        <v>4165598</v>
      </c>
      <c r="N13" s="55"/>
      <c r="O13" s="55">
        <v>6591576</v>
      </c>
      <c r="P13" s="55"/>
      <c r="Q13" s="55">
        <v>0</v>
      </c>
      <c r="R13" s="55"/>
      <c r="S13" s="55">
        <v>2783414</v>
      </c>
      <c r="T13" s="55"/>
      <c r="U13" s="55">
        <f t="shared" si="3"/>
        <v>9374990</v>
      </c>
      <c r="V13" s="100"/>
      <c r="W13" s="100">
        <f>+G13-M13-U13</f>
        <v>0</v>
      </c>
      <c r="X13" s="100"/>
      <c r="Y13" s="105" t="s">
        <v>15</v>
      </c>
      <c r="Z13" s="100"/>
      <c r="AA13" s="55">
        <v>1783692</v>
      </c>
      <c r="AB13" s="51"/>
      <c r="AC13" s="55">
        <f>2386418-936771</f>
        <v>1449647</v>
      </c>
      <c r="AD13" s="51"/>
      <c r="AE13" s="55">
        <v>936771</v>
      </c>
      <c r="AF13" s="51"/>
      <c r="AG13" s="56">
        <f t="shared" si="4"/>
        <v>-602726</v>
      </c>
      <c r="AH13" s="56"/>
      <c r="AI13" s="55">
        <v>-92339</v>
      </c>
      <c r="AJ13" s="56"/>
      <c r="AK13" s="55">
        <v>1500</v>
      </c>
      <c r="AL13" s="51"/>
      <c r="AM13" s="55">
        <v>0</v>
      </c>
      <c r="AN13" s="51"/>
      <c r="AO13" s="55">
        <v>0</v>
      </c>
      <c r="AP13" s="51"/>
      <c r="AQ13" s="56">
        <f t="shared" si="5"/>
        <v>-693565</v>
      </c>
      <c r="AR13" s="56"/>
      <c r="AS13" s="51">
        <v>0</v>
      </c>
      <c r="AT13" s="51"/>
      <c r="AU13" s="51">
        <v>0</v>
      </c>
      <c r="AV13" s="51"/>
      <c r="AW13" s="51">
        <f t="shared" si="6"/>
        <v>2586315</v>
      </c>
      <c r="AX13" s="106"/>
      <c r="AY13" s="105" t="s">
        <v>15</v>
      </c>
      <c r="AZ13" s="106"/>
      <c r="BA13" s="55">
        <v>0</v>
      </c>
      <c r="BB13" s="51"/>
      <c r="BC13" s="55">
        <v>391100</v>
      </c>
      <c r="BD13" s="51"/>
      <c r="BE13" s="55">
        <f>237529+3227572</f>
        <v>3465101</v>
      </c>
      <c r="BF13" s="51"/>
      <c r="BG13" s="55">
        <v>33863</v>
      </c>
      <c r="BH13" s="51"/>
      <c r="BI13" s="51"/>
      <c r="BJ13" s="51"/>
      <c r="BK13" s="51">
        <f aca="true" t="shared" si="7" ref="BK13:BK27">SUM(BA13:BI13)</f>
        <v>3890064</v>
      </c>
      <c r="BL13" s="1"/>
    </row>
    <row r="14" spans="1:64" ht="12.75">
      <c r="A14" s="44" t="s">
        <v>16</v>
      </c>
      <c r="B14" s="44"/>
      <c r="C14" s="55">
        <f t="shared" si="0"/>
        <v>1404689</v>
      </c>
      <c r="D14" s="55"/>
      <c r="E14" s="55">
        <f>2148087+2927320</f>
        <v>5075407</v>
      </c>
      <c r="F14" s="55"/>
      <c r="G14" s="55">
        <f>3414329+3065767</f>
        <v>6480096</v>
      </c>
      <c r="H14" s="55"/>
      <c r="I14" s="55">
        <f t="shared" si="1"/>
        <v>70186</v>
      </c>
      <c r="J14" s="55"/>
      <c r="K14" s="55">
        <f t="shared" si="2"/>
        <v>1243632</v>
      </c>
      <c r="L14" s="55"/>
      <c r="M14" s="55">
        <f>556150+757668</f>
        <v>1313818</v>
      </c>
      <c r="N14" s="55"/>
      <c r="O14" s="55">
        <f>1612585+2202920</f>
        <v>3815505</v>
      </c>
      <c r="P14" s="55"/>
      <c r="Q14" s="55">
        <v>0</v>
      </c>
      <c r="R14" s="55"/>
      <c r="S14" s="55">
        <f>1245594+105179</f>
        <v>1350773</v>
      </c>
      <c r="T14" s="55"/>
      <c r="U14" s="55">
        <f t="shared" si="3"/>
        <v>5166278</v>
      </c>
      <c r="V14" s="55"/>
      <c r="W14" s="55">
        <f aca="true" t="shared" si="8" ref="W14:W27">+G14-M14-U14</f>
        <v>0</v>
      </c>
      <c r="X14" s="55"/>
      <c r="Y14" s="101" t="s">
        <v>16</v>
      </c>
      <c r="Z14" s="55"/>
      <c r="AA14" s="55">
        <f>355521+154246</f>
        <v>509767</v>
      </c>
      <c r="AB14" s="51"/>
      <c r="AC14" s="55">
        <f>259988+182542-63767-62283</f>
        <v>316480</v>
      </c>
      <c r="AD14" s="51"/>
      <c r="AE14" s="55">
        <f>63767+62283</f>
        <v>126050</v>
      </c>
      <c r="AF14" s="51"/>
      <c r="AG14" s="56">
        <f t="shared" si="4"/>
        <v>67237</v>
      </c>
      <c r="AH14" s="56"/>
      <c r="AI14" s="55">
        <f>-33362-26462</f>
        <v>-59824</v>
      </c>
      <c r="AJ14" s="56"/>
      <c r="AK14" s="55">
        <v>0</v>
      </c>
      <c r="AL14" s="51"/>
      <c r="AM14" s="55">
        <v>0</v>
      </c>
      <c r="AN14" s="51"/>
      <c r="AO14" s="55">
        <v>0</v>
      </c>
      <c r="AP14" s="51"/>
      <c r="AQ14" s="56">
        <f t="shared" si="5"/>
        <v>7413</v>
      </c>
      <c r="AR14" s="56"/>
      <c r="AS14" s="51">
        <v>0</v>
      </c>
      <c r="AT14" s="51"/>
      <c r="AU14" s="51">
        <v>0</v>
      </c>
      <c r="AV14" s="51"/>
      <c r="AW14" s="51">
        <f t="shared" si="6"/>
        <v>1334503</v>
      </c>
      <c r="AX14" s="51"/>
      <c r="AY14" s="101" t="s">
        <v>16</v>
      </c>
      <c r="AZ14" s="51"/>
      <c r="BA14" s="55">
        <v>117400</v>
      </c>
      <c r="BB14" s="51"/>
      <c r="BC14" s="55">
        <v>599000</v>
      </c>
      <c r="BD14" s="51"/>
      <c r="BE14" s="55">
        <v>527232</v>
      </c>
      <c r="BF14" s="51"/>
      <c r="BG14" s="55">
        <v>0</v>
      </c>
      <c r="BH14" s="51"/>
      <c r="BI14" s="51"/>
      <c r="BJ14" s="51"/>
      <c r="BK14" s="51">
        <f t="shared" si="7"/>
        <v>1243632</v>
      </c>
      <c r="BL14" s="1"/>
    </row>
    <row r="15" spans="1:64" ht="12.75">
      <c r="A15" s="44" t="s">
        <v>17</v>
      </c>
      <c r="B15" s="44"/>
      <c r="C15" s="55">
        <f t="shared" si="0"/>
        <v>506305</v>
      </c>
      <c r="D15" s="55"/>
      <c r="E15" s="55">
        <v>3776615</v>
      </c>
      <c r="F15" s="55"/>
      <c r="G15" s="55">
        <v>4282920</v>
      </c>
      <c r="H15" s="55"/>
      <c r="I15" s="55">
        <f t="shared" si="1"/>
        <v>20244</v>
      </c>
      <c r="J15" s="55"/>
      <c r="K15" s="55">
        <f t="shared" si="2"/>
        <v>32500</v>
      </c>
      <c r="L15" s="55"/>
      <c r="M15" s="55">
        <v>52744</v>
      </c>
      <c r="N15" s="55"/>
      <c r="O15" s="55">
        <v>3739115</v>
      </c>
      <c r="P15" s="55"/>
      <c r="Q15" s="55">
        <v>0</v>
      </c>
      <c r="R15" s="55"/>
      <c r="S15" s="55">
        <v>491061</v>
      </c>
      <c r="T15" s="55"/>
      <c r="U15" s="55">
        <f t="shared" si="3"/>
        <v>4230176</v>
      </c>
      <c r="V15" s="55"/>
      <c r="W15" s="55">
        <f t="shared" si="8"/>
        <v>0</v>
      </c>
      <c r="X15" s="55"/>
      <c r="Y15" s="101" t="s">
        <v>17</v>
      </c>
      <c r="Z15" s="55"/>
      <c r="AA15" s="55">
        <v>275920</v>
      </c>
      <c r="AB15" s="51"/>
      <c r="AC15" s="55">
        <f>352932-114677</f>
        <v>238255</v>
      </c>
      <c r="AD15" s="51"/>
      <c r="AE15" s="55">
        <v>114677</v>
      </c>
      <c r="AF15" s="51"/>
      <c r="AG15" s="56">
        <f t="shared" si="4"/>
        <v>-77012</v>
      </c>
      <c r="AH15" s="56"/>
      <c r="AI15" s="55">
        <v>0</v>
      </c>
      <c r="AJ15" s="56"/>
      <c r="AK15" s="55">
        <v>0</v>
      </c>
      <c r="AL15" s="51"/>
      <c r="AM15" s="55">
        <v>0</v>
      </c>
      <c r="AN15" s="51"/>
      <c r="AO15" s="55">
        <v>0</v>
      </c>
      <c r="AP15" s="51"/>
      <c r="AQ15" s="56">
        <f t="shared" si="5"/>
        <v>-77012</v>
      </c>
      <c r="AR15" s="56"/>
      <c r="AS15" s="51">
        <v>0</v>
      </c>
      <c r="AT15" s="51"/>
      <c r="AU15" s="51">
        <v>0</v>
      </c>
      <c r="AV15" s="51"/>
      <c r="AW15" s="51">
        <f t="shared" si="6"/>
        <v>486061</v>
      </c>
      <c r="AX15" s="55"/>
      <c r="AY15" s="101" t="s">
        <v>17</v>
      </c>
      <c r="AZ15" s="55"/>
      <c r="BA15" s="55">
        <v>0</v>
      </c>
      <c r="BB15" s="51"/>
      <c r="BC15" s="55">
        <v>0</v>
      </c>
      <c r="BD15" s="51"/>
      <c r="BE15" s="55">
        <v>0</v>
      </c>
      <c r="BF15" s="51"/>
      <c r="BG15" s="55">
        <v>32500</v>
      </c>
      <c r="BH15" s="51"/>
      <c r="BI15" s="51"/>
      <c r="BJ15" s="51"/>
      <c r="BK15" s="51">
        <f t="shared" si="7"/>
        <v>32500</v>
      </c>
      <c r="BL15" s="66"/>
    </row>
    <row r="16" spans="1:64" ht="12.75">
      <c r="A16" s="44" t="s">
        <v>18</v>
      </c>
      <c r="B16" s="44"/>
      <c r="C16" s="55">
        <f t="shared" si="0"/>
        <v>677734</v>
      </c>
      <c r="D16" s="55"/>
      <c r="E16" s="55">
        <v>9180847</v>
      </c>
      <c r="F16" s="55"/>
      <c r="G16" s="55">
        <v>9858581</v>
      </c>
      <c r="H16" s="55"/>
      <c r="I16" s="55">
        <f t="shared" si="1"/>
        <v>326355</v>
      </c>
      <c r="J16" s="55"/>
      <c r="K16" s="55">
        <f t="shared" si="2"/>
        <v>5821381</v>
      </c>
      <c r="L16" s="55"/>
      <c r="M16" s="55">
        <v>6147736</v>
      </c>
      <c r="N16" s="55"/>
      <c r="O16" s="55">
        <v>3286810</v>
      </c>
      <c r="P16" s="55"/>
      <c r="Q16" s="55">
        <v>0</v>
      </c>
      <c r="R16" s="55"/>
      <c r="S16" s="55">
        <v>424035</v>
      </c>
      <c r="T16" s="55"/>
      <c r="U16" s="55">
        <f t="shared" si="3"/>
        <v>3710845</v>
      </c>
      <c r="V16" s="55"/>
      <c r="W16" s="55">
        <f t="shared" si="8"/>
        <v>0</v>
      </c>
      <c r="X16" s="55"/>
      <c r="Y16" s="101" t="s">
        <v>18</v>
      </c>
      <c r="Z16" s="55"/>
      <c r="AA16" s="55">
        <v>927589</v>
      </c>
      <c r="AB16" s="51"/>
      <c r="AC16" s="55">
        <f>830576-196002</f>
        <v>634574</v>
      </c>
      <c r="AD16" s="51"/>
      <c r="AE16" s="55">
        <v>196002</v>
      </c>
      <c r="AF16" s="51"/>
      <c r="AG16" s="56">
        <f t="shared" si="4"/>
        <v>97013</v>
      </c>
      <c r="AH16" s="56"/>
      <c r="AI16" s="55">
        <v>-174043</v>
      </c>
      <c r="AJ16" s="56"/>
      <c r="AK16" s="55">
        <v>12711</v>
      </c>
      <c r="AL16" s="51"/>
      <c r="AM16" s="55">
        <v>0</v>
      </c>
      <c r="AN16" s="51"/>
      <c r="AO16" s="55">
        <v>2650</v>
      </c>
      <c r="AP16" s="51"/>
      <c r="AQ16" s="56">
        <f t="shared" si="5"/>
        <v>-61669</v>
      </c>
      <c r="AR16" s="56"/>
      <c r="AS16" s="51">
        <v>0</v>
      </c>
      <c r="AT16" s="51"/>
      <c r="AU16" s="51">
        <v>0</v>
      </c>
      <c r="AV16" s="51"/>
      <c r="AW16" s="51">
        <f t="shared" si="6"/>
        <v>351379</v>
      </c>
      <c r="AX16" s="51"/>
      <c r="AY16" s="101" t="s">
        <v>18</v>
      </c>
      <c r="AZ16" s="51"/>
      <c r="BA16" s="55">
        <v>0</v>
      </c>
      <c r="BB16" s="51"/>
      <c r="BC16" s="55">
        <v>0</v>
      </c>
      <c r="BD16" s="51"/>
      <c r="BE16" s="55">
        <v>0</v>
      </c>
      <c r="BF16" s="51"/>
      <c r="BG16" s="55">
        <v>5821381</v>
      </c>
      <c r="BH16" s="51"/>
      <c r="BI16" s="51"/>
      <c r="BJ16" s="51"/>
      <c r="BK16" s="51">
        <f t="shared" si="7"/>
        <v>5821381</v>
      </c>
      <c r="BL16" s="1"/>
    </row>
    <row r="17" spans="1:64" ht="12.75" hidden="1">
      <c r="A17" s="44" t="s">
        <v>96</v>
      </c>
      <c r="B17" s="44"/>
      <c r="C17" s="55">
        <f t="shared" si="0"/>
        <v>0</v>
      </c>
      <c r="D17" s="55"/>
      <c r="E17" s="55">
        <v>0</v>
      </c>
      <c r="F17" s="55"/>
      <c r="G17" s="55">
        <v>0</v>
      </c>
      <c r="H17" s="55"/>
      <c r="I17" s="55">
        <f t="shared" si="1"/>
        <v>0</v>
      </c>
      <c r="J17" s="55"/>
      <c r="K17" s="55">
        <f t="shared" si="2"/>
        <v>0</v>
      </c>
      <c r="L17" s="55"/>
      <c r="M17" s="55">
        <v>0</v>
      </c>
      <c r="N17" s="55"/>
      <c r="O17" s="55">
        <v>0</v>
      </c>
      <c r="P17" s="55"/>
      <c r="Q17" s="55">
        <v>0</v>
      </c>
      <c r="R17" s="55"/>
      <c r="S17" s="55">
        <v>0</v>
      </c>
      <c r="T17" s="55"/>
      <c r="U17" s="55">
        <f t="shared" si="3"/>
        <v>0</v>
      </c>
      <c r="V17" s="55"/>
      <c r="W17" s="55">
        <f t="shared" si="8"/>
        <v>0</v>
      </c>
      <c r="X17" s="55"/>
      <c r="Y17" s="101" t="s">
        <v>96</v>
      </c>
      <c r="Z17" s="55"/>
      <c r="AA17" s="55">
        <v>0</v>
      </c>
      <c r="AB17" s="51"/>
      <c r="AC17" s="55">
        <v>0</v>
      </c>
      <c r="AD17" s="51"/>
      <c r="AE17" s="55">
        <v>0</v>
      </c>
      <c r="AF17" s="51"/>
      <c r="AG17" s="56">
        <f t="shared" si="4"/>
        <v>0</v>
      </c>
      <c r="AH17" s="56"/>
      <c r="AI17" s="55">
        <v>0</v>
      </c>
      <c r="AJ17" s="56"/>
      <c r="AK17" s="55">
        <v>0</v>
      </c>
      <c r="AL17" s="51"/>
      <c r="AM17" s="55">
        <v>0</v>
      </c>
      <c r="AN17" s="51"/>
      <c r="AO17" s="55">
        <v>0</v>
      </c>
      <c r="AP17" s="51"/>
      <c r="AQ17" s="56">
        <f t="shared" si="5"/>
        <v>0</v>
      </c>
      <c r="AR17" s="56"/>
      <c r="AS17" s="51">
        <v>0</v>
      </c>
      <c r="AT17" s="51"/>
      <c r="AU17" s="51">
        <v>0</v>
      </c>
      <c r="AV17" s="51"/>
      <c r="AW17" s="51">
        <f t="shared" si="6"/>
        <v>0</v>
      </c>
      <c r="AX17" s="55"/>
      <c r="AY17" s="101" t="s">
        <v>96</v>
      </c>
      <c r="AZ17" s="55"/>
      <c r="BA17" s="55">
        <v>0</v>
      </c>
      <c r="BB17" s="51"/>
      <c r="BC17" s="55">
        <v>0</v>
      </c>
      <c r="BD17" s="51"/>
      <c r="BE17" s="55">
        <v>0</v>
      </c>
      <c r="BF17" s="51"/>
      <c r="BG17" s="55">
        <v>0</v>
      </c>
      <c r="BH17" s="51"/>
      <c r="BI17" s="51"/>
      <c r="BJ17" s="51"/>
      <c r="BK17" s="51">
        <f t="shared" si="7"/>
        <v>0</v>
      </c>
      <c r="BL17" s="66"/>
    </row>
    <row r="18" spans="1:64" ht="12.75">
      <c r="A18" s="44" t="s">
        <v>19</v>
      </c>
      <c r="B18" s="44"/>
      <c r="C18" s="55">
        <f t="shared" si="0"/>
        <v>39798353</v>
      </c>
      <c r="D18" s="55"/>
      <c r="E18" s="55">
        <v>179125108</v>
      </c>
      <c r="F18" s="55"/>
      <c r="G18" s="55">
        <v>218923461</v>
      </c>
      <c r="H18" s="55"/>
      <c r="I18" s="55">
        <f t="shared" si="1"/>
        <v>16525349</v>
      </c>
      <c r="J18" s="55"/>
      <c r="K18" s="55">
        <f t="shared" si="2"/>
        <v>58806570</v>
      </c>
      <c r="L18" s="55"/>
      <c r="M18" s="55">
        <v>75331919</v>
      </c>
      <c r="N18" s="55"/>
      <c r="O18" s="55">
        <v>113945118</v>
      </c>
      <c r="P18" s="55"/>
      <c r="Q18" s="55">
        <f>4764732+4000000</f>
        <v>8764732</v>
      </c>
      <c r="R18" s="55"/>
      <c r="S18" s="55">
        <v>20881692</v>
      </c>
      <c r="T18" s="55"/>
      <c r="U18" s="55">
        <f t="shared" si="3"/>
        <v>143591542</v>
      </c>
      <c r="V18" s="55"/>
      <c r="W18" s="55">
        <f t="shared" si="8"/>
        <v>0</v>
      </c>
      <c r="X18" s="55"/>
      <c r="Y18" s="101" t="s">
        <v>19</v>
      </c>
      <c r="Z18" s="55"/>
      <c r="AA18" s="55">
        <v>17778094</v>
      </c>
      <c r="AB18" s="51"/>
      <c r="AC18" s="55">
        <f>20894983-7685935</f>
        <v>13209048</v>
      </c>
      <c r="AD18" s="51"/>
      <c r="AE18" s="55">
        <v>7685935</v>
      </c>
      <c r="AF18" s="51"/>
      <c r="AG18" s="56">
        <f t="shared" si="4"/>
        <v>-3116889</v>
      </c>
      <c r="AH18" s="56"/>
      <c r="AI18" s="55">
        <v>-2665008</v>
      </c>
      <c r="AJ18" s="56"/>
      <c r="AK18" s="55">
        <v>0</v>
      </c>
      <c r="AL18" s="51"/>
      <c r="AM18" s="55">
        <v>0</v>
      </c>
      <c r="AN18" s="51"/>
      <c r="AO18" s="55">
        <v>16926898</v>
      </c>
      <c r="AP18" s="51"/>
      <c r="AQ18" s="56">
        <f t="shared" si="5"/>
        <v>11145001</v>
      </c>
      <c r="AR18" s="56"/>
      <c r="AS18" s="51">
        <v>0</v>
      </c>
      <c r="AT18" s="51"/>
      <c r="AU18" s="51">
        <v>0</v>
      </c>
      <c r="AV18" s="51"/>
      <c r="AW18" s="51">
        <f t="shared" si="6"/>
        <v>23273004</v>
      </c>
      <c r="AX18" s="55"/>
      <c r="AY18" s="101" t="s">
        <v>19</v>
      </c>
      <c r="AZ18" s="55"/>
      <c r="BA18" s="55">
        <v>240172</v>
      </c>
      <c r="BB18" s="51"/>
      <c r="BC18" s="55">
        <v>58374650</v>
      </c>
      <c r="BD18" s="51"/>
      <c r="BE18" s="55">
        <v>0</v>
      </c>
      <c r="BF18" s="51"/>
      <c r="BG18" s="55">
        <v>191748</v>
      </c>
      <c r="BH18" s="51"/>
      <c r="BI18" s="51"/>
      <c r="BJ18" s="51"/>
      <c r="BK18" s="51">
        <f t="shared" si="7"/>
        <v>58806570</v>
      </c>
      <c r="BL18" s="66"/>
    </row>
    <row r="19" spans="1:64" ht="12.75">
      <c r="A19" s="44" t="s">
        <v>20</v>
      </c>
      <c r="B19" s="44"/>
      <c r="C19" s="55">
        <f t="shared" si="0"/>
        <v>700057</v>
      </c>
      <c r="D19" s="55"/>
      <c r="E19" s="55">
        <v>7514483</v>
      </c>
      <c r="F19" s="55"/>
      <c r="G19" s="55">
        <v>8214540</v>
      </c>
      <c r="H19" s="55"/>
      <c r="I19" s="55">
        <f t="shared" si="1"/>
        <v>338248</v>
      </c>
      <c r="J19" s="55"/>
      <c r="K19" s="55">
        <f t="shared" si="2"/>
        <v>3334852</v>
      </c>
      <c r="L19" s="55"/>
      <c r="M19" s="55">
        <v>3673100</v>
      </c>
      <c r="N19" s="55"/>
      <c r="O19" s="55">
        <v>4253171</v>
      </c>
      <c r="P19" s="55"/>
      <c r="Q19" s="55">
        <v>28970</v>
      </c>
      <c r="R19" s="55"/>
      <c r="S19" s="55">
        <v>259299</v>
      </c>
      <c r="T19" s="55"/>
      <c r="U19" s="55">
        <f t="shared" si="3"/>
        <v>4541440</v>
      </c>
      <c r="V19" s="55"/>
      <c r="W19" s="55">
        <f t="shared" si="8"/>
        <v>0</v>
      </c>
      <c r="X19" s="55"/>
      <c r="Y19" s="101" t="s">
        <v>20</v>
      </c>
      <c r="Z19" s="55"/>
      <c r="AA19" s="55">
        <v>884656</v>
      </c>
      <c r="AB19" s="51"/>
      <c r="AC19" s="55">
        <f>898295-245775</f>
        <v>652520</v>
      </c>
      <c r="AD19" s="51"/>
      <c r="AE19" s="55">
        <v>245775</v>
      </c>
      <c r="AF19" s="51"/>
      <c r="AG19" s="56">
        <f t="shared" si="4"/>
        <v>-13639</v>
      </c>
      <c r="AH19" s="56"/>
      <c r="AI19" s="55">
        <v>-48662</v>
      </c>
      <c r="AJ19" s="56"/>
      <c r="AK19" s="55">
        <v>0</v>
      </c>
      <c r="AL19" s="51"/>
      <c r="AM19" s="55">
        <v>0</v>
      </c>
      <c r="AN19" s="51"/>
      <c r="AO19" s="55">
        <v>0</v>
      </c>
      <c r="AP19" s="51"/>
      <c r="AQ19" s="56">
        <f t="shared" si="5"/>
        <v>-62301</v>
      </c>
      <c r="AR19" s="56"/>
      <c r="AS19" s="51">
        <v>0</v>
      </c>
      <c r="AT19" s="51"/>
      <c r="AU19" s="51">
        <v>0</v>
      </c>
      <c r="AV19" s="51"/>
      <c r="AW19" s="51">
        <f t="shared" si="6"/>
        <v>361809</v>
      </c>
      <c r="AX19" s="51"/>
      <c r="AY19" s="101" t="s">
        <v>20</v>
      </c>
      <c r="AZ19" s="51"/>
      <c r="BA19" s="55">
        <v>0</v>
      </c>
      <c r="BB19" s="51"/>
      <c r="BC19" s="55">
        <v>3082600</v>
      </c>
      <c r="BD19" s="51"/>
      <c r="BE19" s="55">
        <v>245700</v>
      </c>
      <c r="BF19" s="51"/>
      <c r="BG19" s="55">
        <v>6552</v>
      </c>
      <c r="BH19" s="51"/>
      <c r="BI19" s="51"/>
      <c r="BJ19" s="51"/>
      <c r="BK19" s="51">
        <f t="shared" si="7"/>
        <v>3334852</v>
      </c>
      <c r="BL19" s="1"/>
    </row>
    <row r="20" spans="1:64" ht="12.75" hidden="1">
      <c r="A20" s="30" t="s">
        <v>177</v>
      </c>
      <c r="B20" s="30"/>
      <c r="C20" s="55">
        <f t="shared" si="0"/>
        <v>0</v>
      </c>
      <c r="D20" s="55"/>
      <c r="E20" s="55">
        <v>0</v>
      </c>
      <c r="F20" s="55"/>
      <c r="G20" s="55">
        <v>0</v>
      </c>
      <c r="H20" s="55"/>
      <c r="I20" s="55">
        <f t="shared" si="1"/>
        <v>0</v>
      </c>
      <c r="J20" s="55"/>
      <c r="K20" s="55">
        <f t="shared" si="2"/>
        <v>0</v>
      </c>
      <c r="L20" s="55"/>
      <c r="M20" s="55">
        <v>0</v>
      </c>
      <c r="N20" s="55"/>
      <c r="O20" s="55">
        <v>0</v>
      </c>
      <c r="P20" s="55"/>
      <c r="Q20" s="55">
        <v>0</v>
      </c>
      <c r="R20" s="55"/>
      <c r="S20" s="55">
        <v>0</v>
      </c>
      <c r="T20" s="55"/>
      <c r="U20" s="55">
        <f t="shared" si="3"/>
        <v>0</v>
      </c>
      <c r="V20" s="55"/>
      <c r="W20" s="55">
        <f t="shared" si="8"/>
        <v>0</v>
      </c>
      <c r="X20" s="55"/>
      <c r="Y20" s="51" t="s">
        <v>177</v>
      </c>
      <c r="Z20" s="55"/>
      <c r="AA20" s="55">
        <v>0</v>
      </c>
      <c r="AB20" s="51"/>
      <c r="AC20" s="55">
        <v>0</v>
      </c>
      <c r="AD20" s="51"/>
      <c r="AE20" s="55">
        <v>0</v>
      </c>
      <c r="AF20" s="51"/>
      <c r="AG20" s="56">
        <f t="shared" si="4"/>
        <v>0</v>
      </c>
      <c r="AH20" s="56"/>
      <c r="AI20" s="55">
        <v>0</v>
      </c>
      <c r="AJ20" s="56"/>
      <c r="AK20" s="55">
        <v>0</v>
      </c>
      <c r="AL20" s="51"/>
      <c r="AM20" s="55">
        <v>0</v>
      </c>
      <c r="AN20" s="51"/>
      <c r="AO20" s="55">
        <v>0</v>
      </c>
      <c r="AP20" s="51"/>
      <c r="AQ20" s="56">
        <f t="shared" si="5"/>
        <v>0</v>
      </c>
      <c r="AR20" s="56"/>
      <c r="AS20" s="51">
        <v>0</v>
      </c>
      <c r="AT20" s="51"/>
      <c r="AU20" s="51">
        <v>0</v>
      </c>
      <c r="AV20" s="51"/>
      <c r="AW20" s="51">
        <f t="shared" si="6"/>
        <v>0</v>
      </c>
      <c r="AX20" s="55"/>
      <c r="AY20" s="51" t="s">
        <v>177</v>
      </c>
      <c r="AZ20" s="55"/>
      <c r="BA20" s="55">
        <v>0</v>
      </c>
      <c r="BB20" s="51"/>
      <c r="BC20" s="55">
        <v>0</v>
      </c>
      <c r="BD20" s="51"/>
      <c r="BE20" s="55">
        <v>0</v>
      </c>
      <c r="BF20" s="51"/>
      <c r="BG20" s="55">
        <v>0</v>
      </c>
      <c r="BH20" s="51"/>
      <c r="BI20" s="51"/>
      <c r="BJ20" s="51"/>
      <c r="BK20" s="51">
        <f t="shared" si="7"/>
        <v>0</v>
      </c>
      <c r="BL20" s="66"/>
    </row>
    <row r="21" spans="1:64" ht="12.75">
      <c r="A21" s="44" t="s">
        <v>21</v>
      </c>
      <c r="B21" s="44"/>
      <c r="C21" s="55">
        <f t="shared" si="0"/>
        <v>3985557</v>
      </c>
      <c r="D21" s="55"/>
      <c r="E21" s="55">
        <v>15582652</v>
      </c>
      <c r="F21" s="55"/>
      <c r="G21" s="55">
        <v>19568209</v>
      </c>
      <c r="H21" s="55"/>
      <c r="I21" s="55">
        <f t="shared" si="1"/>
        <v>1932145</v>
      </c>
      <c r="J21" s="55"/>
      <c r="K21" s="55">
        <f t="shared" si="2"/>
        <v>3378237</v>
      </c>
      <c r="L21" s="55"/>
      <c r="M21" s="55">
        <v>5310382</v>
      </c>
      <c r="N21" s="55"/>
      <c r="O21" s="55">
        <v>10477079</v>
      </c>
      <c r="P21" s="55"/>
      <c r="Q21" s="55">
        <v>0</v>
      </c>
      <c r="R21" s="55"/>
      <c r="S21" s="55">
        <v>3780748</v>
      </c>
      <c r="T21" s="55"/>
      <c r="U21" s="55">
        <f t="shared" si="3"/>
        <v>14257827</v>
      </c>
      <c r="V21" s="55"/>
      <c r="W21" s="55">
        <f t="shared" si="8"/>
        <v>0</v>
      </c>
      <c r="X21" s="55"/>
      <c r="Y21" s="101" t="s">
        <v>21</v>
      </c>
      <c r="Z21" s="55"/>
      <c r="AA21" s="55">
        <v>4479479</v>
      </c>
      <c r="AB21" s="51"/>
      <c r="AC21" s="55">
        <v>3269407</v>
      </c>
      <c r="AD21" s="51"/>
      <c r="AE21" s="55">
        <v>0</v>
      </c>
      <c r="AF21" s="51"/>
      <c r="AG21" s="56">
        <f t="shared" si="4"/>
        <v>1210072</v>
      </c>
      <c r="AH21" s="56"/>
      <c r="AI21" s="55">
        <v>-173366</v>
      </c>
      <c r="AJ21" s="56"/>
      <c r="AK21" s="55">
        <v>0</v>
      </c>
      <c r="AL21" s="51"/>
      <c r="AM21" s="55">
        <v>0</v>
      </c>
      <c r="AN21" s="51"/>
      <c r="AO21" s="55">
        <v>0</v>
      </c>
      <c r="AP21" s="51"/>
      <c r="AQ21" s="56">
        <f t="shared" si="5"/>
        <v>1036706</v>
      </c>
      <c r="AR21" s="56"/>
      <c r="AS21" s="51">
        <v>0</v>
      </c>
      <c r="AT21" s="51"/>
      <c r="AU21" s="51">
        <v>0</v>
      </c>
      <c r="AV21" s="51"/>
      <c r="AW21" s="51">
        <f t="shared" si="6"/>
        <v>2053412</v>
      </c>
      <c r="AX21" s="51"/>
      <c r="AY21" s="101" t="s">
        <v>21</v>
      </c>
      <c r="AZ21" s="51"/>
      <c r="BA21" s="55">
        <v>2711700</v>
      </c>
      <c r="BB21" s="51"/>
      <c r="BC21" s="55">
        <v>0</v>
      </c>
      <c r="BD21" s="51"/>
      <c r="BE21" s="55">
        <v>658000</v>
      </c>
      <c r="BF21" s="51"/>
      <c r="BG21" s="55">
        <f>67484+25630-84577</f>
        <v>8537</v>
      </c>
      <c r="BH21" s="51"/>
      <c r="BI21" s="51"/>
      <c r="BJ21" s="51"/>
      <c r="BK21" s="51">
        <f t="shared" si="7"/>
        <v>3378237</v>
      </c>
      <c r="BL21" s="1"/>
    </row>
    <row r="22" spans="1:64" ht="12.75">
      <c r="A22" s="44" t="s">
        <v>188</v>
      </c>
      <c r="B22" s="44"/>
      <c r="C22" s="55">
        <f t="shared" si="0"/>
        <v>54613803</v>
      </c>
      <c r="D22" s="55"/>
      <c r="E22" s="55">
        <v>144444623</v>
      </c>
      <c r="F22" s="55"/>
      <c r="G22" s="55">
        <v>199058426</v>
      </c>
      <c r="H22" s="55"/>
      <c r="I22" s="55">
        <f t="shared" si="1"/>
        <v>3264944</v>
      </c>
      <c r="J22" s="55"/>
      <c r="K22" s="55">
        <f t="shared" si="2"/>
        <v>40909904</v>
      </c>
      <c r="L22" s="55"/>
      <c r="M22" s="55">
        <v>44174848</v>
      </c>
      <c r="N22" s="55"/>
      <c r="O22" s="55">
        <v>90904651</v>
      </c>
      <c r="P22" s="55"/>
      <c r="Q22" s="55">
        <v>4216067</v>
      </c>
      <c r="R22" s="55"/>
      <c r="S22" s="55">
        <v>58590048</v>
      </c>
      <c r="T22" s="55"/>
      <c r="U22" s="55">
        <f t="shared" si="3"/>
        <v>153710766</v>
      </c>
      <c r="V22" s="55"/>
      <c r="W22" s="55">
        <f t="shared" si="8"/>
        <v>1172812</v>
      </c>
      <c r="X22" s="55"/>
      <c r="Y22" s="101" t="s">
        <v>188</v>
      </c>
      <c r="Z22" s="55"/>
      <c r="AA22" s="55">
        <v>13888784</v>
      </c>
      <c r="AB22" s="51"/>
      <c r="AC22" s="55">
        <f>13693836-6402848</f>
        <v>7290988</v>
      </c>
      <c r="AD22" s="51"/>
      <c r="AE22" s="55">
        <v>6402848</v>
      </c>
      <c r="AF22" s="51"/>
      <c r="AG22" s="56">
        <f t="shared" si="4"/>
        <v>194948</v>
      </c>
      <c r="AH22" s="56"/>
      <c r="AI22" s="55">
        <v>-427511</v>
      </c>
      <c r="AJ22" s="56"/>
      <c r="AK22" s="55">
        <v>1638416</v>
      </c>
      <c r="AL22" s="51"/>
      <c r="AM22" s="55">
        <v>0</v>
      </c>
      <c r="AN22" s="51"/>
      <c r="AO22" s="55">
        <v>8966156</v>
      </c>
      <c r="AP22" s="51"/>
      <c r="AQ22" s="56">
        <f t="shared" si="5"/>
        <v>10372009</v>
      </c>
      <c r="AR22" s="56"/>
      <c r="AS22" s="51">
        <v>0</v>
      </c>
      <c r="AT22" s="51"/>
      <c r="AU22" s="51">
        <v>0</v>
      </c>
      <c r="AV22" s="51"/>
      <c r="AW22" s="51">
        <f t="shared" si="6"/>
        <v>51348859</v>
      </c>
      <c r="AX22" s="51"/>
      <c r="AY22" s="101" t="s">
        <v>188</v>
      </c>
      <c r="AZ22" s="51"/>
      <c r="BA22" s="55">
        <v>0</v>
      </c>
      <c r="BB22" s="51"/>
      <c r="BC22" s="55">
        <v>34260000</v>
      </c>
      <c r="BD22" s="51"/>
      <c r="BE22" s="55">
        <v>5502001</v>
      </c>
      <c r="BF22" s="51"/>
      <c r="BG22" s="55">
        <v>1147903</v>
      </c>
      <c r="BH22" s="51"/>
      <c r="BI22" s="51"/>
      <c r="BJ22" s="51"/>
      <c r="BK22" s="51">
        <f t="shared" si="7"/>
        <v>40909904</v>
      </c>
      <c r="BL22" s="1"/>
    </row>
    <row r="23" spans="1:64" ht="12.75" hidden="1">
      <c r="A23" s="44" t="s">
        <v>22</v>
      </c>
      <c r="B23" s="44"/>
      <c r="C23" s="55">
        <f t="shared" si="0"/>
        <v>0</v>
      </c>
      <c r="D23" s="55"/>
      <c r="E23" s="55">
        <v>0</v>
      </c>
      <c r="F23" s="55"/>
      <c r="G23" s="55">
        <v>0</v>
      </c>
      <c r="H23" s="55"/>
      <c r="I23" s="55">
        <f t="shared" si="1"/>
        <v>0</v>
      </c>
      <c r="J23" s="55"/>
      <c r="K23" s="55">
        <f t="shared" si="2"/>
        <v>0</v>
      </c>
      <c r="L23" s="55"/>
      <c r="M23" s="55">
        <v>0</v>
      </c>
      <c r="N23" s="55"/>
      <c r="O23" s="55">
        <v>0</v>
      </c>
      <c r="P23" s="55"/>
      <c r="Q23" s="55">
        <v>0</v>
      </c>
      <c r="R23" s="55"/>
      <c r="S23" s="55">
        <v>0</v>
      </c>
      <c r="T23" s="55"/>
      <c r="U23" s="55">
        <f t="shared" si="3"/>
        <v>0</v>
      </c>
      <c r="V23" s="55"/>
      <c r="W23" s="55">
        <f t="shared" si="8"/>
        <v>0</v>
      </c>
      <c r="X23" s="55"/>
      <c r="Y23" s="101" t="s">
        <v>22</v>
      </c>
      <c r="Z23" s="55"/>
      <c r="AA23" s="55">
        <v>0</v>
      </c>
      <c r="AB23" s="51"/>
      <c r="AC23" s="55">
        <v>0</v>
      </c>
      <c r="AD23" s="51"/>
      <c r="AE23" s="55">
        <v>0</v>
      </c>
      <c r="AF23" s="51"/>
      <c r="AG23" s="56">
        <f t="shared" si="4"/>
        <v>0</v>
      </c>
      <c r="AH23" s="56"/>
      <c r="AI23" s="55">
        <v>0</v>
      </c>
      <c r="AJ23" s="56"/>
      <c r="AK23" s="55">
        <v>0</v>
      </c>
      <c r="AL23" s="51"/>
      <c r="AM23" s="55">
        <v>0</v>
      </c>
      <c r="AN23" s="51"/>
      <c r="AO23" s="55">
        <v>0</v>
      </c>
      <c r="AP23" s="51"/>
      <c r="AQ23" s="56">
        <f t="shared" si="5"/>
        <v>0</v>
      </c>
      <c r="AR23" s="56"/>
      <c r="AS23" s="51">
        <v>0</v>
      </c>
      <c r="AT23" s="51"/>
      <c r="AU23" s="51">
        <v>0</v>
      </c>
      <c r="AV23" s="51"/>
      <c r="AW23" s="51">
        <f t="shared" si="6"/>
        <v>0</v>
      </c>
      <c r="AX23" s="55"/>
      <c r="AY23" s="101" t="s">
        <v>22</v>
      </c>
      <c r="AZ23" s="55"/>
      <c r="BA23" s="55">
        <v>0</v>
      </c>
      <c r="BB23" s="51"/>
      <c r="BC23" s="55">
        <v>0</v>
      </c>
      <c r="BD23" s="51"/>
      <c r="BE23" s="55">
        <v>0</v>
      </c>
      <c r="BF23" s="51"/>
      <c r="BG23" s="55">
        <v>0</v>
      </c>
      <c r="BH23" s="51"/>
      <c r="BI23" s="51"/>
      <c r="BJ23" s="51"/>
      <c r="BK23" s="51">
        <f t="shared" si="7"/>
        <v>0</v>
      </c>
      <c r="BL23" s="1"/>
    </row>
    <row r="24" spans="1:64" ht="12.75" hidden="1">
      <c r="A24" s="44" t="s">
        <v>23</v>
      </c>
      <c r="B24" s="44"/>
      <c r="C24" s="55">
        <f t="shared" si="0"/>
        <v>0</v>
      </c>
      <c r="D24" s="55"/>
      <c r="E24" s="55">
        <v>0</v>
      </c>
      <c r="F24" s="55"/>
      <c r="G24" s="55">
        <v>0</v>
      </c>
      <c r="H24" s="55"/>
      <c r="I24" s="55">
        <f t="shared" si="1"/>
        <v>0</v>
      </c>
      <c r="J24" s="55"/>
      <c r="K24" s="55">
        <f t="shared" si="2"/>
        <v>0</v>
      </c>
      <c r="L24" s="55"/>
      <c r="M24" s="55">
        <v>0</v>
      </c>
      <c r="N24" s="55"/>
      <c r="O24" s="55">
        <v>0</v>
      </c>
      <c r="P24" s="55"/>
      <c r="Q24" s="55">
        <v>0</v>
      </c>
      <c r="R24" s="55"/>
      <c r="S24" s="55">
        <v>0</v>
      </c>
      <c r="T24" s="55"/>
      <c r="U24" s="55">
        <f t="shared" si="3"/>
        <v>0</v>
      </c>
      <c r="V24" s="55"/>
      <c r="W24" s="55">
        <f t="shared" si="8"/>
        <v>0</v>
      </c>
      <c r="X24" s="55"/>
      <c r="Y24" s="101" t="s">
        <v>23</v>
      </c>
      <c r="Z24" s="55"/>
      <c r="AA24" s="55">
        <v>0</v>
      </c>
      <c r="AB24" s="51"/>
      <c r="AC24" s="55">
        <v>0</v>
      </c>
      <c r="AD24" s="51"/>
      <c r="AE24" s="55">
        <v>0</v>
      </c>
      <c r="AF24" s="51"/>
      <c r="AG24" s="56">
        <f t="shared" si="4"/>
        <v>0</v>
      </c>
      <c r="AH24" s="56"/>
      <c r="AI24" s="55">
        <v>0</v>
      </c>
      <c r="AJ24" s="56"/>
      <c r="AK24" s="55">
        <v>0</v>
      </c>
      <c r="AL24" s="51"/>
      <c r="AM24" s="55">
        <v>0</v>
      </c>
      <c r="AN24" s="51"/>
      <c r="AO24" s="55">
        <v>0</v>
      </c>
      <c r="AP24" s="51"/>
      <c r="AQ24" s="56">
        <f t="shared" si="5"/>
        <v>0</v>
      </c>
      <c r="AR24" s="56"/>
      <c r="AS24" s="51">
        <v>0</v>
      </c>
      <c r="AT24" s="51"/>
      <c r="AU24" s="51">
        <v>0</v>
      </c>
      <c r="AV24" s="51"/>
      <c r="AW24" s="51">
        <f t="shared" si="6"/>
        <v>0</v>
      </c>
      <c r="AX24" s="51"/>
      <c r="AY24" s="101" t="s">
        <v>23</v>
      </c>
      <c r="AZ24" s="51"/>
      <c r="BA24" s="55">
        <v>0</v>
      </c>
      <c r="BB24" s="51"/>
      <c r="BC24" s="55">
        <v>0</v>
      </c>
      <c r="BD24" s="51"/>
      <c r="BE24" s="55">
        <v>0</v>
      </c>
      <c r="BF24" s="51"/>
      <c r="BG24" s="55">
        <v>0</v>
      </c>
      <c r="BH24" s="51"/>
      <c r="BI24" s="51"/>
      <c r="BJ24" s="51"/>
      <c r="BK24" s="51">
        <f t="shared" si="7"/>
        <v>0</v>
      </c>
      <c r="BL24" s="1"/>
    </row>
    <row r="25" spans="1:64" ht="12.75" hidden="1">
      <c r="A25" s="44" t="s">
        <v>24</v>
      </c>
      <c r="B25" s="44"/>
      <c r="C25" s="55">
        <f t="shared" si="0"/>
        <v>0</v>
      </c>
      <c r="D25" s="55"/>
      <c r="E25" s="55">
        <v>0</v>
      </c>
      <c r="F25" s="55"/>
      <c r="G25" s="55">
        <v>0</v>
      </c>
      <c r="H25" s="55"/>
      <c r="I25" s="55">
        <f t="shared" si="1"/>
        <v>0</v>
      </c>
      <c r="J25" s="55"/>
      <c r="K25" s="55">
        <f t="shared" si="2"/>
        <v>0</v>
      </c>
      <c r="L25" s="55"/>
      <c r="M25" s="55">
        <v>0</v>
      </c>
      <c r="N25" s="55"/>
      <c r="O25" s="55">
        <v>0</v>
      </c>
      <c r="P25" s="55"/>
      <c r="Q25" s="55">
        <v>0</v>
      </c>
      <c r="R25" s="55"/>
      <c r="S25" s="55">
        <v>0</v>
      </c>
      <c r="T25" s="55"/>
      <c r="U25" s="55">
        <f t="shared" si="3"/>
        <v>0</v>
      </c>
      <c r="V25" s="55"/>
      <c r="W25" s="55">
        <f t="shared" si="8"/>
        <v>0</v>
      </c>
      <c r="X25" s="55"/>
      <c r="Y25" s="101" t="s">
        <v>24</v>
      </c>
      <c r="Z25" s="55"/>
      <c r="AA25" s="55">
        <v>0</v>
      </c>
      <c r="AB25" s="51"/>
      <c r="AC25" s="55">
        <v>0</v>
      </c>
      <c r="AD25" s="51"/>
      <c r="AE25" s="55">
        <v>0</v>
      </c>
      <c r="AF25" s="51"/>
      <c r="AG25" s="56">
        <f t="shared" si="4"/>
        <v>0</v>
      </c>
      <c r="AH25" s="56"/>
      <c r="AI25" s="55">
        <v>0</v>
      </c>
      <c r="AJ25" s="56"/>
      <c r="AK25" s="55">
        <v>0</v>
      </c>
      <c r="AL25" s="51"/>
      <c r="AM25" s="55">
        <v>0</v>
      </c>
      <c r="AN25" s="51"/>
      <c r="AO25" s="55">
        <v>0</v>
      </c>
      <c r="AP25" s="51"/>
      <c r="AQ25" s="56">
        <f t="shared" si="5"/>
        <v>0</v>
      </c>
      <c r="AR25" s="56"/>
      <c r="AS25" s="51">
        <v>0</v>
      </c>
      <c r="AT25" s="51"/>
      <c r="AU25" s="51">
        <v>0</v>
      </c>
      <c r="AV25" s="51"/>
      <c r="AW25" s="51">
        <f t="shared" si="6"/>
        <v>0</v>
      </c>
      <c r="AX25" s="51"/>
      <c r="AY25" s="101" t="s">
        <v>24</v>
      </c>
      <c r="AZ25" s="51"/>
      <c r="BA25" s="55">
        <v>0</v>
      </c>
      <c r="BB25" s="51"/>
      <c r="BC25" s="55">
        <v>0</v>
      </c>
      <c r="BD25" s="51"/>
      <c r="BE25" s="55">
        <v>0</v>
      </c>
      <c r="BF25" s="51"/>
      <c r="BG25" s="55">
        <v>0</v>
      </c>
      <c r="BH25" s="51"/>
      <c r="BI25" s="51"/>
      <c r="BJ25" s="51"/>
      <c r="BK25" s="51">
        <f t="shared" si="7"/>
        <v>0</v>
      </c>
      <c r="BL25" s="1"/>
    </row>
    <row r="26" spans="1:64" ht="12.75">
      <c r="A26" s="44" t="s">
        <v>186</v>
      </c>
      <c r="B26" s="44"/>
      <c r="C26" s="55">
        <f t="shared" si="0"/>
        <v>189124</v>
      </c>
      <c r="D26" s="55"/>
      <c r="E26" s="55">
        <v>1352577</v>
      </c>
      <c r="F26" s="55"/>
      <c r="G26" s="55">
        <v>1541701</v>
      </c>
      <c r="H26" s="55"/>
      <c r="I26" s="55">
        <f t="shared" si="1"/>
        <v>53603</v>
      </c>
      <c r="J26" s="55"/>
      <c r="K26" s="55">
        <f t="shared" si="2"/>
        <v>695369</v>
      </c>
      <c r="L26" s="55"/>
      <c r="M26" s="55">
        <v>748972</v>
      </c>
      <c r="N26" s="55"/>
      <c r="O26" s="55">
        <v>663303</v>
      </c>
      <c r="P26" s="55"/>
      <c r="Q26" s="55">
        <v>0</v>
      </c>
      <c r="R26" s="55"/>
      <c r="S26" s="55">
        <v>129426</v>
      </c>
      <c r="T26" s="55"/>
      <c r="U26" s="55">
        <f t="shared" si="3"/>
        <v>792729</v>
      </c>
      <c r="V26" s="55"/>
      <c r="W26" s="55">
        <f t="shared" si="8"/>
        <v>0</v>
      </c>
      <c r="X26" s="55"/>
      <c r="Y26" s="101" t="s">
        <v>186</v>
      </c>
      <c r="Z26" s="55"/>
      <c r="AA26" s="55">
        <v>157319</v>
      </c>
      <c r="AB26" s="51"/>
      <c r="AC26" s="55">
        <f>126399-44358</f>
        <v>82041</v>
      </c>
      <c r="AD26" s="51"/>
      <c r="AE26" s="55">
        <v>44358</v>
      </c>
      <c r="AF26" s="51"/>
      <c r="AG26" s="56">
        <f t="shared" si="4"/>
        <v>30920</v>
      </c>
      <c r="AH26" s="56"/>
      <c r="AI26" s="55">
        <v>38045</v>
      </c>
      <c r="AJ26" s="56"/>
      <c r="AK26" s="55">
        <v>0</v>
      </c>
      <c r="AL26" s="51"/>
      <c r="AM26" s="55">
        <v>0</v>
      </c>
      <c r="AN26" s="51"/>
      <c r="AO26" s="55">
        <v>0</v>
      </c>
      <c r="AP26" s="51"/>
      <c r="AQ26" s="56">
        <f t="shared" si="5"/>
        <v>68965</v>
      </c>
      <c r="AR26" s="56"/>
      <c r="AS26" s="51">
        <v>0</v>
      </c>
      <c r="AT26" s="51"/>
      <c r="AU26" s="51">
        <v>0</v>
      </c>
      <c r="AV26" s="51"/>
      <c r="AW26" s="51">
        <f t="shared" si="6"/>
        <v>135521</v>
      </c>
      <c r="AX26" s="51"/>
      <c r="AY26" s="101" t="s">
        <v>186</v>
      </c>
      <c r="AZ26" s="51"/>
      <c r="BA26" s="55">
        <v>694835</v>
      </c>
      <c r="BB26" s="51"/>
      <c r="BC26" s="55">
        <v>0</v>
      </c>
      <c r="BD26" s="51"/>
      <c r="BE26" s="55">
        <v>0</v>
      </c>
      <c r="BF26" s="51"/>
      <c r="BG26" s="55">
        <v>534</v>
      </c>
      <c r="BH26" s="51"/>
      <c r="BI26" s="51"/>
      <c r="BJ26" s="51"/>
      <c r="BK26" s="51">
        <f t="shared" si="7"/>
        <v>695369</v>
      </c>
      <c r="BL26" s="1"/>
    </row>
    <row r="27" spans="1:64" ht="12.75">
      <c r="A27" s="44" t="s">
        <v>25</v>
      </c>
      <c r="B27" s="44"/>
      <c r="C27" s="55">
        <f t="shared" si="0"/>
        <v>7860000</v>
      </c>
      <c r="D27" s="55"/>
      <c r="E27" s="55">
        <v>33525000</v>
      </c>
      <c r="F27" s="55"/>
      <c r="G27" s="55">
        <v>41385000</v>
      </c>
      <c r="H27" s="55"/>
      <c r="I27" s="55">
        <f t="shared" si="1"/>
        <v>-8464000</v>
      </c>
      <c r="J27" s="55"/>
      <c r="K27" s="55">
        <f t="shared" si="2"/>
        <v>10558000</v>
      </c>
      <c r="L27" s="55"/>
      <c r="M27" s="55">
        <v>2094000</v>
      </c>
      <c r="N27" s="55"/>
      <c r="O27" s="55">
        <v>20307000</v>
      </c>
      <c r="P27" s="55"/>
      <c r="Q27" s="55">
        <v>0</v>
      </c>
      <c r="R27" s="55"/>
      <c r="S27" s="55">
        <v>8426000</v>
      </c>
      <c r="T27" s="55"/>
      <c r="U27" s="55">
        <f t="shared" si="3"/>
        <v>28733000</v>
      </c>
      <c r="V27" s="55"/>
      <c r="W27" s="55">
        <f t="shared" si="8"/>
        <v>10558000</v>
      </c>
      <c r="X27" s="55"/>
      <c r="Y27" s="101" t="s">
        <v>25</v>
      </c>
      <c r="Z27" s="55"/>
      <c r="AA27" s="55">
        <v>12489000</v>
      </c>
      <c r="AB27" s="51"/>
      <c r="AC27" s="55">
        <f>11069000-1640000</f>
        <v>9429000</v>
      </c>
      <c r="AD27" s="51"/>
      <c r="AE27" s="55">
        <v>1640000</v>
      </c>
      <c r="AF27" s="51"/>
      <c r="AG27" s="56">
        <f t="shared" si="4"/>
        <v>1420000</v>
      </c>
      <c r="AH27" s="56"/>
      <c r="AI27" s="55">
        <v>1148000</v>
      </c>
      <c r="AJ27" s="56"/>
      <c r="AK27" s="55">
        <v>0</v>
      </c>
      <c r="AL27" s="51"/>
      <c r="AM27" s="55">
        <v>0</v>
      </c>
      <c r="AN27" s="51"/>
      <c r="AO27" s="55">
        <v>0</v>
      </c>
      <c r="AP27" s="51"/>
      <c r="AQ27" s="56">
        <f t="shared" si="5"/>
        <v>2568000</v>
      </c>
      <c r="AR27" s="56"/>
      <c r="AS27" s="51">
        <v>0</v>
      </c>
      <c r="AT27" s="51"/>
      <c r="AU27" s="51">
        <v>0</v>
      </c>
      <c r="AV27" s="51"/>
      <c r="AW27" s="51">
        <f t="shared" si="6"/>
        <v>16324000</v>
      </c>
      <c r="AX27" s="51"/>
      <c r="AY27" s="101" t="s">
        <v>25</v>
      </c>
      <c r="AZ27" s="51"/>
      <c r="BA27" s="55">
        <v>0</v>
      </c>
      <c r="BB27" s="51"/>
      <c r="BC27" s="55">
        <v>0</v>
      </c>
      <c r="BD27" s="51"/>
      <c r="BE27" s="55">
        <v>4337000</v>
      </c>
      <c r="BF27" s="51"/>
      <c r="BG27" s="55">
        <f>76000+6145000</f>
        <v>6221000</v>
      </c>
      <c r="BH27" s="51"/>
      <c r="BI27" s="51"/>
      <c r="BJ27" s="51"/>
      <c r="BK27" s="51">
        <f t="shared" si="7"/>
        <v>10558000</v>
      </c>
      <c r="BL27" s="1"/>
    </row>
    <row r="28" spans="1:64" ht="12.75" hidden="1">
      <c r="A28" s="44" t="s">
        <v>26</v>
      </c>
      <c r="B28" s="44"/>
      <c r="C28" s="55">
        <f aca="true" t="shared" si="9" ref="C28:C75">+G28-E28</f>
        <v>0</v>
      </c>
      <c r="D28" s="55"/>
      <c r="E28" s="55">
        <v>0</v>
      </c>
      <c r="F28" s="55"/>
      <c r="G28" s="55">
        <v>0</v>
      </c>
      <c r="H28" s="55"/>
      <c r="I28" s="55">
        <f aca="true" t="shared" si="10" ref="I28:I75">M28-K28</f>
        <v>0</v>
      </c>
      <c r="J28" s="55"/>
      <c r="K28" s="55">
        <f aca="true" t="shared" si="11" ref="K28:K75">SUM(BK28)</f>
        <v>0</v>
      </c>
      <c r="L28" s="55"/>
      <c r="M28" s="55">
        <v>0</v>
      </c>
      <c r="N28" s="55"/>
      <c r="O28" s="55">
        <v>0</v>
      </c>
      <c r="P28" s="55"/>
      <c r="Q28" s="55">
        <v>0</v>
      </c>
      <c r="R28" s="55"/>
      <c r="S28" s="55">
        <v>0</v>
      </c>
      <c r="T28" s="55"/>
      <c r="U28" s="55">
        <f aca="true" t="shared" si="12" ref="U28:U75">SUM(O28:S28)</f>
        <v>0</v>
      </c>
      <c r="V28" s="55"/>
      <c r="W28" s="55">
        <f aca="true" t="shared" si="13" ref="W28:W77">+G28-M28-U28</f>
        <v>0</v>
      </c>
      <c r="X28" s="55"/>
      <c r="Y28" s="101" t="s">
        <v>26</v>
      </c>
      <c r="Z28" s="55"/>
      <c r="AA28" s="55">
        <v>0</v>
      </c>
      <c r="AB28" s="51"/>
      <c r="AC28" s="55">
        <v>0</v>
      </c>
      <c r="AD28" s="51"/>
      <c r="AE28" s="55">
        <v>0</v>
      </c>
      <c r="AF28" s="51"/>
      <c r="AG28" s="56">
        <f aca="true" t="shared" si="14" ref="AG28:AG75">+AA28-AC28-AE28</f>
        <v>0</v>
      </c>
      <c r="AH28" s="56"/>
      <c r="AI28" s="55">
        <v>0</v>
      </c>
      <c r="AJ28" s="56"/>
      <c r="AK28" s="55">
        <v>0</v>
      </c>
      <c r="AL28" s="51"/>
      <c r="AM28" s="55">
        <v>0</v>
      </c>
      <c r="AN28" s="51"/>
      <c r="AO28" s="55">
        <v>0</v>
      </c>
      <c r="AP28" s="51"/>
      <c r="AQ28" s="56">
        <f aca="true" t="shared" si="15" ref="AQ28:AQ75">+AO28+AK28-AM28+AI28+AG28</f>
        <v>0</v>
      </c>
      <c r="AR28" s="56"/>
      <c r="AS28" s="51">
        <v>0</v>
      </c>
      <c r="AT28" s="51"/>
      <c r="AU28" s="51">
        <v>0</v>
      </c>
      <c r="AV28" s="51"/>
      <c r="AW28" s="51">
        <f aca="true" t="shared" si="16" ref="AW28:AW75">+C28-I28</f>
        <v>0</v>
      </c>
      <c r="AX28" s="51"/>
      <c r="AY28" s="101" t="s">
        <v>26</v>
      </c>
      <c r="AZ28" s="51"/>
      <c r="BA28" s="55">
        <v>0</v>
      </c>
      <c r="BB28" s="51"/>
      <c r="BC28" s="55">
        <v>0</v>
      </c>
      <c r="BD28" s="51"/>
      <c r="BE28" s="55">
        <v>0</v>
      </c>
      <c r="BF28" s="51"/>
      <c r="BG28" s="55">
        <v>0</v>
      </c>
      <c r="BH28" s="51"/>
      <c r="BI28" s="51"/>
      <c r="BJ28" s="51"/>
      <c r="BK28" s="51">
        <f aca="true" t="shared" si="17" ref="BK28:BK76">SUM(BA28:BI28)</f>
        <v>0</v>
      </c>
      <c r="BL28" s="1"/>
    </row>
    <row r="29" spans="1:64" ht="12.75">
      <c r="A29" s="44" t="s">
        <v>27</v>
      </c>
      <c r="B29" s="44"/>
      <c r="C29" s="55">
        <f t="shared" si="9"/>
        <v>1038579</v>
      </c>
      <c r="D29" s="55"/>
      <c r="E29" s="55">
        <v>5242745</v>
      </c>
      <c r="F29" s="55"/>
      <c r="G29" s="55">
        <v>6281324</v>
      </c>
      <c r="H29" s="55"/>
      <c r="I29" s="55">
        <f t="shared" si="10"/>
        <v>488036</v>
      </c>
      <c r="J29" s="55"/>
      <c r="K29" s="55">
        <f t="shared" si="11"/>
        <v>181704</v>
      </c>
      <c r="L29" s="55"/>
      <c r="M29" s="55">
        <v>669740</v>
      </c>
      <c r="N29" s="55"/>
      <c r="O29" s="55">
        <v>5107745</v>
      </c>
      <c r="P29" s="55"/>
      <c r="Q29" s="55">
        <v>0</v>
      </c>
      <c r="R29" s="55"/>
      <c r="S29" s="55">
        <v>503839</v>
      </c>
      <c r="T29" s="55"/>
      <c r="U29" s="55">
        <f t="shared" si="12"/>
        <v>5611584</v>
      </c>
      <c r="V29" s="55"/>
      <c r="W29" s="55">
        <f t="shared" si="13"/>
        <v>0</v>
      </c>
      <c r="X29" s="55"/>
      <c r="Y29" s="101" t="s">
        <v>27</v>
      </c>
      <c r="Z29" s="55"/>
      <c r="AA29" s="55">
        <v>505102</v>
      </c>
      <c r="AB29" s="51"/>
      <c r="AC29" s="55">
        <f>711539-94595</f>
        <v>616944</v>
      </c>
      <c r="AD29" s="51"/>
      <c r="AE29" s="55">
        <v>94595</v>
      </c>
      <c r="AF29" s="51"/>
      <c r="AG29" s="56">
        <f t="shared" si="14"/>
        <v>-206437</v>
      </c>
      <c r="AH29" s="56"/>
      <c r="AI29" s="55">
        <v>92006</v>
      </c>
      <c r="AJ29" s="56"/>
      <c r="AK29" s="55">
        <v>485455</v>
      </c>
      <c r="AL29" s="51"/>
      <c r="AM29" s="55">
        <v>0</v>
      </c>
      <c r="AN29" s="51"/>
      <c r="AO29" s="55">
        <v>0</v>
      </c>
      <c r="AP29" s="51"/>
      <c r="AQ29" s="56">
        <f t="shared" si="15"/>
        <v>371024</v>
      </c>
      <c r="AR29" s="56"/>
      <c r="AS29" s="51">
        <v>0</v>
      </c>
      <c r="AT29" s="51"/>
      <c r="AU29" s="51">
        <v>0</v>
      </c>
      <c r="AV29" s="51"/>
      <c r="AW29" s="51">
        <f t="shared" si="16"/>
        <v>550543</v>
      </c>
      <c r="AX29" s="51"/>
      <c r="AY29" s="101" t="s">
        <v>27</v>
      </c>
      <c r="AZ29" s="51"/>
      <c r="BA29" s="55">
        <v>35000</v>
      </c>
      <c r="BB29" s="51"/>
      <c r="BC29" s="55">
        <v>60000</v>
      </c>
      <c r="BD29" s="51"/>
      <c r="BE29" s="55">
        <v>0</v>
      </c>
      <c r="BF29" s="51"/>
      <c r="BG29" s="55">
        <v>86704</v>
      </c>
      <c r="BH29" s="51"/>
      <c r="BI29" s="51"/>
      <c r="BJ29" s="51"/>
      <c r="BK29" s="51">
        <f t="shared" si="17"/>
        <v>181704</v>
      </c>
      <c r="BL29" s="1"/>
    </row>
    <row r="30" spans="1:64" ht="12.75">
      <c r="A30" s="44" t="s">
        <v>28</v>
      </c>
      <c r="B30" s="44"/>
      <c r="C30" s="55">
        <f t="shared" si="9"/>
        <v>52912195</v>
      </c>
      <c r="D30" s="55"/>
      <c r="E30" s="55">
        <v>163142967</v>
      </c>
      <c r="F30" s="55"/>
      <c r="G30" s="55">
        <v>216055162</v>
      </c>
      <c r="H30" s="55"/>
      <c r="I30" s="55">
        <f t="shared" si="10"/>
        <v>6163360</v>
      </c>
      <c r="J30" s="55"/>
      <c r="K30" s="55">
        <f t="shared" si="11"/>
        <v>50184909</v>
      </c>
      <c r="L30" s="55"/>
      <c r="M30" s="55">
        <v>56348269</v>
      </c>
      <c r="N30" s="55"/>
      <c r="O30" s="55">
        <v>109176344</v>
      </c>
      <c r="P30" s="55"/>
      <c r="Q30" s="55">
        <v>0</v>
      </c>
      <c r="R30" s="55"/>
      <c r="S30" s="55">
        <v>50530549</v>
      </c>
      <c r="T30" s="55"/>
      <c r="U30" s="55">
        <f t="shared" si="12"/>
        <v>159706893</v>
      </c>
      <c r="V30" s="55"/>
      <c r="W30" s="55">
        <f t="shared" si="13"/>
        <v>0</v>
      </c>
      <c r="X30" s="55"/>
      <c r="Y30" s="101" t="s">
        <v>28</v>
      </c>
      <c r="Z30" s="55"/>
      <c r="AA30" s="55">
        <v>10107855</v>
      </c>
      <c r="AB30" s="51"/>
      <c r="AC30" s="55">
        <f>11150365-5339601</f>
        <v>5810764</v>
      </c>
      <c r="AD30" s="51"/>
      <c r="AE30" s="55">
        <v>5339601</v>
      </c>
      <c r="AF30" s="51"/>
      <c r="AG30" s="56">
        <f t="shared" si="14"/>
        <v>-1042510</v>
      </c>
      <c r="AH30" s="56"/>
      <c r="AI30" s="55">
        <v>-2621843</v>
      </c>
      <c r="AJ30" s="56"/>
      <c r="AK30" s="55">
        <v>0</v>
      </c>
      <c r="AL30" s="51"/>
      <c r="AM30" s="55">
        <v>0</v>
      </c>
      <c r="AN30" s="51"/>
      <c r="AO30" s="55">
        <v>13168290</v>
      </c>
      <c r="AP30" s="51"/>
      <c r="AQ30" s="56">
        <f t="shared" si="15"/>
        <v>9503937</v>
      </c>
      <c r="AR30" s="56"/>
      <c r="AS30" s="51">
        <v>0</v>
      </c>
      <c r="AT30" s="51"/>
      <c r="AU30" s="51">
        <v>0</v>
      </c>
      <c r="AV30" s="51"/>
      <c r="AW30" s="51">
        <f t="shared" si="16"/>
        <v>46748835</v>
      </c>
      <c r="AX30" s="51"/>
      <c r="AY30" s="101" t="s">
        <v>28</v>
      </c>
      <c r="AZ30" s="51"/>
      <c r="BA30" s="55">
        <v>50081623</v>
      </c>
      <c r="BB30" s="51"/>
      <c r="BC30" s="55">
        <v>0</v>
      </c>
      <c r="BD30" s="51"/>
      <c r="BE30" s="55">
        <v>0</v>
      </c>
      <c r="BF30" s="51"/>
      <c r="BG30" s="55">
        <v>103286</v>
      </c>
      <c r="BH30" s="51"/>
      <c r="BI30" s="51"/>
      <c r="BJ30" s="51"/>
      <c r="BK30" s="51">
        <f t="shared" si="17"/>
        <v>50184909</v>
      </c>
      <c r="BL30" s="1"/>
    </row>
    <row r="31" spans="1:64" ht="12.75">
      <c r="A31" s="44" t="s">
        <v>29</v>
      </c>
      <c r="B31" s="44"/>
      <c r="C31" s="55">
        <f t="shared" si="9"/>
        <v>6445588</v>
      </c>
      <c r="D31" s="55"/>
      <c r="E31" s="55">
        <v>54199402</v>
      </c>
      <c r="F31" s="55"/>
      <c r="G31" s="55">
        <v>60644990</v>
      </c>
      <c r="H31" s="55"/>
      <c r="I31" s="55">
        <f t="shared" si="10"/>
        <v>3960388</v>
      </c>
      <c r="J31" s="55"/>
      <c r="K31" s="55">
        <f t="shared" si="11"/>
        <v>21987036</v>
      </c>
      <c r="L31" s="55"/>
      <c r="M31" s="55">
        <v>25947424</v>
      </c>
      <c r="N31" s="55"/>
      <c r="O31" s="55">
        <v>31162113</v>
      </c>
      <c r="P31" s="55"/>
      <c r="Q31" s="55">
        <v>0</v>
      </c>
      <c r="R31" s="55"/>
      <c r="S31" s="55">
        <v>3535453</v>
      </c>
      <c r="T31" s="55"/>
      <c r="U31" s="55">
        <f t="shared" si="12"/>
        <v>34697566</v>
      </c>
      <c r="V31" s="55"/>
      <c r="W31" s="55">
        <f t="shared" si="13"/>
        <v>0</v>
      </c>
      <c r="X31" s="55"/>
      <c r="Y31" s="101" t="s">
        <v>29</v>
      </c>
      <c r="Z31" s="55"/>
      <c r="AA31" s="55">
        <v>6620615</v>
      </c>
      <c r="AB31" s="51"/>
      <c r="AC31" s="55">
        <f>7155758-1832419</f>
        <v>5323339</v>
      </c>
      <c r="AD31" s="51"/>
      <c r="AE31" s="55">
        <v>1832419</v>
      </c>
      <c r="AF31" s="51"/>
      <c r="AG31" s="56">
        <f t="shared" si="14"/>
        <v>-535143</v>
      </c>
      <c r="AH31" s="56"/>
      <c r="AI31" s="55">
        <v>-924842</v>
      </c>
      <c r="AJ31" s="56"/>
      <c r="AK31" s="55">
        <v>108339</v>
      </c>
      <c r="AL31" s="51"/>
      <c r="AM31" s="55">
        <v>123200</v>
      </c>
      <c r="AN31" s="51"/>
      <c r="AO31" s="55">
        <v>0</v>
      </c>
      <c r="AP31" s="51"/>
      <c r="AQ31" s="56">
        <f t="shared" si="15"/>
        <v>-1474846</v>
      </c>
      <c r="AR31" s="56"/>
      <c r="AS31" s="51">
        <v>0</v>
      </c>
      <c r="AT31" s="51"/>
      <c r="AU31" s="51">
        <v>0</v>
      </c>
      <c r="AV31" s="51"/>
      <c r="AW31" s="51">
        <f t="shared" si="16"/>
        <v>2485200</v>
      </c>
      <c r="AX31" s="51"/>
      <c r="AY31" s="101" t="s">
        <v>29</v>
      </c>
      <c r="AZ31" s="51"/>
      <c r="BA31" s="55">
        <v>6648420</v>
      </c>
      <c r="BB31" s="51"/>
      <c r="BC31" s="55">
        <v>1120000</v>
      </c>
      <c r="BD31" s="51"/>
      <c r="BE31" s="55">
        <f>13789585+429031</f>
        <v>14218616</v>
      </c>
      <c r="BF31" s="51"/>
      <c r="BG31" s="55">
        <v>0</v>
      </c>
      <c r="BH31" s="51"/>
      <c r="BI31" s="51"/>
      <c r="BJ31" s="51"/>
      <c r="BK31" s="51">
        <f t="shared" si="17"/>
        <v>21987036</v>
      </c>
      <c r="BL31" s="1"/>
    </row>
    <row r="32" spans="1:75" ht="12.75">
      <c r="A32" s="44" t="s">
        <v>30</v>
      </c>
      <c r="B32" s="44"/>
      <c r="C32" s="55">
        <f t="shared" si="9"/>
        <v>4835042</v>
      </c>
      <c r="D32" s="55"/>
      <c r="E32" s="55">
        <v>31007979</v>
      </c>
      <c r="F32" s="55"/>
      <c r="G32" s="55">
        <v>35843021</v>
      </c>
      <c r="H32" s="55"/>
      <c r="I32" s="55">
        <f t="shared" si="10"/>
        <v>913539</v>
      </c>
      <c r="J32" s="55"/>
      <c r="K32" s="55">
        <f t="shared" si="11"/>
        <v>15471282</v>
      </c>
      <c r="L32" s="55"/>
      <c r="M32" s="55">
        <v>16384821</v>
      </c>
      <c r="N32" s="55"/>
      <c r="O32" s="55">
        <v>15227336</v>
      </c>
      <c r="P32" s="55"/>
      <c r="Q32" s="55">
        <v>0</v>
      </c>
      <c r="R32" s="55"/>
      <c r="S32" s="55">
        <v>4230864</v>
      </c>
      <c r="T32" s="55"/>
      <c r="U32" s="55">
        <f t="shared" si="12"/>
        <v>19458200</v>
      </c>
      <c r="V32" s="55"/>
      <c r="W32" s="55">
        <f t="shared" si="13"/>
        <v>0</v>
      </c>
      <c r="X32" s="55"/>
      <c r="Y32" s="101" t="s">
        <v>30</v>
      </c>
      <c r="Z32" s="55"/>
      <c r="AA32" s="55">
        <v>2901606</v>
      </c>
      <c r="AB32" s="51"/>
      <c r="AC32" s="55">
        <f>2347697-677629</f>
        <v>1670068</v>
      </c>
      <c r="AD32" s="51"/>
      <c r="AE32" s="55">
        <v>677629</v>
      </c>
      <c r="AF32" s="51"/>
      <c r="AG32" s="56">
        <f t="shared" si="14"/>
        <v>553909</v>
      </c>
      <c r="AH32" s="56"/>
      <c r="AI32" s="55">
        <v>-632910</v>
      </c>
      <c r="AJ32" s="56"/>
      <c r="AK32" s="55">
        <v>0</v>
      </c>
      <c r="AL32" s="51"/>
      <c r="AM32" s="55">
        <v>0</v>
      </c>
      <c r="AN32" s="51"/>
      <c r="AO32" s="55">
        <v>1121324</v>
      </c>
      <c r="AP32" s="51"/>
      <c r="AQ32" s="56">
        <f t="shared" si="15"/>
        <v>1042323</v>
      </c>
      <c r="AR32" s="56"/>
      <c r="AS32" s="51">
        <v>0</v>
      </c>
      <c r="AT32" s="51"/>
      <c r="AU32" s="51">
        <v>0</v>
      </c>
      <c r="AV32" s="51"/>
      <c r="AW32" s="51">
        <f t="shared" si="16"/>
        <v>3921503</v>
      </c>
      <c r="AX32" s="51"/>
      <c r="AY32" s="101" t="s">
        <v>30</v>
      </c>
      <c r="AZ32" s="51"/>
      <c r="BA32" s="55">
        <v>13647402</v>
      </c>
      <c r="BB32" s="51"/>
      <c r="BC32" s="55">
        <v>0</v>
      </c>
      <c r="BD32" s="51"/>
      <c r="BE32" s="55">
        <f>74879+1544214</f>
        <v>1619093</v>
      </c>
      <c r="BF32" s="51"/>
      <c r="BG32" s="55">
        <f>11491+57260+136036</f>
        <v>204787</v>
      </c>
      <c r="BH32" s="51"/>
      <c r="BI32" s="51"/>
      <c r="BJ32" s="51"/>
      <c r="BK32" s="51">
        <f t="shared" si="17"/>
        <v>15471282</v>
      </c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64" ht="12.75" hidden="1">
      <c r="A33" s="44" t="s">
        <v>31</v>
      </c>
      <c r="B33" s="44"/>
      <c r="C33" s="55">
        <f t="shared" si="9"/>
        <v>0</v>
      </c>
      <c r="D33" s="55"/>
      <c r="E33" s="55">
        <v>0</v>
      </c>
      <c r="F33" s="55"/>
      <c r="G33" s="55">
        <v>0</v>
      </c>
      <c r="H33" s="55"/>
      <c r="I33" s="55">
        <f t="shared" si="10"/>
        <v>0</v>
      </c>
      <c r="J33" s="55"/>
      <c r="K33" s="55">
        <f t="shared" si="11"/>
        <v>0</v>
      </c>
      <c r="L33" s="55"/>
      <c r="M33" s="55">
        <v>0</v>
      </c>
      <c r="N33" s="55"/>
      <c r="O33" s="55">
        <v>0</v>
      </c>
      <c r="P33" s="55"/>
      <c r="Q33" s="55">
        <v>0</v>
      </c>
      <c r="R33" s="55"/>
      <c r="S33" s="55">
        <v>0</v>
      </c>
      <c r="T33" s="55"/>
      <c r="U33" s="55">
        <f t="shared" si="12"/>
        <v>0</v>
      </c>
      <c r="V33" s="55"/>
      <c r="W33" s="55">
        <f t="shared" si="13"/>
        <v>0</v>
      </c>
      <c r="X33" s="55"/>
      <c r="Y33" s="101" t="s">
        <v>31</v>
      </c>
      <c r="Z33" s="55"/>
      <c r="AA33" s="55">
        <v>0</v>
      </c>
      <c r="AB33" s="51"/>
      <c r="AC33" s="55">
        <v>0</v>
      </c>
      <c r="AD33" s="51"/>
      <c r="AE33" s="55">
        <v>0</v>
      </c>
      <c r="AF33" s="51"/>
      <c r="AG33" s="56">
        <f t="shared" si="14"/>
        <v>0</v>
      </c>
      <c r="AH33" s="56"/>
      <c r="AI33" s="55">
        <v>0</v>
      </c>
      <c r="AJ33" s="56"/>
      <c r="AK33" s="55">
        <v>0</v>
      </c>
      <c r="AL33" s="51"/>
      <c r="AM33" s="55">
        <v>0</v>
      </c>
      <c r="AN33" s="51"/>
      <c r="AO33" s="55">
        <v>0</v>
      </c>
      <c r="AP33" s="51"/>
      <c r="AQ33" s="56">
        <f t="shared" si="15"/>
        <v>0</v>
      </c>
      <c r="AR33" s="56"/>
      <c r="AS33" s="51">
        <v>0</v>
      </c>
      <c r="AT33" s="51"/>
      <c r="AU33" s="51">
        <v>0</v>
      </c>
      <c r="AV33" s="51"/>
      <c r="AW33" s="51">
        <f t="shared" si="16"/>
        <v>0</v>
      </c>
      <c r="AX33" s="55"/>
      <c r="AY33" s="101" t="s">
        <v>31</v>
      </c>
      <c r="AZ33" s="55"/>
      <c r="BA33" s="55">
        <v>0</v>
      </c>
      <c r="BB33" s="51"/>
      <c r="BC33" s="55">
        <v>0</v>
      </c>
      <c r="BD33" s="51"/>
      <c r="BE33" s="55">
        <v>0</v>
      </c>
      <c r="BF33" s="51"/>
      <c r="BG33" s="55">
        <v>0</v>
      </c>
      <c r="BH33" s="51"/>
      <c r="BI33" s="51"/>
      <c r="BJ33" s="51"/>
      <c r="BK33" s="51">
        <f t="shared" si="17"/>
        <v>0</v>
      </c>
      <c r="BL33" s="66"/>
    </row>
    <row r="34" spans="1:64" ht="12.75">
      <c r="A34" s="44" t="s">
        <v>32</v>
      </c>
      <c r="B34" s="44"/>
      <c r="C34" s="55">
        <f t="shared" si="9"/>
        <v>4415000</v>
      </c>
      <c r="D34" s="55"/>
      <c r="E34" s="55">
        <v>18178000</v>
      </c>
      <c r="F34" s="55"/>
      <c r="G34" s="55">
        <v>22593000</v>
      </c>
      <c r="H34" s="55"/>
      <c r="I34" s="55">
        <f t="shared" si="10"/>
        <v>1293000</v>
      </c>
      <c r="J34" s="55"/>
      <c r="K34" s="55">
        <f t="shared" si="11"/>
        <v>5207000</v>
      </c>
      <c r="L34" s="55"/>
      <c r="M34" s="55">
        <v>6500000</v>
      </c>
      <c r="N34" s="55"/>
      <c r="O34" s="55">
        <v>12743000</v>
      </c>
      <c r="P34" s="55"/>
      <c r="Q34" s="55">
        <v>0</v>
      </c>
      <c r="R34" s="55"/>
      <c r="S34" s="55">
        <v>3350000</v>
      </c>
      <c r="T34" s="55"/>
      <c r="U34" s="55">
        <f t="shared" si="12"/>
        <v>16093000</v>
      </c>
      <c r="V34" s="55"/>
      <c r="W34" s="55">
        <f t="shared" si="13"/>
        <v>0</v>
      </c>
      <c r="X34" s="55"/>
      <c r="Y34" s="101" t="s">
        <v>32</v>
      </c>
      <c r="Z34" s="55"/>
      <c r="AA34" s="55">
        <v>5053000</v>
      </c>
      <c r="AB34" s="51"/>
      <c r="AC34" s="55">
        <f>4373000-2890000</f>
        <v>1483000</v>
      </c>
      <c r="AD34" s="51"/>
      <c r="AE34" s="55">
        <v>-289000</v>
      </c>
      <c r="AF34" s="51"/>
      <c r="AG34" s="56">
        <f t="shared" si="14"/>
        <v>3859000</v>
      </c>
      <c r="AH34" s="56"/>
      <c r="AI34" s="55">
        <v>-168000</v>
      </c>
      <c r="AJ34" s="56"/>
      <c r="AK34" s="55">
        <v>0</v>
      </c>
      <c r="AL34" s="51"/>
      <c r="AM34" s="55">
        <v>31000</v>
      </c>
      <c r="AN34" s="51"/>
      <c r="AO34" s="55">
        <v>45000</v>
      </c>
      <c r="AP34" s="51"/>
      <c r="AQ34" s="56">
        <f t="shared" si="15"/>
        <v>3705000</v>
      </c>
      <c r="AR34" s="56"/>
      <c r="AS34" s="51">
        <v>0</v>
      </c>
      <c r="AT34" s="51"/>
      <c r="AU34" s="51">
        <v>0</v>
      </c>
      <c r="AV34" s="51"/>
      <c r="AW34" s="51">
        <f t="shared" si="16"/>
        <v>3122000</v>
      </c>
      <c r="AX34" s="55"/>
      <c r="AY34" s="101" t="s">
        <v>32</v>
      </c>
      <c r="AZ34" s="55"/>
      <c r="BA34" s="55">
        <v>0</v>
      </c>
      <c r="BB34" s="51"/>
      <c r="BC34" s="55">
        <v>0</v>
      </c>
      <c r="BD34" s="51"/>
      <c r="BE34" s="55">
        <v>0</v>
      </c>
      <c r="BF34" s="51"/>
      <c r="BG34" s="55">
        <v>5207000</v>
      </c>
      <c r="BH34" s="51"/>
      <c r="BI34" s="51"/>
      <c r="BJ34" s="51"/>
      <c r="BK34" s="51">
        <f t="shared" si="17"/>
        <v>5207000</v>
      </c>
      <c r="BL34" s="66"/>
    </row>
    <row r="35" spans="1:65" ht="12.75">
      <c r="A35" s="44" t="s">
        <v>33</v>
      </c>
      <c r="B35" s="44"/>
      <c r="C35" s="55">
        <f t="shared" si="9"/>
        <v>1149200</v>
      </c>
      <c r="D35" s="55"/>
      <c r="E35" s="55">
        <v>5346087</v>
      </c>
      <c r="F35" s="55"/>
      <c r="G35" s="55">
        <v>6495287</v>
      </c>
      <c r="H35" s="55"/>
      <c r="I35" s="55">
        <f t="shared" si="10"/>
        <v>262796</v>
      </c>
      <c r="J35" s="55"/>
      <c r="K35" s="55">
        <f t="shared" si="11"/>
        <v>1443437</v>
      </c>
      <c r="L35" s="55"/>
      <c r="M35" s="55">
        <v>1706233</v>
      </c>
      <c r="N35" s="55"/>
      <c r="O35" s="55">
        <v>3744624</v>
      </c>
      <c r="P35" s="55"/>
      <c r="Q35" s="55">
        <v>0</v>
      </c>
      <c r="R35" s="55"/>
      <c r="S35" s="55">
        <v>1044430</v>
      </c>
      <c r="T35" s="55"/>
      <c r="U35" s="55">
        <f t="shared" si="12"/>
        <v>4789054</v>
      </c>
      <c r="V35" s="55"/>
      <c r="W35" s="55">
        <f t="shared" si="13"/>
        <v>0</v>
      </c>
      <c r="X35" s="55"/>
      <c r="Y35" s="101" t="s">
        <v>33</v>
      </c>
      <c r="Z35" s="55"/>
      <c r="AA35" s="55">
        <v>494211</v>
      </c>
      <c r="AB35" s="51"/>
      <c r="AC35" s="55">
        <f>263751-138307</f>
        <v>125444</v>
      </c>
      <c r="AD35" s="51"/>
      <c r="AE35" s="55">
        <v>138307</v>
      </c>
      <c r="AF35" s="51"/>
      <c r="AG35" s="56">
        <f t="shared" si="14"/>
        <v>230460</v>
      </c>
      <c r="AH35" s="56"/>
      <c r="AI35" s="55">
        <v>-68679</v>
      </c>
      <c r="AJ35" s="56"/>
      <c r="AK35" s="55">
        <v>0</v>
      </c>
      <c r="AL35" s="51"/>
      <c r="AM35" s="55">
        <v>0</v>
      </c>
      <c r="AN35" s="51"/>
      <c r="AO35" s="55">
        <v>154689</v>
      </c>
      <c r="AP35" s="51"/>
      <c r="AQ35" s="56">
        <f t="shared" si="15"/>
        <v>316470</v>
      </c>
      <c r="AR35" s="56"/>
      <c r="AS35" s="51">
        <v>0</v>
      </c>
      <c r="AT35" s="51"/>
      <c r="AU35" s="51">
        <v>0</v>
      </c>
      <c r="AV35" s="51"/>
      <c r="AW35" s="51">
        <f t="shared" si="16"/>
        <v>886404</v>
      </c>
      <c r="AX35" s="51"/>
      <c r="AY35" s="101" t="s">
        <v>33</v>
      </c>
      <c r="AZ35" s="51"/>
      <c r="BA35" s="55">
        <v>0</v>
      </c>
      <c r="BB35" s="51"/>
      <c r="BC35" s="55">
        <v>496320</v>
      </c>
      <c r="BD35" s="51"/>
      <c r="BE35" s="55">
        <v>945859</v>
      </c>
      <c r="BF35" s="51"/>
      <c r="BG35" s="55">
        <v>1258</v>
      </c>
      <c r="BH35" s="51"/>
      <c r="BI35" s="51"/>
      <c r="BJ35" s="51"/>
      <c r="BK35" s="51">
        <f t="shared" si="17"/>
        <v>1443437</v>
      </c>
      <c r="BL35" s="1"/>
      <c r="BM35" s="95"/>
    </row>
    <row r="36" spans="1:64" ht="12.75">
      <c r="A36" s="44" t="s">
        <v>34</v>
      </c>
      <c r="B36" s="44"/>
      <c r="C36" s="55">
        <f t="shared" si="9"/>
        <v>483675</v>
      </c>
      <c r="D36" s="55"/>
      <c r="E36" s="55">
        <v>4316022</v>
      </c>
      <c r="F36" s="55"/>
      <c r="G36" s="55">
        <v>4799697</v>
      </c>
      <c r="H36" s="55"/>
      <c r="I36" s="55">
        <f t="shared" si="10"/>
        <v>99943</v>
      </c>
      <c r="J36" s="55"/>
      <c r="K36" s="55">
        <f t="shared" si="11"/>
        <v>2001350</v>
      </c>
      <c r="L36" s="55"/>
      <c r="M36" s="55">
        <v>2101293</v>
      </c>
      <c r="N36" s="55"/>
      <c r="O36" s="55">
        <v>2280572</v>
      </c>
      <c r="P36" s="55"/>
      <c r="Q36" s="55">
        <v>0</v>
      </c>
      <c r="R36" s="55"/>
      <c r="S36" s="55">
        <v>2698404</v>
      </c>
      <c r="T36" s="55"/>
      <c r="U36" s="55">
        <f t="shared" si="12"/>
        <v>4978976</v>
      </c>
      <c r="V36" s="55"/>
      <c r="W36" s="55">
        <f t="shared" si="13"/>
        <v>-2280572</v>
      </c>
      <c r="X36" s="55"/>
      <c r="Y36" s="101" t="s">
        <v>34</v>
      </c>
      <c r="Z36" s="55"/>
      <c r="AA36" s="55">
        <v>190248</v>
      </c>
      <c r="AB36" s="51"/>
      <c r="AC36" s="55">
        <f>281206-145936</f>
        <v>135270</v>
      </c>
      <c r="AD36" s="51"/>
      <c r="AE36" s="55">
        <v>145936</v>
      </c>
      <c r="AF36" s="51"/>
      <c r="AG36" s="56">
        <f t="shared" si="14"/>
        <v>-90958</v>
      </c>
      <c r="AH36" s="56"/>
      <c r="AI36" s="55">
        <v>-31479</v>
      </c>
      <c r="AJ36" s="56"/>
      <c r="AK36" s="55">
        <v>0</v>
      </c>
      <c r="AL36" s="51"/>
      <c r="AM36" s="55">
        <v>0</v>
      </c>
      <c r="AN36" s="51"/>
      <c r="AO36" s="55">
        <v>36930</v>
      </c>
      <c r="AP36" s="51"/>
      <c r="AQ36" s="56">
        <f t="shared" si="15"/>
        <v>-85507</v>
      </c>
      <c r="AR36" s="56"/>
      <c r="AS36" s="51">
        <v>0</v>
      </c>
      <c r="AT36" s="51"/>
      <c r="AU36" s="51">
        <v>0</v>
      </c>
      <c r="AV36" s="51"/>
      <c r="AW36" s="51">
        <f t="shared" si="16"/>
        <v>383732</v>
      </c>
      <c r="AX36" s="51"/>
      <c r="AY36" s="101" t="s">
        <v>34</v>
      </c>
      <c r="AZ36" s="51"/>
      <c r="BA36" s="55">
        <v>0</v>
      </c>
      <c r="BB36" s="51"/>
      <c r="BC36" s="55">
        <v>1823100</v>
      </c>
      <c r="BD36" s="51"/>
      <c r="BE36" s="55">
        <v>178250</v>
      </c>
      <c r="BF36" s="51"/>
      <c r="BG36" s="55">
        <v>0</v>
      </c>
      <c r="BH36" s="51"/>
      <c r="BI36" s="51"/>
      <c r="BJ36" s="51"/>
      <c r="BK36" s="51">
        <f t="shared" si="17"/>
        <v>2001350</v>
      </c>
      <c r="BL36" s="1"/>
    </row>
    <row r="37" spans="1:64" ht="12.75" hidden="1">
      <c r="A37" s="44" t="s">
        <v>35</v>
      </c>
      <c r="B37" s="44"/>
      <c r="C37" s="55">
        <f t="shared" si="9"/>
        <v>0</v>
      </c>
      <c r="D37" s="55"/>
      <c r="E37" s="55">
        <v>0</v>
      </c>
      <c r="F37" s="55"/>
      <c r="G37" s="55">
        <v>0</v>
      </c>
      <c r="H37" s="55"/>
      <c r="I37" s="55">
        <f t="shared" si="10"/>
        <v>0</v>
      </c>
      <c r="J37" s="55"/>
      <c r="K37" s="55">
        <f t="shared" si="11"/>
        <v>0</v>
      </c>
      <c r="L37" s="55"/>
      <c r="M37" s="55">
        <v>0</v>
      </c>
      <c r="N37" s="55"/>
      <c r="O37" s="55">
        <v>0</v>
      </c>
      <c r="P37" s="55"/>
      <c r="Q37" s="55">
        <v>0</v>
      </c>
      <c r="R37" s="55"/>
      <c r="S37" s="55">
        <v>0</v>
      </c>
      <c r="T37" s="55"/>
      <c r="U37" s="55">
        <f t="shared" si="12"/>
        <v>0</v>
      </c>
      <c r="V37" s="55"/>
      <c r="W37" s="55">
        <f t="shared" si="13"/>
        <v>0</v>
      </c>
      <c r="X37" s="55"/>
      <c r="Y37" s="101" t="s">
        <v>35</v>
      </c>
      <c r="Z37" s="55"/>
      <c r="AA37" s="55">
        <v>0</v>
      </c>
      <c r="AB37" s="51"/>
      <c r="AC37" s="55">
        <v>0</v>
      </c>
      <c r="AD37" s="51"/>
      <c r="AE37" s="55">
        <v>0</v>
      </c>
      <c r="AF37" s="51"/>
      <c r="AG37" s="56">
        <f t="shared" si="14"/>
        <v>0</v>
      </c>
      <c r="AH37" s="56"/>
      <c r="AI37" s="55">
        <v>0</v>
      </c>
      <c r="AJ37" s="56"/>
      <c r="AK37" s="55">
        <v>0</v>
      </c>
      <c r="AL37" s="51"/>
      <c r="AM37" s="55">
        <v>0</v>
      </c>
      <c r="AN37" s="51"/>
      <c r="AO37" s="55">
        <v>0</v>
      </c>
      <c r="AP37" s="51"/>
      <c r="AQ37" s="56">
        <f t="shared" si="15"/>
        <v>0</v>
      </c>
      <c r="AR37" s="56"/>
      <c r="AS37" s="51">
        <v>0</v>
      </c>
      <c r="AT37" s="51"/>
      <c r="AU37" s="51">
        <v>0</v>
      </c>
      <c r="AV37" s="51"/>
      <c r="AW37" s="51">
        <f t="shared" si="16"/>
        <v>0</v>
      </c>
      <c r="AX37" s="55"/>
      <c r="AY37" s="101" t="s">
        <v>35</v>
      </c>
      <c r="AZ37" s="55"/>
      <c r="BA37" s="55">
        <v>0</v>
      </c>
      <c r="BB37" s="51"/>
      <c r="BC37" s="55">
        <v>0</v>
      </c>
      <c r="BD37" s="51"/>
      <c r="BE37" s="55">
        <v>0</v>
      </c>
      <c r="BF37" s="51"/>
      <c r="BG37" s="55">
        <v>0</v>
      </c>
      <c r="BH37" s="51"/>
      <c r="BI37" s="51"/>
      <c r="BJ37" s="51"/>
      <c r="BK37" s="51">
        <f t="shared" si="17"/>
        <v>0</v>
      </c>
      <c r="BL37" s="66"/>
    </row>
    <row r="38" spans="1:64" ht="12.75">
      <c r="A38" s="44" t="s">
        <v>189</v>
      </c>
      <c r="B38" s="44"/>
      <c r="C38" s="55">
        <f t="shared" si="9"/>
        <v>18217550</v>
      </c>
      <c r="D38" s="55"/>
      <c r="E38" s="55">
        <v>153303877</v>
      </c>
      <c r="F38" s="55"/>
      <c r="G38" s="55">
        <v>171521427</v>
      </c>
      <c r="H38" s="55"/>
      <c r="I38" s="55">
        <f t="shared" si="10"/>
        <v>13555407</v>
      </c>
      <c r="J38" s="55"/>
      <c r="K38" s="55">
        <f t="shared" si="11"/>
        <v>103773049</v>
      </c>
      <c r="L38" s="55"/>
      <c r="M38" s="55">
        <v>117328456</v>
      </c>
      <c r="N38" s="55"/>
      <c r="O38" s="55">
        <v>41048154</v>
      </c>
      <c r="P38" s="55"/>
      <c r="Q38" s="55">
        <v>1805637</v>
      </c>
      <c r="R38" s="55"/>
      <c r="S38" s="55">
        <v>11339180</v>
      </c>
      <c r="T38" s="55"/>
      <c r="U38" s="55">
        <f t="shared" si="12"/>
        <v>54192971</v>
      </c>
      <c r="V38" s="55"/>
      <c r="W38" s="55">
        <f t="shared" si="13"/>
        <v>0</v>
      </c>
      <c r="X38" s="55"/>
      <c r="Y38" s="101" t="s">
        <v>189</v>
      </c>
      <c r="Z38" s="55"/>
      <c r="AA38" s="55">
        <v>17956657</v>
      </c>
      <c r="AB38" s="51"/>
      <c r="AC38" s="55">
        <f>10071876-2757384</f>
        <v>7314492</v>
      </c>
      <c r="AD38" s="51"/>
      <c r="AE38" s="55">
        <v>2752384</v>
      </c>
      <c r="AF38" s="51"/>
      <c r="AG38" s="56">
        <f t="shared" si="14"/>
        <v>7889781</v>
      </c>
      <c r="AH38" s="56"/>
      <c r="AI38" s="55">
        <v>-1356705</v>
      </c>
      <c r="AJ38" s="56"/>
      <c r="AK38" s="55">
        <v>260581</v>
      </c>
      <c r="AL38" s="51"/>
      <c r="AM38" s="55">
        <v>2432</v>
      </c>
      <c r="AN38" s="51"/>
      <c r="AO38" s="55">
        <v>1660560</v>
      </c>
      <c r="AP38" s="51"/>
      <c r="AQ38" s="56">
        <f t="shared" si="15"/>
        <v>8451785</v>
      </c>
      <c r="AR38" s="56"/>
      <c r="AS38" s="51">
        <v>0</v>
      </c>
      <c r="AT38" s="51"/>
      <c r="AU38" s="51">
        <v>0</v>
      </c>
      <c r="AV38" s="51"/>
      <c r="AW38" s="51">
        <f t="shared" si="16"/>
        <v>4662143</v>
      </c>
      <c r="AX38" s="51"/>
      <c r="AY38" s="101" t="s">
        <v>189</v>
      </c>
      <c r="AZ38" s="51"/>
      <c r="BA38" s="55">
        <v>2020000</v>
      </c>
      <c r="BB38" s="51"/>
      <c r="BC38" s="55">
        <f>11649656+71285335</f>
        <v>82934991</v>
      </c>
      <c r="BD38" s="51"/>
      <c r="BE38" s="55">
        <v>2912671</v>
      </c>
      <c r="BF38" s="51"/>
      <c r="BG38" s="55">
        <f>1200000+11966144+2739243</f>
        <v>15905387</v>
      </c>
      <c r="BH38" s="51"/>
      <c r="BI38" s="51"/>
      <c r="BJ38" s="51"/>
      <c r="BK38" s="51">
        <f t="shared" si="17"/>
        <v>103773049</v>
      </c>
      <c r="BL38" s="1"/>
    </row>
    <row r="39" spans="1:64" ht="12.75" hidden="1">
      <c r="A39" s="44" t="s">
        <v>36</v>
      </c>
      <c r="B39" s="44"/>
      <c r="C39" s="55">
        <f t="shared" si="9"/>
        <v>0</v>
      </c>
      <c r="D39" s="55"/>
      <c r="E39" s="55">
        <v>0</v>
      </c>
      <c r="F39" s="55"/>
      <c r="G39" s="55">
        <v>0</v>
      </c>
      <c r="H39" s="55"/>
      <c r="I39" s="55">
        <f t="shared" si="10"/>
        <v>0</v>
      </c>
      <c r="J39" s="55"/>
      <c r="K39" s="55">
        <f t="shared" si="11"/>
        <v>0</v>
      </c>
      <c r="L39" s="55"/>
      <c r="M39" s="55">
        <v>0</v>
      </c>
      <c r="N39" s="55"/>
      <c r="O39" s="55">
        <v>0</v>
      </c>
      <c r="P39" s="55"/>
      <c r="Q39" s="55">
        <v>0</v>
      </c>
      <c r="R39" s="55"/>
      <c r="S39" s="55">
        <v>0</v>
      </c>
      <c r="T39" s="55"/>
      <c r="U39" s="55">
        <f t="shared" si="12"/>
        <v>0</v>
      </c>
      <c r="V39" s="55"/>
      <c r="W39" s="55">
        <f t="shared" si="13"/>
        <v>0</v>
      </c>
      <c r="X39" s="55"/>
      <c r="Y39" s="101" t="s">
        <v>36</v>
      </c>
      <c r="Z39" s="55"/>
      <c r="AA39" s="55">
        <v>0</v>
      </c>
      <c r="AB39" s="51"/>
      <c r="AC39" s="55">
        <v>0</v>
      </c>
      <c r="AD39" s="51"/>
      <c r="AE39" s="55">
        <v>0</v>
      </c>
      <c r="AF39" s="51"/>
      <c r="AG39" s="56">
        <f t="shared" si="14"/>
        <v>0</v>
      </c>
      <c r="AH39" s="56"/>
      <c r="AI39" s="55">
        <v>0</v>
      </c>
      <c r="AJ39" s="56"/>
      <c r="AK39" s="55">
        <v>0</v>
      </c>
      <c r="AL39" s="51"/>
      <c r="AM39" s="55">
        <v>0</v>
      </c>
      <c r="AN39" s="51"/>
      <c r="AO39" s="55">
        <v>0</v>
      </c>
      <c r="AP39" s="51"/>
      <c r="AQ39" s="56">
        <f t="shared" si="15"/>
        <v>0</v>
      </c>
      <c r="AR39" s="56"/>
      <c r="AS39" s="51">
        <v>0</v>
      </c>
      <c r="AT39" s="51"/>
      <c r="AU39" s="51">
        <v>0</v>
      </c>
      <c r="AV39" s="51"/>
      <c r="AW39" s="51">
        <f t="shared" si="16"/>
        <v>0</v>
      </c>
      <c r="AX39" s="51"/>
      <c r="AY39" s="101" t="s">
        <v>36</v>
      </c>
      <c r="AZ39" s="51"/>
      <c r="BA39" s="55">
        <v>0</v>
      </c>
      <c r="BB39" s="51"/>
      <c r="BC39" s="55">
        <v>0</v>
      </c>
      <c r="BD39" s="51"/>
      <c r="BE39" s="55">
        <v>0</v>
      </c>
      <c r="BF39" s="51"/>
      <c r="BG39" s="55">
        <v>0</v>
      </c>
      <c r="BH39" s="51"/>
      <c r="BI39" s="51"/>
      <c r="BJ39" s="51"/>
      <c r="BK39" s="51">
        <f t="shared" si="17"/>
        <v>0</v>
      </c>
      <c r="BL39" s="1"/>
    </row>
    <row r="40" spans="1:64" ht="12.75" hidden="1">
      <c r="A40" s="44" t="s">
        <v>37</v>
      </c>
      <c r="B40" s="44"/>
      <c r="C40" s="55">
        <f t="shared" si="9"/>
        <v>0</v>
      </c>
      <c r="D40" s="55"/>
      <c r="E40" s="55">
        <v>0</v>
      </c>
      <c r="F40" s="55"/>
      <c r="G40" s="55">
        <v>0</v>
      </c>
      <c r="H40" s="55"/>
      <c r="I40" s="55">
        <f t="shared" si="10"/>
        <v>0</v>
      </c>
      <c r="J40" s="55"/>
      <c r="K40" s="55">
        <f t="shared" si="11"/>
        <v>0</v>
      </c>
      <c r="L40" s="55"/>
      <c r="M40" s="55">
        <v>0</v>
      </c>
      <c r="N40" s="55"/>
      <c r="O40" s="55">
        <v>0</v>
      </c>
      <c r="P40" s="55"/>
      <c r="Q40" s="55">
        <v>0</v>
      </c>
      <c r="R40" s="55"/>
      <c r="S40" s="55">
        <v>0</v>
      </c>
      <c r="T40" s="55"/>
      <c r="U40" s="55">
        <f t="shared" si="12"/>
        <v>0</v>
      </c>
      <c r="V40" s="55"/>
      <c r="W40" s="55">
        <f t="shared" si="13"/>
        <v>0</v>
      </c>
      <c r="X40" s="55"/>
      <c r="Y40" s="101" t="s">
        <v>37</v>
      </c>
      <c r="Z40" s="55"/>
      <c r="AA40" s="55">
        <v>0</v>
      </c>
      <c r="AB40" s="51"/>
      <c r="AC40" s="55">
        <v>0</v>
      </c>
      <c r="AD40" s="51"/>
      <c r="AE40" s="55">
        <v>0</v>
      </c>
      <c r="AF40" s="51"/>
      <c r="AG40" s="56">
        <f t="shared" si="14"/>
        <v>0</v>
      </c>
      <c r="AH40" s="56"/>
      <c r="AI40" s="55">
        <v>0</v>
      </c>
      <c r="AJ40" s="56"/>
      <c r="AK40" s="55">
        <v>0</v>
      </c>
      <c r="AL40" s="51"/>
      <c r="AM40" s="55">
        <v>0</v>
      </c>
      <c r="AN40" s="51"/>
      <c r="AO40" s="55">
        <v>0</v>
      </c>
      <c r="AP40" s="51"/>
      <c r="AQ40" s="56">
        <f t="shared" si="15"/>
        <v>0</v>
      </c>
      <c r="AR40" s="56"/>
      <c r="AS40" s="51">
        <v>0</v>
      </c>
      <c r="AT40" s="51"/>
      <c r="AU40" s="51">
        <v>0</v>
      </c>
      <c r="AV40" s="51"/>
      <c r="AW40" s="51">
        <f t="shared" si="16"/>
        <v>0</v>
      </c>
      <c r="AX40" s="55"/>
      <c r="AY40" s="101" t="s">
        <v>37</v>
      </c>
      <c r="AZ40" s="55"/>
      <c r="BA40" s="55">
        <v>0</v>
      </c>
      <c r="BB40" s="51"/>
      <c r="BC40" s="55">
        <v>0</v>
      </c>
      <c r="BD40" s="51"/>
      <c r="BE40" s="55">
        <v>0</v>
      </c>
      <c r="BF40" s="51"/>
      <c r="BG40" s="55">
        <v>0</v>
      </c>
      <c r="BH40" s="51"/>
      <c r="BI40" s="51"/>
      <c r="BJ40" s="51"/>
      <c r="BK40" s="51">
        <f t="shared" si="17"/>
        <v>0</v>
      </c>
      <c r="BL40" s="66"/>
    </row>
    <row r="41" spans="1:64" ht="12.75" hidden="1">
      <c r="A41" s="44" t="s">
        <v>38</v>
      </c>
      <c r="B41" s="44"/>
      <c r="C41" s="55">
        <f t="shared" si="9"/>
        <v>0</v>
      </c>
      <c r="D41" s="55"/>
      <c r="E41" s="55">
        <v>0</v>
      </c>
      <c r="F41" s="55"/>
      <c r="G41" s="55">
        <v>0</v>
      </c>
      <c r="H41" s="55"/>
      <c r="I41" s="55">
        <f t="shared" si="10"/>
        <v>0</v>
      </c>
      <c r="J41" s="55"/>
      <c r="K41" s="55">
        <f t="shared" si="11"/>
        <v>0</v>
      </c>
      <c r="L41" s="55"/>
      <c r="M41" s="55">
        <v>0</v>
      </c>
      <c r="N41" s="55"/>
      <c r="O41" s="55">
        <v>0</v>
      </c>
      <c r="P41" s="55"/>
      <c r="Q41" s="55">
        <v>0</v>
      </c>
      <c r="R41" s="55"/>
      <c r="S41" s="55">
        <v>0</v>
      </c>
      <c r="T41" s="55"/>
      <c r="U41" s="55">
        <f t="shared" si="12"/>
        <v>0</v>
      </c>
      <c r="V41" s="55"/>
      <c r="W41" s="55">
        <f t="shared" si="13"/>
        <v>0</v>
      </c>
      <c r="X41" s="55"/>
      <c r="Y41" s="101" t="s">
        <v>38</v>
      </c>
      <c r="Z41" s="55"/>
      <c r="AA41" s="55">
        <v>0</v>
      </c>
      <c r="AB41" s="51"/>
      <c r="AC41" s="55">
        <v>0</v>
      </c>
      <c r="AD41" s="51"/>
      <c r="AE41" s="55">
        <v>0</v>
      </c>
      <c r="AF41" s="51"/>
      <c r="AG41" s="56">
        <f t="shared" si="14"/>
        <v>0</v>
      </c>
      <c r="AH41" s="56"/>
      <c r="AI41" s="55">
        <v>0</v>
      </c>
      <c r="AJ41" s="56"/>
      <c r="AK41" s="55">
        <v>0</v>
      </c>
      <c r="AL41" s="51"/>
      <c r="AM41" s="55">
        <v>0</v>
      </c>
      <c r="AN41" s="51"/>
      <c r="AO41" s="55">
        <v>0</v>
      </c>
      <c r="AP41" s="51"/>
      <c r="AQ41" s="56">
        <f t="shared" si="15"/>
        <v>0</v>
      </c>
      <c r="AR41" s="56"/>
      <c r="AS41" s="51">
        <v>0</v>
      </c>
      <c r="AT41" s="51"/>
      <c r="AU41" s="51">
        <v>0</v>
      </c>
      <c r="AV41" s="51"/>
      <c r="AW41" s="51">
        <f t="shared" si="16"/>
        <v>0</v>
      </c>
      <c r="AX41" s="51"/>
      <c r="AY41" s="101" t="s">
        <v>38</v>
      </c>
      <c r="AZ41" s="51"/>
      <c r="BA41" s="55">
        <v>0</v>
      </c>
      <c r="BB41" s="51"/>
      <c r="BC41" s="55">
        <v>0</v>
      </c>
      <c r="BD41" s="51"/>
      <c r="BE41" s="55">
        <v>0</v>
      </c>
      <c r="BF41" s="51"/>
      <c r="BG41" s="55">
        <v>0</v>
      </c>
      <c r="BH41" s="51"/>
      <c r="BI41" s="51"/>
      <c r="BJ41" s="51"/>
      <c r="BK41" s="51">
        <f t="shared" si="17"/>
        <v>0</v>
      </c>
      <c r="BL41" s="66"/>
    </row>
    <row r="42" spans="1:64" ht="12.75" hidden="1">
      <c r="A42" s="44" t="s">
        <v>172</v>
      </c>
      <c r="B42" s="44"/>
      <c r="C42" s="55">
        <f t="shared" si="9"/>
        <v>0</v>
      </c>
      <c r="D42" s="55"/>
      <c r="E42" s="55">
        <v>0</v>
      </c>
      <c r="F42" s="55"/>
      <c r="G42" s="55">
        <v>0</v>
      </c>
      <c r="H42" s="55"/>
      <c r="I42" s="55">
        <f t="shared" si="10"/>
        <v>0</v>
      </c>
      <c r="J42" s="55"/>
      <c r="K42" s="55">
        <f t="shared" si="11"/>
        <v>0</v>
      </c>
      <c r="L42" s="55"/>
      <c r="M42" s="55">
        <v>0</v>
      </c>
      <c r="N42" s="55"/>
      <c r="O42" s="55">
        <v>0</v>
      </c>
      <c r="P42" s="55"/>
      <c r="Q42" s="55">
        <v>0</v>
      </c>
      <c r="R42" s="55"/>
      <c r="S42" s="55">
        <v>0</v>
      </c>
      <c r="T42" s="55"/>
      <c r="U42" s="55">
        <f t="shared" si="12"/>
        <v>0</v>
      </c>
      <c r="V42" s="55"/>
      <c r="W42" s="55">
        <f t="shared" si="13"/>
        <v>0</v>
      </c>
      <c r="X42" s="55"/>
      <c r="Y42" s="101" t="s">
        <v>172</v>
      </c>
      <c r="Z42" s="55"/>
      <c r="AA42" s="55">
        <v>0</v>
      </c>
      <c r="AB42" s="51"/>
      <c r="AC42" s="55">
        <v>0</v>
      </c>
      <c r="AD42" s="51"/>
      <c r="AE42" s="55">
        <v>0</v>
      </c>
      <c r="AF42" s="51"/>
      <c r="AG42" s="56">
        <f t="shared" si="14"/>
        <v>0</v>
      </c>
      <c r="AH42" s="56"/>
      <c r="AI42" s="55">
        <v>0</v>
      </c>
      <c r="AJ42" s="56"/>
      <c r="AK42" s="55">
        <v>0</v>
      </c>
      <c r="AL42" s="51"/>
      <c r="AM42" s="55">
        <v>0</v>
      </c>
      <c r="AN42" s="51"/>
      <c r="AO42" s="55">
        <v>0</v>
      </c>
      <c r="AP42" s="51"/>
      <c r="AQ42" s="56">
        <f t="shared" si="15"/>
        <v>0</v>
      </c>
      <c r="AR42" s="56"/>
      <c r="AS42" s="51">
        <v>0</v>
      </c>
      <c r="AT42" s="51"/>
      <c r="AU42" s="51">
        <v>0</v>
      </c>
      <c r="AV42" s="51"/>
      <c r="AW42" s="51">
        <f t="shared" si="16"/>
        <v>0</v>
      </c>
      <c r="AX42" s="55"/>
      <c r="AY42" s="101" t="s">
        <v>172</v>
      </c>
      <c r="AZ42" s="55"/>
      <c r="BA42" s="55">
        <v>0</v>
      </c>
      <c r="BB42" s="51"/>
      <c r="BC42" s="55">
        <v>0</v>
      </c>
      <c r="BD42" s="51"/>
      <c r="BE42" s="55">
        <v>0</v>
      </c>
      <c r="BF42" s="51"/>
      <c r="BG42" s="55">
        <v>0</v>
      </c>
      <c r="BH42" s="51"/>
      <c r="BI42" s="51"/>
      <c r="BJ42" s="51"/>
      <c r="BK42" s="51">
        <f t="shared" si="17"/>
        <v>0</v>
      </c>
      <c r="BL42" s="1"/>
    </row>
    <row r="43" spans="1:64" ht="12.75" hidden="1">
      <c r="A43" s="44" t="s">
        <v>39</v>
      </c>
      <c r="B43" s="44"/>
      <c r="C43" s="55">
        <f t="shared" si="9"/>
        <v>0</v>
      </c>
      <c r="D43" s="55"/>
      <c r="E43" s="55">
        <v>0</v>
      </c>
      <c r="F43" s="55"/>
      <c r="G43" s="55">
        <v>0</v>
      </c>
      <c r="H43" s="55"/>
      <c r="I43" s="55">
        <f t="shared" si="10"/>
        <v>0</v>
      </c>
      <c r="J43" s="55"/>
      <c r="K43" s="55">
        <f t="shared" si="11"/>
        <v>0</v>
      </c>
      <c r="L43" s="55"/>
      <c r="M43" s="55">
        <v>0</v>
      </c>
      <c r="N43" s="55"/>
      <c r="O43" s="55">
        <v>0</v>
      </c>
      <c r="P43" s="55"/>
      <c r="Q43" s="55">
        <v>0</v>
      </c>
      <c r="R43" s="55"/>
      <c r="S43" s="55">
        <v>0</v>
      </c>
      <c r="T43" s="55"/>
      <c r="U43" s="55">
        <f t="shared" si="12"/>
        <v>0</v>
      </c>
      <c r="V43" s="55"/>
      <c r="W43" s="55">
        <f t="shared" si="13"/>
        <v>0</v>
      </c>
      <c r="X43" s="55"/>
      <c r="Y43" s="101" t="s">
        <v>39</v>
      </c>
      <c r="Z43" s="55"/>
      <c r="AA43" s="55">
        <v>0</v>
      </c>
      <c r="AB43" s="51"/>
      <c r="AC43" s="55">
        <v>0</v>
      </c>
      <c r="AD43" s="51"/>
      <c r="AE43" s="55">
        <v>0</v>
      </c>
      <c r="AF43" s="51"/>
      <c r="AG43" s="56">
        <f t="shared" si="14"/>
        <v>0</v>
      </c>
      <c r="AH43" s="56"/>
      <c r="AI43" s="55">
        <v>0</v>
      </c>
      <c r="AJ43" s="56"/>
      <c r="AK43" s="55">
        <v>0</v>
      </c>
      <c r="AL43" s="51"/>
      <c r="AM43" s="55">
        <v>0</v>
      </c>
      <c r="AN43" s="51"/>
      <c r="AO43" s="55">
        <v>0</v>
      </c>
      <c r="AP43" s="51"/>
      <c r="AQ43" s="56">
        <f t="shared" si="15"/>
        <v>0</v>
      </c>
      <c r="AR43" s="56"/>
      <c r="AS43" s="51">
        <v>0</v>
      </c>
      <c r="AT43" s="51"/>
      <c r="AU43" s="51">
        <v>0</v>
      </c>
      <c r="AV43" s="51"/>
      <c r="AW43" s="51">
        <f t="shared" si="16"/>
        <v>0</v>
      </c>
      <c r="AX43" s="51"/>
      <c r="AY43" s="101" t="s">
        <v>39</v>
      </c>
      <c r="AZ43" s="51"/>
      <c r="BA43" s="55">
        <v>0</v>
      </c>
      <c r="BB43" s="51"/>
      <c r="BC43" s="55">
        <v>0</v>
      </c>
      <c r="BD43" s="51"/>
      <c r="BE43" s="55">
        <v>0</v>
      </c>
      <c r="BF43" s="51"/>
      <c r="BG43" s="55">
        <v>0</v>
      </c>
      <c r="BH43" s="51"/>
      <c r="BI43" s="51"/>
      <c r="BJ43" s="51"/>
      <c r="BK43" s="51">
        <f t="shared" si="17"/>
        <v>0</v>
      </c>
      <c r="BL43" s="1"/>
    </row>
    <row r="44" spans="1:64" ht="12.75" hidden="1">
      <c r="A44" s="44" t="s">
        <v>40</v>
      </c>
      <c r="B44" s="44"/>
      <c r="C44" s="55">
        <f t="shared" si="9"/>
        <v>0</v>
      </c>
      <c r="D44" s="55"/>
      <c r="E44" s="55">
        <v>0</v>
      </c>
      <c r="F44" s="55"/>
      <c r="G44" s="55">
        <v>0</v>
      </c>
      <c r="H44" s="55"/>
      <c r="I44" s="55">
        <f t="shared" si="10"/>
        <v>0</v>
      </c>
      <c r="J44" s="55"/>
      <c r="K44" s="55">
        <f t="shared" si="11"/>
        <v>0</v>
      </c>
      <c r="L44" s="55"/>
      <c r="M44" s="55">
        <v>0</v>
      </c>
      <c r="N44" s="55"/>
      <c r="O44" s="55">
        <v>0</v>
      </c>
      <c r="P44" s="55"/>
      <c r="Q44" s="55">
        <v>0</v>
      </c>
      <c r="R44" s="55"/>
      <c r="S44" s="55">
        <v>0</v>
      </c>
      <c r="T44" s="55"/>
      <c r="U44" s="55">
        <f t="shared" si="12"/>
        <v>0</v>
      </c>
      <c r="V44" s="55"/>
      <c r="W44" s="55">
        <f t="shared" si="13"/>
        <v>0</v>
      </c>
      <c r="X44" s="55"/>
      <c r="Y44" s="101" t="s">
        <v>40</v>
      </c>
      <c r="Z44" s="55"/>
      <c r="AA44" s="55">
        <v>0</v>
      </c>
      <c r="AB44" s="51"/>
      <c r="AC44" s="55">
        <v>0</v>
      </c>
      <c r="AD44" s="51"/>
      <c r="AE44" s="55">
        <v>0</v>
      </c>
      <c r="AF44" s="51"/>
      <c r="AG44" s="56">
        <f t="shared" si="14"/>
        <v>0</v>
      </c>
      <c r="AH44" s="56"/>
      <c r="AI44" s="55">
        <v>0</v>
      </c>
      <c r="AJ44" s="56"/>
      <c r="AK44" s="55">
        <v>0</v>
      </c>
      <c r="AL44" s="51"/>
      <c r="AM44" s="55">
        <v>0</v>
      </c>
      <c r="AN44" s="51"/>
      <c r="AO44" s="55">
        <v>0</v>
      </c>
      <c r="AP44" s="51"/>
      <c r="AQ44" s="56">
        <f t="shared" si="15"/>
        <v>0</v>
      </c>
      <c r="AR44" s="56"/>
      <c r="AS44" s="51">
        <v>0</v>
      </c>
      <c r="AT44" s="51"/>
      <c r="AU44" s="51">
        <v>0</v>
      </c>
      <c r="AV44" s="51"/>
      <c r="AW44" s="51">
        <f t="shared" si="16"/>
        <v>0</v>
      </c>
      <c r="AX44" s="55"/>
      <c r="AY44" s="101" t="s">
        <v>40</v>
      </c>
      <c r="AZ44" s="55"/>
      <c r="BA44" s="55">
        <v>0</v>
      </c>
      <c r="BB44" s="51"/>
      <c r="BC44" s="55">
        <v>0</v>
      </c>
      <c r="BD44" s="51"/>
      <c r="BE44" s="55">
        <v>0</v>
      </c>
      <c r="BF44" s="51"/>
      <c r="BG44" s="55">
        <v>0</v>
      </c>
      <c r="BH44" s="51"/>
      <c r="BI44" s="51"/>
      <c r="BJ44" s="51"/>
      <c r="BK44" s="51">
        <f t="shared" si="17"/>
        <v>0</v>
      </c>
      <c r="BL44" s="66"/>
    </row>
    <row r="45" spans="1:64" ht="12.75" hidden="1">
      <c r="A45" s="44" t="s">
        <v>41</v>
      </c>
      <c r="B45" s="44"/>
      <c r="C45" s="55">
        <f t="shared" si="9"/>
        <v>0</v>
      </c>
      <c r="D45" s="55"/>
      <c r="E45" s="55">
        <v>0</v>
      </c>
      <c r="F45" s="55"/>
      <c r="G45" s="55">
        <v>0</v>
      </c>
      <c r="H45" s="55"/>
      <c r="I45" s="55">
        <f t="shared" si="10"/>
        <v>0</v>
      </c>
      <c r="J45" s="55"/>
      <c r="K45" s="55">
        <f t="shared" si="11"/>
        <v>0</v>
      </c>
      <c r="L45" s="55"/>
      <c r="M45" s="55">
        <v>0</v>
      </c>
      <c r="N45" s="55"/>
      <c r="O45" s="55">
        <v>0</v>
      </c>
      <c r="P45" s="55"/>
      <c r="Q45" s="55">
        <v>0</v>
      </c>
      <c r="R45" s="55"/>
      <c r="S45" s="55">
        <v>0</v>
      </c>
      <c r="T45" s="55"/>
      <c r="U45" s="55">
        <f t="shared" si="12"/>
        <v>0</v>
      </c>
      <c r="V45" s="55"/>
      <c r="W45" s="55">
        <f t="shared" si="13"/>
        <v>0</v>
      </c>
      <c r="X45" s="55"/>
      <c r="Y45" s="101" t="s">
        <v>41</v>
      </c>
      <c r="Z45" s="55"/>
      <c r="AA45" s="55">
        <v>0</v>
      </c>
      <c r="AB45" s="51"/>
      <c r="AC45" s="55">
        <v>0</v>
      </c>
      <c r="AD45" s="51"/>
      <c r="AE45" s="55">
        <v>0</v>
      </c>
      <c r="AF45" s="51"/>
      <c r="AG45" s="56">
        <f t="shared" si="14"/>
        <v>0</v>
      </c>
      <c r="AH45" s="56"/>
      <c r="AI45" s="55">
        <v>0</v>
      </c>
      <c r="AJ45" s="56"/>
      <c r="AK45" s="55">
        <v>0</v>
      </c>
      <c r="AL45" s="51"/>
      <c r="AM45" s="55">
        <v>0</v>
      </c>
      <c r="AN45" s="51"/>
      <c r="AO45" s="55">
        <v>0</v>
      </c>
      <c r="AP45" s="51"/>
      <c r="AQ45" s="56">
        <f t="shared" si="15"/>
        <v>0</v>
      </c>
      <c r="AR45" s="56"/>
      <c r="AS45" s="51">
        <v>0</v>
      </c>
      <c r="AT45" s="51"/>
      <c r="AU45" s="51">
        <v>0</v>
      </c>
      <c r="AV45" s="51"/>
      <c r="AW45" s="51">
        <f t="shared" si="16"/>
        <v>0</v>
      </c>
      <c r="AX45" s="55"/>
      <c r="AY45" s="101" t="s">
        <v>41</v>
      </c>
      <c r="AZ45" s="55"/>
      <c r="BA45" s="55">
        <v>0</v>
      </c>
      <c r="BB45" s="51"/>
      <c r="BC45" s="55">
        <v>0</v>
      </c>
      <c r="BD45" s="51"/>
      <c r="BE45" s="55">
        <v>0</v>
      </c>
      <c r="BF45" s="51"/>
      <c r="BG45" s="55">
        <v>0</v>
      </c>
      <c r="BH45" s="51"/>
      <c r="BI45" s="51"/>
      <c r="BJ45" s="51"/>
      <c r="BK45" s="51">
        <f t="shared" si="17"/>
        <v>0</v>
      </c>
      <c r="BL45" s="1"/>
    </row>
    <row r="46" spans="1:64" ht="12.75" hidden="1">
      <c r="A46" s="44" t="s">
        <v>42</v>
      </c>
      <c r="B46" s="44"/>
      <c r="C46" s="55">
        <f t="shared" si="9"/>
        <v>0</v>
      </c>
      <c r="D46" s="55"/>
      <c r="E46" s="55">
        <v>0</v>
      </c>
      <c r="F46" s="55"/>
      <c r="G46" s="55">
        <v>0</v>
      </c>
      <c r="H46" s="55"/>
      <c r="I46" s="55">
        <f t="shared" si="10"/>
        <v>0</v>
      </c>
      <c r="J46" s="55"/>
      <c r="K46" s="55">
        <f t="shared" si="11"/>
        <v>0</v>
      </c>
      <c r="L46" s="55"/>
      <c r="M46" s="55">
        <v>0</v>
      </c>
      <c r="N46" s="55"/>
      <c r="O46" s="55">
        <v>0</v>
      </c>
      <c r="P46" s="55"/>
      <c r="Q46" s="55">
        <v>0</v>
      </c>
      <c r="R46" s="55"/>
      <c r="S46" s="55">
        <v>0</v>
      </c>
      <c r="T46" s="55"/>
      <c r="U46" s="55">
        <f t="shared" si="12"/>
        <v>0</v>
      </c>
      <c r="V46" s="55"/>
      <c r="W46" s="55">
        <f t="shared" si="13"/>
        <v>0</v>
      </c>
      <c r="X46" s="55"/>
      <c r="Y46" s="101" t="s">
        <v>42</v>
      </c>
      <c r="Z46" s="55"/>
      <c r="AA46" s="55">
        <v>0</v>
      </c>
      <c r="AB46" s="51"/>
      <c r="AC46" s="55">
        <v>0</v>
      </c>
      <c r="AD46" s="51"/>
      <c r="AE46" s="55">
        <v>0</v>
      </c>
      <c r="AF46" s="51"/>
      <c r="AG46" s="56">
        <f t="shared" si="14"/>
        <v>0</v>
      </c>
      <c r="AH46" s="56"/>
      <c r="AI46" s="55">
        <v>0</v>
      </c>
      <c r="AJ46" s="56"/>
      <c r="AK46" s="55">
        <v>0</v>
      </c>
      <c r="AL46" s="51"/>
      <c r="AM46" s="55">
        <v>0</v>
      </c>
      <c r="AN46" s="51"/>
      <c r="AO46" s="55">
        <v>0</v>
      </c>
      <c r="AP46" s="51"/>
      <c r="AQ46" s="56">
        <f t="shared" si="15"/>
        <v>0</v>
      </c>
      <c r="AR46" s="56"/>
      <c r="AS46" s="51">
        <v>0</v>
      </c>
      <c r="AT46" s="51"/>
      <c r="AU46" s="51">
        <v>0</v>
      </c>
      <c r="AV46" s="51"/>
      <c r="AW46" s="51">
        <f t="shared" si="16"/>
        <v>0</v>
      </c>
      <c r="AX46" s="51"/>
      <c r="AY46" s="101" t="s">
        <v>42</v>
      </c>
      <c r="AZ46" s="51"/>
      <c r="BA46" s="55">
        <v>0</v>
      </c>
      <c r="BB46" s="51"/>
      <c r="BC46" s="55">
        <v>0</v>
      </c>
      <c r="BD46" s="51"/>
      <c r="BE46" s="55">
        <v>0</v>
      </c>
      <c r="BF46" s="51"/>
      <c r="BG46" s="55">
        <v>0</v>
      </c>
      <c r="BH46" s="51"/>
      <c r="BI46" s="51"/>
      <c r="BJ46" s="51"/>
      <c r="BK46" s="51">
        <f t="shared" si="17"/>
        <v>0</v>
      </c>
      <c r="BL46" s="1"/>
    </row>
    <row r="47" spans="1:64" ht="12.75">
      <c r="A47" s="44" t="s">
        <v>42</v>
      </c>
      <c r="B47" s="44"/>
      <c r="C47" s="55">
        <f t="shared" si="9"/>
        <v>32239</v>
      </c>
      <c r="D47" s="55"/>
      <c r="E47" s="55">
        <v>1597987</v>
      </c>
      <c r="F47" s="55"/>
      <c r="G47" s="55">
        <v>1630226</v>
      </c>
      <c r="H47" s="55"/>
      <c r="I47" s="55">
        <f t="shared" si="10"/>
        <v>10648</v>
      </c>
      <c r="J47" s="55"/>
      <c r="K47" s="55">
        <f t="shared" si="11"/>
        <v>501464</v>
      </c>
      <c r="L47" s="55"/>
      <c r="M47" s="55">
        <v>512112</v>
      </c>
      <c r="N47" s="55"/>
      <c r="O47" s="55">
        <v>1090087</v>
      </c>
      <c r="P47" s="55"/>
      <c r="Q47" s="55">
        <v>0</v>
      </c>
      <c r="R47" s="55"/>
      <c r="S47" s="55">
        <v>28027</v>
      </c>
      <c r="T47" s="55"/>
      <c r="U47" s="55">
        <f t="shared" si="12"/>
        <v>1118114</v>
      </c>
      <c r="V47" s="55"/>
      <c r="W47" s="55">
        <f t="shared" si="13"/>
        <v>0</v>
      </c>
      <c r="X47" s="55"/>
      <c r="Y47" s="101" t="s">
        <v>42</v>
      </c>
      <c r="Z47" s="55"/>
      <c r="AA47" s="55">
        <v>117672</v>
      </c>
      <c r="AB47" s="51"/>
      <c r="AC47" s="55">
        <f>218812-59767</f>
        <v>159045</v>
      </c>
      <c r="AD47" s="51"/>
      <c r="AE47" s="55">
        <v>59767</v>
      </c>
      <c r="AF47" s="51"/>
      <c r="AG47" s="56">
        <f t="shared" si="14"/>
        <v>-101140</v>
      </c>
      <c r="AH47" s="56"/>
      <c r="AI47" s="55">
        <v>-14488</v>
      </c>
      <c r="AJ47" s="56"/>
      <c r="AK47" s="55">
        <v>0</v>
      </c>
      <c r="AL47" s="51"/>
      <c r="AM47" s="55">
        <v>0</v>
      </c>
      <c r="AN47" s="51"/>
      <c r="AO47" s="55">
        <v>0</v>
      </c>
      <c r="AP47" s="51"/>
      <c r="AQ47" s="56">
        <f t="shared" si="15"/>
        <v>-115628</v>
      </c>
      <c r="AR47" s="56"/>
      <c r="AS47" s="51">
        <v>0</v>
      </c>
      <c r="AT47" s="51"/>
      <c r="AU47" s="51">
        <v>0</v>
      </c>
      <c r="AV47" s="51"/>
      <c r="AW47" s="51">
        <f t="shared" si="16"/>
        <v>21591</v>
      </c>
      <c r="AX47" s="51"/>
      <c r="AY47" s="101" t="s">
        <v>42</v>
      </c>
      <c r="AZ47" s="51"/>
      <c r="BA47" s="55">
        <v>0</v>
      </c>
      <c r="BB47" s="51"/>
      <c r="BC47" s="55">
        <v>500000</v>
      </c>
      <c r="BD47" s="51"/>
      <c r="BE47" s="55">
        <v>0</v>
      </c>
      <c r="BF47" s="51"/>
      <c r="BG47" s="55">
        <v>1464</v>
      </c>
      <c r="BH47" s="51"/>
      <c r="BI47" s="51"/>
      <c r="BJ47" s="51"/>
      <c r="BK47" s="51">
        <f t="shared" si="17"/>
        <v>501464</v>
      </c>
      <c r="BL47" s="1"/>
    </row>
    <row r="48" spans="1:64" ht="12.75">
      <c r="A48" s="44" t="s">
        <v>43</v>
      </c>
      <c r="B48" s="44"/>
      <c r="C48" s="55">
        <f t="shared" si="9"/>
        <v>1423843</v>
      </c>
      <c r="D48" s="55"/>
      <c r="E48" s="55">
        <v>4725659</v>
      </c>
      <c r="F48" s="55"/>
      <c r="G48" s="55">
        <v>6149502</v>
      </c>
      <c r="H48" s="55"/>
      <c r="I48" s="55">
        <f t="shared" si="10"/>
        <v>3319421</v>
      </c>
      <c r="J48" s="55"/>
      <c r="K48" s="55">
        <f t="shared" si="11"/>
        <v>14796</v>
      </c>
      <c r="L48" s="55"/>
      <c r="M48" s="55">
        <v>3334217</v>
      </c>
      <c r="N48" s="55"/>
      <c r="O48" s="55">
        <v>2021792</v>
      </c>
      <c r="P48" s="55"/>
      <c r="Q48" s="55">
        <v>0</v>
      </c>
      <c r="R48" s="55"/>
      <c r="S48" s="55">
        <v>793493</v>
      </c>
      <c r="T48" s="55"/>
      <c r="U48" s="55">
        <f t="shared" si="12"/>
        <v>2815285</v>
      </c>
      <c r="V48" s="55"/>
      <c r="W48" s="55">
        <f t="shared" si="13"/>
        <v>0</v>
      </c>
      <c r="X48" s="55"/>
      <c r="Y48" s="101" t="s">
        <v>43</v>
      </c>
      <c r="Z48" s="55"/>
      <c r="AA48" s="55">
        <v>854743</v>
      </c>
      <c r="AB48" s="51"/>
      <c r="AC48" s="55">
        <f>913376-199651</f>
        <v>713725</v>
      </c>
      <c r="AD48" s="51"/>
      <c r="AE48" s="55">
        <v>199651</v>
      </c>
      <c r="AF48" s="51"/>
      <c r="AG48" s="56">
        <f t="shared" si="14"/>
        <v>-58633</v>
      </c>
      <c r="AH48" s="56"/>
      <c r="AI48" s="55">
        <v>180211</v>
      </c>
      <c r="AJ48" s="56"/>
      <c r="AK48" s="55">
        <v>72000</v>
      </c>
      <c r="AL48" s="51"/>
      <c r="AM48" s="55">
        <v>0</v>
      </c>
      <c r="AN48" s="51"/>
      <c r="AO48" s="55">
        <v>0</v>
      </c>
      <c r="AP48" s="51"/>
      <c r="AQ48" s="56">
        <f t="shared" si="15"/>
        <v>193578</v>
      </c>
      <c r="AR48" s="56"/>
      <c r="AS48" s="51">
        <v>0</v>
      </c>
      <c r="AT48" s="51"/>
      <c r="AU48" s="51">
        <v>0</v>
      </c>
      <c r="AV48" s="51"/>
      <c r="AW48" s="51">
        <f t="shared" si="16"/>
        <v>-1895578</v>
      </c>
      <c r="AX48" s="51"/>
      <c r="AY48" s="101" t="s">
        <v>43</v>
      </c>
      <c r="AZ48" s="51"/>
      <c r="BA48" s="55">
        <v>0</v>
      </c>
      <c r="BB48" s="51"/>
      <c r="BC48" s="55">
        <v>2531500</v>
      </c>
      <c r="BD48" s="51"/>
      <c r="BE48" s="55">
        <v>99739</v>
      </c>
      <c r="BF48" s="51"/>
      <c r="BG48" s="55">
        <v>0</v>
      </c>
      <c r="BH48" s="51"/>
      <c r="BI48" s="51"/>
      <c r="BJ48" s="51"/>
      <c r="BK48" s="51">
        <v>14796</v>
      </c>
      <c r="BL48" s="66"/>
    </row>
    <row r="49" spans="1:65" ht="12.75" hidden="1">
      <c r="A49" s="44" t="s">
        <v>44</v>
      </c>
      <c r="B49" s="44"/>
      <c r="C49" s="55">
        <f t="shared" si="9"/>
        <v>0</v>
      </c>
      <c r="D49" s="55"/>
      <c r="E49" s="55">
        <v>0</v>
      </c>
      <c r="F49" s="55"/>
      <c r="G49" s="55">
        <v>0</v>
      </c>
      <c r="H49" s="55"/>
      <c r="I49" s="55">
        <f t="shared" si="10"/>
        <v>0</v>
      </c>
      <c r="J49" s="55"/>
      <c r="K49" s="55">
        <f t="shared" si="11"/>
        <v>0</v>
      </c>
      <c r="L49" s="55"/>
      <c r="M49" s="55">
        <v>0</v>
      </c>
      <c r="N49" s="55"/>
      <c r="O49" s="55">
        <v>0</v>
      </c>
      <c r="P49" s="55"/>
      <c r="Q49" s="55">
        <v>0</v>
      </c>
      <c r="R49" s="55"/>
      <c r="S49" s="55">
        <v>0</v>
      </c>
      <c r="T49" s="55"/>
      <c r="U49" s="55">
        <f t="shared" si="12"/>
        <v>0</v>
      </c>
      <c r="V49" s="55"/>
      <c r="W49" s="55">
        <f t="shared" si="13"/>
        <v>0</v>
      </c>
      <c r="X49" s="55"/>
      <c r="Y49" s="101" t="s">
        <v>44</v>
      </c>
      <c r="Z49" s="55"/>
      <c r="AA49" s="55">
        <v>0</v>
      </c>
      <c r="AB49" s="51"/>
      <c r="AC49" s="55">
        <v>0</v>
      </c>
      <c r="AD49" s="51"/>
      <c r="AE49" s="55">
        <v>0</v>
      </c>
      <c r="AF49" s="51"/>
      <c r="AG49" s="56">
        <f t="shared" si="14"/>
        <v>0</v>
      </c>
      <c r="AH49" s="56"/>
      <c r="AI49" s="55">
        <v>0</v>
      </c>
      <c r="AJ49" s="56"/>
      <c r="AK49" s="55">
        <v>0</v>
      </c>
      <c r="AL49" s="51"/>
      <c r="AM49" s="55">
        <v>0</v>
      </c>
      <c r="AN49" s="51"/>
      <c r="AO49" s="55">
        <v>0</v>
      </c>
      <c r="AP49" s="51"/>
      <c r="AQ49" s="56">
        <f t="shared" si="15"/>
        <v>0</v>
      </c>
      <c r="AR49" s="56"/>
      <c r="AS49" s="51">
        <v>0</v>
      </c>
      <c r="AT49" s="51"/>
      <c r="AU49" s="51">
        <v>0</v>
      </c>
      <c r="AV49" s="51"/>
      <c r="AW49" s="51">
        <f t="shared" si="16"/>
        <v>0</v>
      </c>
      <c r="AX49" s="55"/>
      <c r="AY49" s="101" t="s">
        <v>44</v>
      </c>
      <c r="AZ49" s="55"/>
      <c r="BA49" s="55">
        <v>0</v>
      </c>
      <c r="BB49" s="51"/>
      <c r="BC49" s="55">
        <v>0</v>
      </c>
      <c r="BD49" s="51"/>
      <c r="BE49" s="55">
        <v>0</v>
      </c>
      <c r="BF49" s="51"/>
      <c r="BG49" s="55">
        <v>0</v>
      </c>
      <c r="BH49" s="51"/>
      <c r="BI49" s="51"/>
      <c r="BJ49" s="51"/>
      <c r="BK49" s="51">
        <f t="shared" si="17"/>
        <v>0</v>
      </c>
      <c r="BL49" s="66"/>
      <c r="BM49" s="1"/>
    </row>
    <row r="50" spans="1:64" ht="12.75" hidden="1">
      <c r="A50" s="44" t="s">
        <v>45</v>
      </c>
      <c r="B50" s="44"/>
      <c r="C50" s="55">
        <f t="shared" si="9"/>
        <v>0</v>
      </c>
      <c r="D50" s="55"/>
      <c r="E50" s="55">
        <v>0</v>
      </c>
      <c r="F50" s="55"/>
      <c r="G50" s="55">
        <v>0</v>
      </c>
      <c r="H50" s="55"/>
      <c r="I50" s="55">
        <f t="shared" si="10"/>
        <v>0</v>
      </c>
      <c r="J50" s="55"/>
      <c r="K50" s="55">
        <f t="shared" si="11"/>
        <v>0</v>
      </c>
      <c r="L50" s="55"/>
      <c r="M50" s="55">
        <v>0</v>
      </c>
      <c r="N50" s="55"/>
      <c r="O50" s="55">
        <v>0</v>
      </c>
      <c r="P50" s="55"/>
      <c r="Q50" s="55">
        <v>0</v>
      </c>
      <c r="R50" s="55"/>
      <c r="S50" s="55">
        <v>0</v>
      </c>
      <c r="T50" s="55"/>
      <c r="U50" s="55">
        <f t="shared" si="12"/>
        <v>0</v>
      </c>
      <c r="V50" s="55"/>
      <c r="W50" s="55">
        <f t="shared" si="13"/>
        <v>0</v>
      </c>
      <c r="X50" s="55"/>
      <c r="Y50" s="101" t="s">
        <v>45</v>
      </c>
      <c r="Z50" s="55"/>
      <c r="AA50" s="55">
        <v>0</v>
      </c>
      <c r="AB50" s="51"/>
      <c r="AC50" s="55">
        <v>0</v>
      </c>
      <c r="AD50" s="51"/>
      <c r="AE50" s="55">
        <v>0</v>
      </c>
      <c r="AF50" s="51"/>
      <c r="AG50" s="56">
        <f t="shared" si="14"/>
        <v>0</v>
      </c>
      <c r="AH50" s="56"/>
      <c r="AI50" s="55">
        <v>0</v>
      </c>
      <c r="AJ50" s="56"/>
      <c r="AK50" s="55">
        <v>0</v>
      </c>
      <c r="AL50" s="51"/>
      <c r="AM50" s="55">
        <v>0</v>
      </c>
      <c r="AN50" s="51"/>
      <c r="AO50" s="55">
        <v>0</v>
      </c>
      <c r="AP50" s="51"/>
      <c r="AQ50" s="56">
        <f t="shared" si="15"/>
        <v>0</v>
      </c>
      <c r="AR50" s="56"/>
      <c r="AS50" s="51">
        <v>0</v>
      </c>
      <c r="AT50" s="51"/>
      <c r="AU50" s="51">
        <v>0</v>
      </c>
      <c r="AV50" s="51"/>
      <c r="AW50" s="51">
        <f t="shared" si="16"/>
        <v>0</v>
      </c>
      <c r="AX50" s="51"/>
      <c r="AY50" s="101" t="s">
        <v>45</v>
      </c>
      <c r="AZ50" s="51"/>
      <c r="BA50" s="55">
        <v>0</v>
      </c>
      <c r="BB50" s="51"/>
      <c r="BC50" s="55">
        <v>0</v>
      </c>
      <c r="BD50" s="51"/>
      <c r="BE50" s="55">
        <v>0</v>
      </c>
      <c r="BF50" s="51"/>
      <c r="BG50" s="55">
        <v>0</v>
      </c>
      <c r="BH50" s="51"/>
      <c r="BI50" s="51"/>
      <c r="BJ50" s="51"/>
      <c r="BK50" s="51">
        <f t="shared" si="17"/>
        <v>0</v>
      </c>
      <c r="BL50" s="1"/>
    </row>
    <row r="51" spans="1:64" ht="12.75">
      <c r="A51" s="44" t="s">
        <v>46</v>
      </c>
      <c r="B51" s="44"/>
      <c r="C51" s="55">
        <f t="shared" si="9"/>
        <v>734222</v>
      </c>
      <c r="D51" s="55"/>
      <c r="E51" s="55">
        <v>15857815</v>
      </c>
      <c r="F51" s="55"/>
      <c r="G51" s="55">
        <v>16592037</v>
      </c>
      <c r="H51" s="55"/>
      <c r="I51" s="55">
        <f t="shared" si="10"/>
        <v>1149641</v>
      </c>
      <c r="J51" s="55"/>
      <c r="K51" s="55">
        <f t="shared" si="11"/>
        <v>3399149</v>
      </c>
      <c r="L51" s="55"/>
      <c r="M51" s="55">
        <v>4548790</v>
      </c>
      <c r="N51" s="55"/>
      <c r="O51" s="55">
        <v>11003569</v>
      </c>
      <c r="P51" s="55"/>
      <c r="Q51" s="55">
        <v>387964</v>
      </c>
      <c r="R51" s="55"/>
      <c r="S51" s="55">
        <v>651714</v>
      </c>
      <c r="T51" s="55"/>
      <c r="U51" s="55">
        <f t="shared" si="12"/>
        <v>12043247</v>
      </c>
      <c r="V51" s="55"/>
      <c r="W51" s="55">
        <f t="shared" si="13"/>
        <v>0</v>
      </c>
      <c r="X51" s="55"/>
      <c r="Y51" s="101" t="s">
        <v>46</v>
      </c>
      <c r="Z51" s="55"/>
      <c r="AA51" s="55">
        <v>988706</v>
      </c>
      <c r="AB51" s="51"/>
      <c r="AC51" s="55">
        <f>1164661-624308</f>
        <v>540353</v>
      </c>
      <c r="AD51" s="51"/>
      <c r="AE51" s="55">
        <v>624308</v>
      </c>
      <c r="AF51" s="51"/>
      <c r="AG51" s="56">
        <f t="shared" si="14"/>
        <v>-175955</v>
      </c>
      <c r="AH51" s="56"/>
      <c r="AI51" s="55">
        <v>-166493</v>
      </c>
      <c r="AJ51" s="56"/>
      <c r="AK51" s="55">
        <v>0</v>
      </c>
      <c r="AL51" s="51"/>
      <c r="AM51" s="55">
        <v>284220</v>
      </c>
      <c r="AN51" s="51"/>
      <c r="AO51" s="55">
        <v>77693</v>
      </c>
      <c r="AP51" s="51"/>
      <c r="AQ51" s="56">
        <f t="shared" si="15"/>
        <v>-548975</v>
      </c>
      <c r="AR51" s="56"/>
      <c r="AS51" s="51">
        <v>0</v>
      </c>
      <c r="AT51" s="51"/>
      <c r="AU51" s="51">
        <v>0</v>
      </c>
      <c r="AV51" s="51"/>
      <c r="AW51" s="51">
        <f t="shared" si="16"/>
        <v>-415419</v>
      </c>
      <c r="AX51" s="51"/>
      <c r="AY51" s="101" t="s">
        <v>46</v>
      </c>
      <c r="AZ51" s="51"/>
      <c r="BA51" s="55">
        <v>1805689</v>
      </c>
      <c r="BB51" s="51"/>
      <c r="BC51" s="55">
        <v>0</v>
      </c>
      <c r="BD51" s="51"/>
      <c r="BE51" s="55">
        <v>1561987</v>
      </c>
      <c r="BF51" s="51"/>
      <c r="BG51" s="55">
        <v>31473</v>
      </c>
      <c r="BH51" s="51"/>
      <c r="BI51" s="51"/>
      <c r="BJ51" s="51"/>
      <c r="BK51" s="51">
        <f t="shared" si="17"/>
        <v>3399149</v>
      </c>
      <c r="BL51" s="1"/>
    </row>
    <row r="52" spans="1:64" ht="12.75">
      <c r="A52" s="44" t="s">
        <v>47</v>
      </c>
      <c r="B52" s="44"/>
      <c r="C52" s="55">
        <f t="shared" si="9"/>
        <v>2135538</v>
      </c>
      <c r="D52" s="55"/>
      <c r="E52" s="55">
        <v>2791616</v>
      </c>
      <c r="F52" s="55"/>
      <c r="G52" s="55">
        <v>4927154</v>
      </c>
      <c r="H52" s="55"/>
      <c r="I52" s="55">
        <f t="shared" si="10"/>
        <v>39084</v>
      </c>
      <c r="J52" s="55"/>
      <c r="K52" s="55">
        <f t="shared" si="11"/>
        <v>92084</v>
      </c>
      <c r="L52" s="55"/>
      <c r="M52" s="55">
        <v>131168</v>
      </c>
      <c r="N52" s="55"/>
      <c r="O52" s="55">
        <v>2722806</v>
      </c>
      <c r="P52" s="55"/>
      <c r="Q52" s="55">
        <v>0</v>
      </c>
      <c r="R52" s="55"/>
      <c r="S52" s="55">
        <v>2073180</v>
      </c>
      <c r="T52" s="55"/>
      <c r="U52" s="55">
        <f t="shared" si="12"/>
        <v>4795986</v>
      </c>
      <c r="V52" s="55"/>
      <c r="W52" s="55">
        <f t="shared" si="13"/>
        <v>0</v>
      </c>
      <c r="X52" s="55"/>
      <c r="Y52" s="101" t="s">
        <v>47</v>
      </c>
      <c r="Z52" s="55"/>
      <c r="AA52" s="55">
        <v>1198846</v>
      </c>
      <c r="AB52" s="51"/>
      <c r="AC52" s="55">
        <f>1226539-115085</f>
        <v>1111454</v>
      </c>
      <c r="AD52" s="51"/>
      <c r="AE52" s="55">
        <v>115085</v>
      </c>
      <c r="AF52" s="51"/>
      <c r="AG52" s="56">
        <f t="shared" si="14"/>
        <v>-27693</v>
      </c>
      <c r="AH52" s="56"/>
      <c r="AI52" s="55">
        <v>59547</v>
      </c>
      <c r="AJ52" s="56"/>
      <c r="AK52" s="55">
        <v>0</v>
      </c>
      <c r="AL52" s="51"/>
      <c r="AM52" s="55">
        <v>63456</v>
      </c>
      <c r="AN52" s="51"/>
      <c r="AO52" s="55">
        <v>145523</v>
      </c>
      <c r="AP52" s="51"/>
      <c r="AQ52" s="56">
        <f t="shared" si="15"/>
        <v>113921</v>
      </c>
      <c r="AR52" s="56"/>
      <c r="AS52" s="51">
        <v>0</v>
      </c>
      <c r="AT52" s="51"/>
      <c r="AU52" s="51">
        <v>0</v>
      </c>
      <c r="AV52" s="51"/>
      <c r="AW52" s="51">
        <f t="shared" si="16"/>
        <v>2096454</v>
      </c>
      <c r="AX52" s="51"/>
      <c r="AY52" s="101" t="s">
        <v>47</v>
      </c>
      <c r="AZ52" s="51"/>
      <c r="BA52" s="55">
        <v>0</v>
      </c>
      <c r="BB52" s="51"/>
      <c r="BC52" s="55">
        <v>0</v>
      </c>
      <c r="BD52" s="51"/>
      <c r="BE52" s="55">
        <v>66695</v>
      </c>
      <c r="BF52" s="51"/>
      <c r="BG52" s="55">
        <v>25389</v>
      </c>
      <c r="BH52" s="51"/>
      <c r="BI52" s="51"/>
      <c r="BJ52" s="51"/>
      <c r="BK52" s="51">
        <f t="shared" si="17"/>
        <v>92084</v>
      </c>
      <c r="BL52" s="68"/>
    </row>
    <row r="53" spans="1:64" ht="12.75">
      <c r="A53" s="44" t="s">
        <v>48</v>
      </c>
      <c r="B53" s="44"/>
      <c r="C53" s="55">
        <f t="shared" si="9"/>
        <v>14411257</v>
      </c>
      <c r="D53" s="55"/>
      <c r="E53" s="55">
        <v>123466457</v>
      </c>
      <c r="F53" s="55"/>
      <c r="G53" s="55">
        <v>137877714</v>
      </c>
      <c r="H53" s="55"/>
      <c r="I53" s="55">
        <f t="shared" si="10"/>
        <v>4628524</v>
      </c>
      <c r="J53" s="55"/>
      <c r="K53" s="55">
        <f t="shared" si="11"/>
        <v>35016264</v>
      </c>
      <c r="L53" s="55"/>
      <c r="M53" s="55">
        <v>39644788</v>
      </c>
      <c r="N53" s="55"/>
      <c r="O53" s="55">
        <v>86117981</v>
      </c>
      <c r="P53" s="55"/>
      <c r="Q53" s="55">
        <v>0</v>
      </c>
      <c r="R53" s="55"/>
      <c r="S53" s="55">
        <v>12114945</v>
      </c>
      <c r="T53" s="55"/>
      <c r="U53" s="55">
        <f t="shared" si="12"/>
        <v>98232926</v>
      </c>
      <c r="V53" s="55"/>
      <c r="W53" s="55">
        <f t="shared" si="13"/>
        <v>0</v>
      </c>
      <c r="X53" s="55"/>
      <c r="Y53" s="101" t="s">
        <v>48</v>
      </c>
      <c r="Z53" s="55"/>
      <c r="AA53" s="55">
        <v>15209457</v>
      </c>
      <c r="AB53" s="51"/>
      <c r="AC53" s="55">
        <f>14142648-4894076</f>
        <v>9248572</v>
      </c>
      <c r="AD53" s="51"/>
      <c r="AE53" s="55">
        <v>4894076</v>
      </c>
      <c r="AF53" s="51"/>
      <c r="AG53" s="56">
        <f t="shared" si="14"/>
        <v>1066809</v>
      </c>
      <c r="AH53" s="56"/>
      <c r="AI53" s="55">
        <v>-1773027</v>
      </c>
      <c r="AJ53" s="56"/>
      <c r="AK53" s="55">
        <v>0</v>
      </c>
      <c r="AL53" s="51"/>
      <c r="AM53" s="55">
        <v>0</v>
      </c>
      <c r="AN53" s="51"/>
      <c r="AO53" s="55">
        <v>27778</v>
      </c>
      <c r="AP53" s="51"/>
      <c r="AQ53" s="56">
        <f t="shared" si="15"/>
        <v>-678440</v>
      </c>
      <c r="AR53" s="56"/>
      <c r="AS53" s="51">
        <v>0</v>
      </c>
      <c r="AT53" s="51"/>
      <c r="AU53" s="51">
        <v>0</v>
      </c>
      <c r="AV53" s="51"/>
      <c r="AW53" s="51">
        <f t="shared" si="16"/>
        <v>9782733</v>
      </c>
      <c r="AX53" s="51"/>
      <c r="AY53" s="101" t="s">
        <v>48</v>
      </c>
      <c r="AZ53" s="51"/>
      <c r="BA53" s="55">
        <v>1492400</v>
      </c>
      <c r="BB53" s="51"/>
      <c r="BC53" s="55">
        <v>0</v>
      </c>
      <c r="BD53" s="51"/>
      <c r="BE53" s="55">
        <v>32685145</v>
      </c>
      <c r="BF53" s="51"/>
      <c r="BG53" s="55">
        <f>823719+15000</f>
        <v>838719</v>
      </c>
      <c r="BH53" s="51"/>
      <c r="BI53" s="51"/>
      <c r="BJ53" s="51"/>
      <c r="BK53" s="51">
        <f t="shared" si="17"/>
        <v>35016264</v>
      </c>
      <c r="BL53" s="1"/>
    </row>
    <row r="54" spans="1:64" ht="12.75" hidden="1">
      <c r="A54" s="44" t="s">
        <v>234</v>
      </c>
      <c r="B54" s="44"/>
      <c r="C54" s="55">
        <f t="shared" si="9"/>
        <v>0</v>
      </c>
      <c r="D54" s="55"/>
      <c r="E54" s="55">
        <v>0</v>
      </c>
      <c r="F54" s="55"/>
      <c r="G54" s="55">
        <v>0</v>
      </c>
      <c r="H54" s="55"/>
      <c r="I54" s="55">
        <f t="shared" si="10"/>
        <v>0</v>
      </c>
      <c r="J54" s="55"/>
      <c r="K54" s="55">
        <f t="shared" si="11"/>
        <v>0</v>
      </c>
      <c r="L54" s="55"/>
      <c r="M54" s="55">
        <v>0</v>
      </c>
      <c r="N54" s="55"/>
      <c r="O54" s="55">
        <v>0</v>
      </c>
      <c r="P54" s="55"/>
      <c r="Q54" s="55">
        <v>0</v>
      </c>
      <c r="R54" s="55"/>
      <c r="S54" s="55">
        <v>0</v>
      </c>
      <c r="T54" s="55"/>
      <c r="U54" s="55">
        <f t="shared" si="12"/>
        <v>0</v>
      </c>
      <c r="V54" s="55"/>
      <c r="W54" s="55">
        <f t="shared" si="13"/>
        <v>0</v>
      </c>
      <c r="X54" s="55"/>
      <c r="Y54" s="101" t="s">
        <v>174</v>
      </c>
      <c r="Z54" s="55"/>
      <c r="AA54" s="55">
        <v>0</v>
      </c>
      <c r="AB54" s="51"/>
      <c r="AC54" s="55">
        <v>0</v>
      </c>
      <c r="AD54" s="51"/>
      <c r="AE54" s="55">
        <v>0</v>
      </c>
      <c r="AF54" s="51"/>
      <c r="AG54" s="56">
        <f t="shared" si="14"/>
        <v>0</v>
      </c>
      <c r="AH54" s="56"/>
      <c r="AI54" s="55">
        <v>0</v>
      </c>
      <c r="AJ54" s="56"/>
      <c r="AK54" s="55">
        <v>0</v>
      </c>
      <c r="AL54" s="51"/>
      <c r="AM54" s="55">
        <v>0</v>
      </c>
      <c r="AN54" s="51"/>
      <c r="AO54" s="55">
        <v>0</v>
      </c>
      <c r="AP54" s="51"/>
      <c r="AQ54" s="56">
        <f t="shared" si="15"/>
        <v>0</v>
      </c>
      <c r="AR54" s="56"/>
      <c r="AS54" s="51">
        <v>0</v>
      </c>
      <c r="AT54" s="51"/>
      <c r="AU54" s="51">
        <v>0</v>
      </c>
      <c r="AV54" s="51"/>
      <c r="AW54" s="51">
        <f t="shared" si="16"/>
        <v>0</v>
      </c>
      <c r="AX54" s="51"/>
      <c r="AY54" s="101" t="s">
        <v>174</v>
      </c>
      <c r="AZ54" s="51"/>
      <c r="BA54" s="55">
        <v>0</v>
      </c>
      <c r="BB54" s="51"/>
      <c r="BC54" s="55">
        <v>0</v>
      </c>
      <c r="BD54" s="51"/>
      <c r="BE54" s="55">
        <v>0</v>
      </c>
      <c r="BF54" s="51"/>
      <c r="BG54" s="55">
        <v>0</v>
      </c>
      <c r="BH54" s="51"/>
      <c r="BI54" s="51"/>
      <c r="BJ54" s="51"/>
      <c r="BK54" s="51">
        <f t="shared" si="17"/>
        <v>0</v>
      </c>
      <c r="BL54" s="1"/>
    </row>
    <row r="55" spans="1:64" ht="12.75">
      <c r="A55" s="44" t="s">
        <v>49</v>
      </c>
      <c r="B55" s="44"/>
      <c r="C55" s="55">
        <f t="shared" si="9"/>
        <v>7840155</v>
      </c>
      <c r="D55" s="55"/>
      <c r="E55" s="55">
        <v>8293838</v>
      </c>
      <c r="F55" s="55"/>
      <c r="G55" s="55">
        <v>16133993</v>
      </c>
      <c r="H55" s="55"/>
      <c r="I55" s="55">
        <f t="shared" si="10"/>
        <v>5937561</v>
      </c>
      <c r="J55" s="55"/>
      <c r="K55" s="55">
        <f t="shared" si="11"/>
        <v>171771</v>
      </c>
      <c r="L55" s="55"/>
      <c r="M55" s="55">
        <v>6109332</v>
      </c>
      <c r="N55" s="55"/>
      <c r="O55" s="55">
        <v>8077838</v>
      </c>
      <c r="P55" s="55"/>
      <c r="Q55" s="55">
        <v>0</v>
      </c>
      <c r="R55" s="55"/>
      <c r="S55" s="55">
        <v>1946823</v>
      </c>
      <c r="T55" s="55"/>
      <c r="U55" s="55">
        <f t="shared" si="12"/>
        <v>10024661</v>
      </c>
      <c r="V55" s="55"/>
      <c r="W55" s="55">
        <f t="shared" si="13"/>
        <v>0</v>
      </c>
      <c r="X55" s="55"/>
      <c r="Y55" s="101" t="s">
        <v>49</v>
      </c>
      <c r="Z55" s="55"/>
      <c r="AA55" s="55">
        <v>1930928</v>
      </c>
      <c r="AB55" s="51"/>
      <c r="AC55" s="55">
        <f>2407238-351201</f>
        <v>2056037</v>
      </c>
      <c r="AD55" s="51"/>
      <c r="AE55" s="55">
        <v>351201</v>
      </c>
      <c r="AF55" s="51"/>
      <c r="AG55" s="56">
        <f t="shared" si="14"/>
        <v>-476310</v>
      </c>
      <c r="AH55" s="56"/>
      <c r="AI55" s="55">
        <v>-48630</v>
      </c>
      <c r="AJ55" s="56"/>
      <c r="AK55" s="55">
        <v>9187</v>
      </c>
      <c r="AL55" s="51"/>
      <c r="AM55" s="55">
        <v>198489</v>
      </c>
      <c r="AN55" s="51"/>
      <c r="AO55" s="55">
        <v>0</v>
      </c>
      <c r="AP55" s="51"/>
      <c r="AQ55" s="56">
        <f t="shared" si="15"/>
        <v>-714242</v>
      </c>
      <c r="AR55" s="56"/>
      <c r="AS55" s="51">
        <v>0</v>
      </c>
      <c r="AT55" s="51"/>
      <c r="AU55" s="51">
        <v>0</v>
      </c>
      <c r="AV55" s="51"/>
      <c r="AW55" s="51">
        <f t="shared" si="16"/>
        <v>1902594</v>
      </c>
      <c r="AX55" s="51"/>
      <c r="AY55" s="101" t="s">
        <v>49</v>
      </c>
      <c r="AZ55" s="51"/>
      <c r="BA55" s="55">
        <v>0</v>
      </c>
      <c r="BB55" s="51"/>
      <c r="BC55" s="55">
        <v>111000</v>
      </c>
      <c r="BD55" s="51"/>
      <c r="BE55" s="55">
        <v>0</v>
      </c>
      <c r="BF55" s="51"/>
      <c r="BG55" s="55">
        <v>60771</v>
      </c>
      <c r="BH55" s="51"/>
      <c r="BI55" s="51"/>
      <c r="BJ55" s="51"/>
      <c r="BK55" s="51">
        <f t="shared" si="17"/>
        <v>171771</v>
      </c>
      <c r="BL55" s="1"/>
    </row>
    <row r="56" spans="1:64" ht="12.75" hidden="1">
      <c r="A56" s="44" t="s">
        <v>50</v>
      </c>
      <c r="B56" s="44"/>
      <c r="C56" s="55">
        <f t="shared" si="9"/>
        <v>0</v>
      </c>
      <c r="D56" s="55"/>
      <c r="E56" s="55">
        <v>0</v>
      </c>
      <c r="F56" s="55"/>
      <c r="G56" s="55">
        <v>0</v>
      </c>
      <c r="H56" s="55"/>
      <c r="I56" s="55">
        <f t="shared" si="10"/>
        <v>0</v>
      </c>
      <c r="J56" s="55"/>
      <c r="K56" s="55">
        <f t="shared" si="11"/>
        <v>0</v>
      </c>
      <c r="L56" s="55"/>
      <c r="M56" s="55">
        <v>0</v>
      </c>
      <c r="N56" s="55"/>
      <c r="O56" s="55">
        <v>0</v>
      </c>
      <c r="P56" s="55"/>
      <c r="Q56" s="55">
        <v>0</v>
      </c>
      <c r="R56" s="55"/>
      <c r="S56" s="55">
        <v>0</v>
      </c>
      <c r="T56" s="55"/>
      <c r="U56" s="55">
        <f t="shared" si="12"/>
        <v>0</v>
      </c>
      <c r="V56" s="55"/>
      <c r="W56" s="55">
        <f t="shared" si="13"/>
        <v>0</v>
      </c>
      <c r="X56" s="55"/>
      <c r="Y56" s="101" t="s">
        <v>50</v>
      </c>
      <c r="Z56" s="55"/>
      <c r="AA56" s="55">
        <v>0</v>
      </c>
      <c r="AB56" s="51"/>
      <c r="AC56" s="55">
        <v>0</v>
      </c>
      <c r="AD56" s="51"/>
      <c r="AE56" s="55">
        <v>0</v>
      </c>
      <c r="AF56" s="51"/>
      <c r="AG56" s="56">
        <f t="shared" si="14"/>
        <v>0</v>
      </c>
      <c r="AH56" s="56"/>
      <c r="AI56" s="55">
        <v>0</v>
      </c>
      <c r="AJ56" s="56"/>
      <c r="AK56" s="55">
        <v>0</v>
      </c>
      <c r="AL56" s="51"/>
      <c r="AM56" s="55">
        <v>0</v>
      </c>
      <c r="AN56" s="51"/>
      <c r="AO56" s="55">
        <v>0</v>
      </c>
      <c r="AP56" s="51"/>
      <c r="AQ56" s="56">
        <f t="shared" si="15"/>
        <v>0</v>
      </c>
      <c r="AR56" s="56"/>
      <c r="AS56" s="51">
        <v>0</v>
      </c>
      <c r="AT56" s="51"/>
      <c r="AU56" s="51">
        <v>0</v>
      </c>
      <c r="AV56" s="51"/>
      <c r="AW56" s="51">
        <f t="shared" si="16"/>
        <v>0</v>
      </c>
      <c r="AX56" s="51"/>
      <c r="AY56" s="101" t="s">
        <v>50</v>
      </c>
      <c r="AZ56" s="51"/>
      <c r="BA56" s="55">
        <v>0</v>
      </c>
      <c r="BB56" s="51"/>
      <c r="BC56" s="55">
        <v>0</v>
      </c>
      <c r="BD56" s="51"/>
      <c r="BE56" s="55">
        <v>0</v>
      </c>
      <c r="BF56" s="51"/>
      <c r="BG56" s="55">
        <v>0</v>
      </c>
      <c r="BH56" s="51"/>
      <c r="BI56" s="51"/>
      <c r="BJ56" s="51"/>
      <c r="BK56" s="51">
        <f t="shared" si="17"/>
        <v>0</v>
      </c>
      <c r="BL56" s="1"/>
    </row>
    <row r="57" spans="1:64" ht="12.75">
      <c r="A57" s="44" t="s">
        <v>51</v>
      </c>
      <c r="B57" s="44"/>
      <c r="C57" s="55">
        <f t="shared" si="9"/>
        <v>501490</v>
      </c>
      <c r="D57" s="55"/>
      <c r="E57" s="55">
        <v>10297072</v>
      </c>
      <c r="F57" s="55"/>
      <c r="G57" s="55">
        <v>10798562</v>
      </c>
      <c r="H57" s="55"/>
      <c r="I57" s="55">
        <f t="shared" si="10"/>
        <v>733489</v>
      </c>
      <c r="J57" s="55"/>
      <c r="K57" s="55">
        <f t="shared" si="11"/>
        <v>1139506</v>
      </c>
      <c r="L57" s="55"/>
      <c r="M57" s="55">
        <v>1872995</v>
      </c>
      <c r="N57" s="55"/>
      <c r="O57" s="55">
        <v>9086655</v>
      </c>
      <c r="P57" s="55"/>
      <c r="Q57" s="55">
        <v>0</v>
      </c>
      <c r="R57" s="55"/>
      <c r="S57" s="55">
        <v>-161088</v>
      </c>
      <c r="T57" s="55"/>
      <c r="U57" s="55">
        <f t="shared" si="12"/>
        <v>8925567</v>
      </c>
      <c r="V57" s="55"/>
      <c r="W57" s="55">
        <f t="shared" si="13"/>
        <v>0</v>
      </c>
      <c r="X57" s="55"/>
      <c r="Y57" s="101" t="s">
        <v>51</v>
      </c>
      <c r="Z57" s="55"/>
      <c r="AA57" s="55">
        <v>1064909</v>
      </c>
      <c r="AB57" s="51"/>
      <c r="AC57" s="55">
        <f>1136629-279827</f>
        <v>856802</v>
      </c>
      <c r="AD57" s="51"/>
      <c r="AE57" s="55">
        <v>279827</v>
      </c>
      <c r="AF57" s="51"/>
      <c r="AG57" s="56">
        <f t="shared" si="14"/>
        <v>-71720</v>
      </c>
      <c r="AH57" s="56"/>
      <c r="AI57" s="55">
        <v>388057</v>
      </c>
      <c r="AJ57" s="56"/>
      <c r="AK57" s="55">
        <v>0</v>
      </c>
      <c r="AL57" s="51"/>
      <c r="AM57" s="55">
        <v>0</v>
      </c>
      <c r="AN57" s="51"/>
      <c r="AO57" s="55">
        <v>0</v>
      </c>
      <c r="AP57" s="51"/>
      <c r="AQ57" s="56">
        <f t="shared" si="15"/>
        <v>316337</v>
      </c>
      <c r="AR57" s="56"/>
      <c r="AS57" s="51">
        <v>0</v>
      </c>
      <c r="AT57" s="51"/>
      <c r="AU57" s="51">
        <v>0</v>
      </c>
      <c r="AV57" s="51"/>
      <c r="AW57" s="51">
        <f t="shared" si="16"/>
        <v>-231999</v>
      </c>
      <c r="AX57" s="51"/>
      <c r="AY57" s="101" t="s">
        <v>51</v>
      </c>
      <c r="AZ57" s="51"/>
      <c r="BA57" s="55">
        <v>0</v>
      </c>
      <c r="BB57" s="51"/>
      <c r="BC57" s="55">
        <v>0</v>
      </c>
      <c r="BD57" s="51"/>
      <c r="BE57" s="55">
        <v>1086936</v>
      </c>
      <c r="BF57" s="51"/>
      <c r="BG57" s="55">
        <v>52570</v>
      </c>
      <c r="BH57" s="51"/>
      <c r="BI57" s="51"/>
      <c r="BJ57" s="51"/>
      <c r="BK57" s="51">
        <f t="shared" si="17"/>
        <v>1139506</v>
      </c>
      <c r="BL57" s="1"/>
    </row>
    <row r="58" spans="1:64" ht="12.75">
      <c r="A58" s="44" t="s">
        <v>190</v>
      </c>
      <c r="B58" s="44"/>
      <c r="C58" s="55">
        <f t="shared" si="9"/>
        <v>5049000</v>
      </c>
      <c r="D58" s="55"/>
      <c r="E58" s="55">
        <v>39524000</v>
      </c>
      <c r="F58" s="55"/>
      <c r="G58" s="55">
        <v>44573000</v>
      </c>
      <c r="H58" s="55"/>
      <c r="I58" s="55">
        <f t="shared" si="10"/>
        <v>1333000</v>
      </c>
      <c r="J58" s="55"/>
      <c r="K58" s="55">
        <f t="shared" si="11"/>
        <v>1982000</v>
      </c>
      <c r="L58" s="55"/>
      <c r="M58" s="55">
        <v>3315000</v>
      </c>
      <c r="N58" s="55"/>
      <c r="O58" s="55">
        <v>36219000</v>
      </c>
      <c r="P58" s="55"/>
      <c r="Q58" s="55">
        <v>0</v>
      </c>
      <c r="R58" s="55"/>
      <c r="S58" s="55">
        <v>5039000</v>
      </c>
      <c r="T58" s="55"/>
      <c r="U58" s="55">
        <f t="shared" si="12"/>
        <v>41258000</v>
      </c>
      <c r="V58" s="55"/>
      <c r="W58" s="55">
        <f t="shared" si="13"/>
        <v>0</v>
      </c>
      <c r="X58" s="55"/>
      <c r="Y58" s="101" t="s">
        <v>190</v>
      </c>
      <c r="Z58" s="55"/>
      <c r="AA58" s="55">
        <v>1940000</v>
      </c>
      <c r="AB58" s="51"/>
      <c r="AC58" s="55">
        <f>2738000-1640000</f>
        <v>1098000</v>
      </c>
      <c r="AD58" s="51"/>
      <c r="AE58" s="55">
        <v>1640000</v>
      </c>
      <c r="AF58" s="51"/>
      <c r="AG58" s="56">
        <f t="shared" si="14"/>
        <v>-798000</v>
      </c>
      <c r="AH58" s="56"/>
      <c r="AI58" s="55">
        <v>-147000</v>
      </c>
      <c r="AJ58" s="56"/>
      <c r="AK58" s="55">
        <v>0</v>
      </c>
      <c r="AL58" s="51"/>
      <c r="AM58" s="55">
        <v>0</v>
      </c>
      <c r="AN58" s="51"/>
      <c r="AO58" s="55">
        <v>3722000</v>
      </c>
      <c r="AP58" s="51"/>
      <c r="AQ58" s="56">
        <f t="shared" si="15"/>
        <v>2777000</v>
      </c>
      <c r="AR58" s="56"/>
      <c r="AS58" s="51">
        <v>0</v>
      </c>
      <c r="AT58" s="51"/>
      <c r="AU58" s="51">
        <v>0</v>
      </c>
      <c r="AV58" s="51"/>
      <c r="AW58" s="51">
        <f t="shared" si="16"/>
        <v>3716000</v>
      </c>
      <c r="AX58" s="51"/>
      <c r="AY58" s="101" t="s">
        <v>190</v>
      </c>
      <c r="AZ58" s="51"/>
      <c r="BA58" s="55">
        <v>0</v>
      </c>
      <c r="BB58" s="51"/>
      <c r="BC58" s="55">
        <v>0</v>
      </c>
      <c r="BD58" s="51"/>
      <c r="BE58" s="55">
        <v>0</v>
      </c>
      <c r="BF58" s="51"/>
      <c r="BG58" s="55">
        <v>1982000</v>
      </c>
      <c r="BH58" s="51"/>
      <c r="BI58" s="51"/>
      <c r="BJ58" s="51"/>
      <c r="BK58" s="51">
        <f t="shared" si="17"/>
        <v>1982000</v>
      </c>
      <c r="BL58" s="66"/>
    </row>
    <row r="59" spans="1:64" ht="12.75" hidden="1">
      <c r="A59" s="44" t="s">
        <v>52</v>
      </c>
      <c r="B59" s="44"/>
      <c r="C59" s="55">
        <f t="shared" si="9"/>
        <v>0</v>
      </c>
      <c r="D59" s="55"/>
      <c r="E59" s="55">
        <v>0</v>
      </c>
      <c r="F59" s="55"/>
      <c r="G59" s="55">
        <v>0</v>
      </c>
      <c r="H59" s="55"/>
      <c r="I59" s="55">
        <f t="shared" si="10"/>
        <v>0</v>
      </c>
      <c r="J59" s="55"/>
      <c r="K59" s="55">
        <f t="shared" si="11"/>
        <v>0</v>
      </c>
      <c r="L59" s="55"/>
      <c r="M59" s="55">
        <v>0</v>
      </c>
      <c r="N59" s="55"/>
      <c r="O59" s="55">
        <v>0</v>
      </c>
      <c r="P59" s="55"/>
      <c r="Q59" s="55">
        <v>0</v>
      </c>
      <c r="R59" s="55"/>
      <c r="S59" s="55">
        <v>0</v>
      </c>
      <c r="T59" s="55"/>
      <c r="U59" s="55">
        <f t="shared" si="12"/>
        <v>0</v>
      </c>
      <c r="V59" s="55"/>
      <c r="W59" s="55">
        <f t="shared" si="13"/>
        <v>0</v>
      </c>
      <c r="X59" s="55"/>
      <c r="Y59" s="101" t="s">
        <v>52</v>
      </c>
      <c r="Z59" s="55"/>
      <c r="AA59" s="55">
        <v>0</v>
      </c>
      <c r="AB59" s="51"/>
      <c r="AC59" s="55">
        <v>0</v>
      </c>
      <c r="AD59" s="51"/>
      <c r="AE59" s="55">
        <v>0</v>
      </c>
      <c r="AF59" s="51"/>
      <c r="AG59" s="56">
        <f t="shared" si="14"/>
        <v>0</v>
      </c>
      <c r="AH59" s="56"/>
      <c r="AI59" s="55">
        <v>0</v>
      </c>
      <c r="AJ59" s="56"/>
      <c r="AK59" s="55">
        <v>0</v>
      </c>
      <c r="AL59" s="51"/>
      <c r="AM59" s="55">
        <v>0</v>
      </c>
      <c r="AN59" s="51"/>
      <c r="AO59" s="55">
        <v>0</v>
      </c>
      <c r="AP59" s="51"/>
      <c r="AQ59" s="56">
        <f t="shared" si="15"/>
        <v>0</v>
      </c>
      <c r="AR59" s="56"/>
      <c r="AS59" s="51">
        <v>0</v>
      </c>
      <c r="AT59" s="51"/>
      <c r="AU59" s="51">
        <v>0</v>
      </c>
      <c r="AV59" s="51"/>
      <c r="AW59" s="51">
        <f t="shared" si="16"/>
        <v>0</v>
      </c>
      <c r="AX59" s="51"/>
      <c r="AY59" s="101" t="s">
        <v>52</v>
      </c>
      <c r="AZ59" s="51"/>
      <c r="BA59" s="55">
        <v>0</v>
      </c>
      <c r="BB59" s="51"/>
      <c r="BC59" s="55">
        <v>0</v>
      </c>
      <c r="BD59" s="51"/>
      <c r="BE59" s="55">
        <v>0</v>
      </c>
      <c r="BF59" s="51"/>
      <c r="BG59" s="55">
        <v>0</v>
      </c>
      <c r="BH59" s="51"/>
      <c r="BI59" s="51"/>
      <c r="BJ59" s="51"/>
      <c r="BK59" s="51">
        <f t="shared" si="17"/>
        <v>0</v>
      </c>
      <c r="BL59" s="1"/>
    </row>
    <row r="60" spans="1:64" s="179" customFormat="1" ht="12.75" hidden="1">
      <c r="A60" s="176" t="s">
        <v>53</v>
      </c>
      <c r="B60" s="176"/>
      <c r="C60" s="173">
        <f t="shared" si="9"/>
        <v>0</v>
      </c>
      <c r="D60" s="173"/>
      <c r="E60" s="173">
        <v>0</v>
      </c>
      <c r="F60" s="173"/>
      <c r="G60" s="173">
        <v>0</v>
      </c>
      <c r="H60" s="173"/>
      <c r="I60" s="173">
        <f t="shared" si="10"/>
        <v>0</v>
      </c>
      <c r="J60" s="173"/>
      <c r="K60" s="173">
        <f t="shared" si="11"/>
        <v>0</v>
      </c>
      <c r="L60" s="173"/>
      <c r="M60" s="173">
        <v>0</v>
      </c>
      <c r="N60" s="173"/>
      <c r="O60" s="173">
        <v>0</v>
      </c>
      <c r="P60" s="173"/>
      <c r="Q60" s="173">
        <v>0</v>
      </c>
      <c r="R60" s="173"/>
      <c r="S60" s="173">
        <v>0</v>
      </c>
      <c r="T60" s="173"/>
      <c r="U60" s="173">
        <f t="shared" si="12"/>
        <v>0</v>
      </c>
      <c r="V60" s="173"/>
      <c r="W60" s="173">
        <f t="shared" si="13"/>
        <v>0</v>
      </c>
      <c r="X60" s="173"/>
      <c r="Y60" s="177" t="s">
        <v>53</v>
      </c>
      <c r="Z60" s="173"/>
      <c r="AA60" s="173">
        <v>0</v>
      </c>
      <c r="AB60" s="174"/>
      <c r="AC60" s="173">
        <v>0</v>
      </c>
      <c r="AD60" s="174"/>
      <c r="AE60" s="173">
        <v>0</v>
      </c>
      <c r="AF60" s="174"/>
      <c r="AG60" s="161">
        <f t="shared" si="14"/>
        <v>0</v>
      </c>
      <c r="AH60" s="161"/>
      <c r="AI60" s="173">
        <v>0</v>
      </c>
      <c r="AJ60" s="161"/>
      <c r="AK60" s="173">
        <v>0</v>
      </c>
      <c r="AL60" s="174"/>
      <c r="AM60" s="173">
        <v>0</v>
      </c>
      <c r="AN60" s="174"/>
      <c r="AO60" s="173">
        <v>0</v>
      </c>
      <c r="AP60" s="174"/>
      <c r="AQ60" s="161">
        <f t="shared" si="15"/>
        <v>0</v>
      </c>
      <c r="AR60" s="161"/>
      <c r="AS60" s="174">
        <v>0</v>
      </c>
      <c r="AT60" s="174"/>
      <c r="AU60" s="174">
        <v>0</v>
      </c>
      <c r="AV60" s="174"/>
      <c r="AW60" s="174">
        <f t="shared" si="16"/>
        <v>0</v>
      </c>
      <c r="AX60" s="174"/>
      <c r="AY60" s="177" t="s">
        <v>53</v>
      </c>
      <c r="AZ60" s="174"/>
      <c r="BA60" s="173">
        <v>0</v>
      </c>
      <c r="BB60" s="174"/>
      <c r="BC60" s="173">
        <v>0</v>
      </c>
      <c r="BD60" s="174"/>
      <c r="BE60" s="173">
        <v>0</v>
      </c>
      <c r="BF60" s="174"/>
      <c r="BG60" s="173">
        <v>0</v>
      </c>
      <c r="BH60" s="174"/>
      <c r="BI60" s="174"/>
      <c r="BJ60" s="174"/>
      <c r="BK60" s="174">
        <f t="shared" si="17"/>
        <v>0</v>
      </c>
      <c r="BL60" s="178"/>
    </row>
    <row r="61" spans="1:64" ht="12.75">
      <c r="A61" s="44" t="s">
        <v>54</v>
      </c>
      <c r="B61" s="44"/>
      <c r="C61" s="55">
        <f t="shared" si="9"/>
        <v>2319541</v>
      </c>
      <c r="D61" s="55"/>
      <c r="E61" s="55">
        <v>8985844</v>
      </c>
      <c r="F61" s="55"/>
      <c r="G61" s="55">
        <v>11305385</v>
      </c>
      <c r="H61" s="55"/>
      <c r="I61" s="55">
        <f t="shared" si="10"/>
        <v>175546</v>
      </c>
      <c r="J61" s="55"/>
      <c r="K61" s="55">
        <f t="shared" si="11"/>
        <v>2857046</v>
      </c>
      <c r="L61" s="55"/>
      <c r="M61" s="55">
        <v>3032592</v>
      </c>
      <c r="N61" s="55"/>
      <c r="O61" s="55">
        <v>6067334</v>
      </c>
      <c r="P61" s="55"/>
      <c r="Q61" s="55">
        <v>0</v>
      </c>
      <c r="R61" s="55"/>
      <c r="S61" s="55">
        <v>2205459</v>
      </c>
      <c r="T61" s="55"/>
      <c r="U61" s="55">
        <f t="shared" si="12"/>
        <v>8272793</v>
      </c>
      <c r="V61" s="55"/>
      <c r="W61" s="55">
        <f t="shared" si="13"/>
        <v>0</v>
      </c>
      <c r="X61" s="55"/>
      <c r="Y61" s="101" t="s">
        <v>54</v>
      </c>
      <c r="Z61" s="55"/>
      <c r="AA61" s="55">
        <v>1078463</v>
      </c>
      <c r="AB61" s="51"/>
      <c r="AC61" s="55">
        <f>1106138-333600</f>
        <v>772538</v>
      </c>
      <c r="AD61" s="51"/>
      <c r="AE61" s="55">
        <v>333600</v>
      </c>
      <c r="AF61" s="51"/>
      <c r="AG61" s="56">
        <f t="shared" si="14"/>
        <v>-27675</v>
      </c>
      <c r="AH61" s="56"/>
      <c r="AI61" s="55">
        <v>-96110</v>
      </c>
      <c r="AJ61" s="56"/>
      <c r="AK61" s="55">
        <v>0</v>
      </c>
      <c r="AL61" s="51"/>
      <c r="AM61" s="55">
        <v>0</v>
      </c>
      <c r="AN61" s="51"/>
      <c r="AO61" s="55">
        <v>135356</v>
      </c>
      <c r="AP61" s="51"/>
      <c r="AQ61" s="56">
        <f t="shared" si="15"/>
        <v>11571</v>
      </c>
      <c r="AR61" s="56"/>
      <c r="AS61" s="51">
        <v>0</v>
      </c>
      <c r="AT61" s="51"/>
      <c r="AU61" s="51">
        <v>0</v>
      </c>
      <c r="AV61" s="51"/>
      <c r="AW61" s="51">
        <f t="shared" si="16"/>
        <v>2143995</v>
      </c>
      <c r="AX61" s="51"/>
      <c r="AY61" s="101" t="s">
        <v>54</v>
      </c>
      <c r="AZ61" s="51"/>
      <c r="BA61" s="55">
        <v>2405000</v>
      </c>
      <c r="BB61" s="51"/>
      <c r="BC61" s="55">
        <v>0</v>
      </c>
      <c r="BD61" s="51"/>
      <c r="BE61" s="55">
        <v>441102</v>
      </c>
      <c r="BF61" s="51"/>
      <c r="BG61" s="55">
        <v>10944</v>
      </c>
      <c r="BH61" s="51"/>
      <c r="BI61" s="51"/>
      <c r="BJ61" s="51"/>
      <c r="BK61" s="51">
        <f t="shared" si="17"/>
        <v>2857046</v>
      </c>
      <c r="BL61" s="67"/>
    </row>
    <row r="62" spans="1:64" ht="12.75">
      <c r="A62" s="44" t="s">
        <v>55</v>
      </c>
      <c r="B62" s="44"/>
      <c r="C62" s="55">
        <f t="shared" si="9"/>
        <v>14997907</v>
      </c>
      <c r="D62" s="55"/>
      <c r="E62" s="55">
        <v>149982956</v>
      </c>
      <c r="F62" s="55"/>
      <c r="G62" s="55">
        <v>164980863</v>
      </c>
      <c r="H62" s="55"/>
      <c r="I62" s="55">
        <f t="shared" si="10"/>
        <v>4332195</v>
      </c>
      <c r="J62" s="55"/>
      <c r="K62" s="55">
        <f t="shared" si="11"/>
        <v>47511189</v>
      </c>
      <c r="L62" s="55"/>
      <c r="M62" s="55">
        <v>51843384</v>
      </c>
      <c r="N62" s="55"/>
      <c r="O62" s="55">
        <v>100374994</v>
      </c>
      <c r="P62" s="55"/>
      <c r="Q62" s="55">
        <v>0</v>
      </c>
      <c r="R62" s="55"/>
      <c r="S62" s="55">
        <v>12762485</v>
      </c>
      <c r="T62" s="55"/>
      <c r="U62" s="55">
        <f t="shared" si="12"/>
        <v>113137479</v>
      </c>
      <c r="V62" s="55"/>
      <c r="W62" s="55">
        <f t="shared" si="13"/>
        <v>0</v>
      </c>
      <c r="X62" s="55"/>
      <c r="Y62" s="101" t="s">
        <v>55</v>
      </c>
      <c r="Z62" s="55"/>
      <c r="AA62" s="55">
        <v>11530757</v>
      </c>
      <c r="AB62" s="51"/>
      <c r="AC62" s="55">
        <f>14179930-3660260</f>
        <v>10519670</v>
      </c>
      <c r="AD62" s="51"/>
      <c r="AE62" s="55">
        <v>3660260</v>
      </c>
      <c r="AF62" s="51"/>
      <c r="AG62" s="56">
        <f t="shared" si="14"/>
        <v>-2649173</v>
      </c>
      <c r="AH62" s="56"/>
      <c r="AI62" s="55">
        <v>-1822257</v>
      </c>
      <c r="AJ62" s="56"/>
      <c r="AK62" s="55">
        <v>0</v>
      </c>
      <c r="AL62" s="51"/>
      <c r="AM62" s="55">
        <v>54525</v>
      </c>
      <c r="AN62" s="51"/>
      <c r="AO62" s="55">
        <v>7026055</v>
      </c>
      <c r="AP62" s="51"/>
      <c r="AQ62" s="56">
        <f t="shared" si="15"/>
        <v>2500100</v>
      </c>
      <c r="AR62" s="56"/>
      <c r="AS62" s="51">
        <v>0</v>
      </c>
      <c r="AT62" s="51"/>
      <c r="AU62" s="51">
        <v>0</v>
      </c>
      <c r="AV62" s="51"/>
      <c r="AW62" s="51">
        <f t="shared" si="16"/>
        <v>10665712</v>
      </c>
      <c r="AX62" s="51"/>
      <c r="AY62" s="101" t="s">
        <v>55</v>
      </c>
      <c r="AZ62" s="51"/>
      <c r="BA62" s="55">
        <v>0</v>
      </c>
      <c r="BB62" s="51"/>
      <c r="BC62" s="55">
        <v>0</v>
      </c>
      <c r="BD62" s="51"/>
      <c r="BE62" s="55">
        <v>47054972</v>
      </c>
      <c r="BF62" s="51"/>
      <c r="BG62" s="55">
        <v>456217</v>
      </c>
      <c r="BH62" s="51"/>
      <c r="BI62" s="51"/>
      <c r="BJ62" s="51"/>
      <c r="BK62" s="51">
        <f t="shared" si="17"/>
        <v>47511189</v>
      </c>
      <c r="BL62" s="67"/>
    </row>
    <row r="63" spans="1:65" ht="12.75" hidden="1">
      <c r="A63" s="32" t="s">
        <v>175</v>
      </c>
      <c r="B63" s="32"/>
      <c r="C63" s="55">
        <f t="shared" si="9"/>
        <v>0</v>
      </c>
      <c r="D63" s="55"/>
      <c r="E63" s="55">
        <v>0</v>
      </c>
      <c r="F63" s="55"/>
      <c r="G63" s="55">
        <v>0</v>
      </c>
      <c r="H63" s="55"/>
      <c r="I63" s="55">
        <f t="shared" si="10"/>
        <v>0</v>
      </c>
      <c r="J63" s="55"/>
      <c r="K63" s="55">
        <f t="shared" si="11"/>
        <v>0</v>
      </c>
      <c r="L63" s="55"/>
      <c r="M63" s="55">
        <v>0</v>
      </c>
      <c r="N63" s="55"/>
      <c r="O63" s="55">
        <v>0</v>
      </c>
      <c r="P63" s="55"/>
      <c r="Q63" s="55">
        <v>0</v>
      </c>
      <c r="R63" s="55"/>
      <c r="S63" s="55">
        <v>0</v>
      </c>
      <c r="T63" s="55"/>
      <c r="U63" s="55">
        <f t="shared" si="12"/>
        <v>0</v>
      </c>
      <c r="V63" s="55"/>
      <c r="W63" s="55">
        <f t="shared" si="13"/>
        <v>0</v>
      </c>
      <c r="X63" s="55"/>
      <c r="Y63" s="23" t="s">
        <v>175</v>
      </c>
      <c r="Z63" s="55"/>
      <c r="AA63" s="55">
        <v>0</v>
      </c>
      <c r="AB63" s="51"/>
      <c r="AC63" s="55">
        <v>0</v>
      </c>
      <c r="AD63" s="51"/>
      <c r="AE63" s="55">
        <v>0</v>
      </c>
      <c r="AF63" s="51"/>
      <c r="AG63" s="56">
        <f t="shared" si="14"/>
        <v>0</v>
      </c>
      <c r="AH63" s="56"/>
      <c r="AI63" s="55">
        <v>0</v>
      </c>
      <c r="AJ63" s="56"/>
      <c r="AK63" s="55">
        <v>0</v>
      </c>
      <c r="AL63" s="51"/>
      <c r="AM63" s="55">
        <v>0</v>
      </c>
      <c r="AN63" s="51"/>
      <c r="AO63" s="55">
        <v>0</v>
      </c>
      <c r="AP63" s="51"/>
      <c r="AQ63" s="56">
        <f t="shared" si="15"/>
        <v>0</v>
      </c>
      <c r="AR63" s="56"/>
      <c r="AS63" s="51">
        <v>0</v>
      </c>
      <c r="AT63" s="51"/>
      <c r="AU63" s="51">
        <v>0</v>
      </c>
      <c r="AV63" s="51"/>
      <c r="AW63" s="51">
        <f t="shared" si="16"/>
        <v>0</v>
      </c>
      <c r="AX63" s="55"/>
      <c r="AY63" s="23" t="s">
        <v>175</v>
      </c>
      <c r="AZ63" s="55"/>
      <c r="BA63" s="55">
        <v>0</v>
      </c>
      <c r="BB63" s="51"/>
      <c r="BC63" s="55">
        <v>0</v>
      </c>
      <c r="BD63" s="51"/>
      <c r="BE63" s="55">
        <v>0</v>
      </c>
      <c r="BF63" s="51"/>
      <c r="BG63" s="55">
        <v>0</v>
      </c>
      <c r="BH63" s="51"/>
      <c r="BI63" s="51"/>
      <c r="BJ63" s="51"/>
      <c r="BK63" s="51">
        <f t="shared" si="17"/>
        <v>0</v>
      </c>
      <c r="BL63" s="66"/>
      <c r="BM63" s="1"/>
    </row>
    <row r="64" spans="1:64" ht="12.75" hidden="1">
      <c r="A64" s="44" t="s">
        <v>56</v>
      </c>
      <c r="B64" s="44"/>
      <c r="C64" s="55">
        <f t="shared" si="9"/>
        <v>0</v>
      </c>
      <c r="D64" s="55"/>
      <c r="E64" s="55">
        <v>0</v>
      </c>
      <c r="F64" s="55"/>
      <c r="G64" s="55">
        <v>0</v>
      </c>
      <c r="H64" s="55"/>
      <c r="I64" s="55">
        <f t="shared" si="10"/>
        <v>0</v>
      </c>
      <c r="J64" s="55"/>
      <c r="K64" s="55">
        <f t="shared" si="11"/>
        <v>0</v>
      </c>
      <c r="L64" s="55"/>
      <c r="M64" s="55">
        <v>0</v>
      </c>
      <c r="N64" s="55"/>
      <c r="O64" s="55">
        <v>0</v>
      </c>
      <c r="P64" s="55"/>
      <c r="Q64" s="55">
        <v>0</v>
      </c>
      <c r="R64" s="55"/>
      <c r="S64" s="55">
        <v>0</v>
      </c>
      <c r="T64" s="55"/>
      <c r="U64" s="55">
        <f t="shared" si="12"/>
        <v>0</v>
      </c>
      <c r="V64" s="55"/>
      <c r="W64" s="55">
        <f t="shared" si="13"/>
        <v>0</v>
      </c>
      <c r="X64" s="55"/>
      <c r="Y64" s="101" t="s">
        <v>56</v>
      </c>
      <c r="Z64" s="55"/>
      <c r="AA64" s="55">
        <v>0</v>
      </c>
      <c r="AB64" s="51"/>
      <c r="AC64" s="55">
        <v>0</v>
      </c>
      <c r="AD64" s="51"/>
      <c r="AE64" s="55">
        <v>0</v>
      </c>
      <c r="AF64" s="51"/>
      <c r="AG64" s="56">
        <f t="shared" si="14"/>
        <v>0</v>
      </c>
      <c r="AH64" s="56"/>
      <c r="AI64" s="55">
        <v>0</v>
      </c>
      <c r="AJ64" s="56"/>
      <c r="AK64" s="55">
        <v>0</v>
      </c>
      <c r="AL64" s="51"/>
      <c r="AM64" s="55">
        <v>0</v>
      </c>
      <c r="AN64" s="51"/>
      <c r="AO64" s="55">
        <v>0</v>
      </c>
      <c r="AP64" s="51"/>
      <c r="AQ64" s="56">
        <f t="shared" si="15"/>
        <v>0</v>
      </c>
      <c r="AR64" s="56"/>
      <c r="AS64" s="51">
        <v>0</v>
      </c>
      <c r="AT64" s="51"/>
      <c r="AU64" s="51">
        <v>0</v>
      </c>
      <c r="AV64" s="51"/>
      <c r="AW64" s="51">
        <f t="shared" si="16"/>
        <v>0</v>
      </c>
      <c r="AX64" s="51"/>
      <c r="AY64" s="101" t="s">
        <v>56</v>
      </c>
      <c r="AZ64" s="51"/>
      <c r="BA64" s="55">
        <v>0</v>
      </c>
      <c r="BB64" s="51"/>
      <c r="BC64" s="55">
        <v>0</v>
      </c>
      <c r="BD64" s="51"/>
      <c r="BE64" s="55">
        <v>0</v>
      </c>
      <c r="BF64" s="51"/>
      <c r="BG64" s="55">
        <v>0</v>
      </c>
      <c r="BH64" s="51"/>
      <c r="BI64" s="51"/>
      <c r="BJ64" s="51"/>
      <c r="BK64" s="51">
        <f t="shared" si="17"/>
        <v>0</v>
      </c>
      <c r="BL64" s="1"/>
    </row>
    <row r="65" spans="1:64" ht="12.75">
      <c r="A65" s="44" t="s">
        <v>57</v>
      </c>
      <c r="B65" s="44"/>
      <c r="C65" s="55">
        <f t="shared" si="9"/>
        <v>1179766</v>
      </c>
      <c r="D65" s="55"/>
      <c r="E65" s="55">
        <v>6385211</v>
      </c>
      <c r="F65" s="55"/>
      <c r="G65" s="55">
        <v>7564977</v>
      </c>
      <c r="H65" s="55"/>
      <c r="I65" s="55">
        <f t="shared" si="10"/>
        <v>1650170</v>
      </c>
      <c r="J65" s="55"/>
      <c r="K65" s="55">
        <f t="shared" si="11"/>
        <v>3465004</v>
      </c>
      <c r="L65" s="55"/>
      <c r="M65" s="55">
        <v>5115174</v>
      </c>
      <c r="N65" s="55"/>
      <c r="O65" s="55">
        <v>1487728</v>
      </c>
      <c r="P65" s="55"/>
      <c r="Q65" s="55">
        <v>0</v>
      </c>
      <c r="R65" s="55"/>
      <c r="S65" s="55">
        <v>962075</v>
      </c>
      <c r="T65" s="55"/>
      <c r="U65" s="55">
        <f t="shared" si="12"/>
        <v>2449803</v>
      </c>
      <c r="V65" s="55"/>
      <c r="W65" s="55">
        <f t="shared" si="13"/>
        <v>0</v>
      </c>
      <c r="X65" s="55"/>
      <c r="Y65" s="101" t="s">
        <v>57</v>
      </c>
      <c r="Z65" s="55"/>
      <c r="AA65" s="55">
        <v>1308466</v>
      </c>
      <c r="AB65" s="51"/>
      <c r="AC65" s="55">
        <f>1373986-178865</f>
        <v>1195121</v>
      </c>
      <c r="AD65" s="51"/>
      <c r="AE65" s="55">
        <v>178865</v>
      </c>
      <c r="AF65" s="51"/>
      <c r="AG65" s="56">
        <f t="shared" si="14"/>
        <v>-65520</v>
      </c>
      <c r="AH65" s="56"/>
      <c r="AI65" s="55">
        <v>118578</v>
      </c>
      <c r="AJ65" s="56"/>
      <c r="AK65" s="55">
        <v>0</v>
      </c>
      <c r="AL65" s="51"/>
      <c r="AM65" s="55">
        <v>0</v>
      </c>
      <c r="AN65" s="51"/>
      <c r="AO65" s="55">
        <v>0</v>
      </c>
      <c r="AP65" s="51"/>
      <c r="AQ65" s="56">
        <f t="shared" si="15"/>
        <v>53058</v>
      </c>
      <c r="AR65" s="56"/>
      <c r="AS65" s="51">
        <v>0</v>
      </c>
      <c r="AT65" s="51"/>
      <c r="AU65" s="51">
        <v>0</v>
      </c>
      <c r="AV65" s="51"/>
      <c r="AW65" s="51">
        <f t="shared" si="16"/>
        <v>-470404</v>
      </c>
      <c r="AX65" s="51"/>
      <c r="AY65" s="101" t="s">
        <v>57</v>
      </c>
      <c r="AZ65" s="51"/>
      <c r="BA65" s="55">
        <v>3297319</v>
      </c>
      <c r="BB65" s="51"/>
      <c r="BC65" s="55">
        <v>0</v>
      </c>
      <c r="BD65" s="51"/>
      <c r="BE65" s="55">
        <v>156800</v>
      </c>
      <c r="BF65" s="51"/>
      <c r="BG65" s="55">
        <v>10885</v>
      </c>
      <c r="BH65" s="51"/>
      <c r="BI65" s="51"/>
      <c r="BJ65" s="51"/>
      <c r="BK65" s="51">
        <f t="shared" si="17"/>
        <v>3465004</v>
      </c>
      <c r="BL65" s="67"/>
    </row>
    <row r="66" spans="1:64" ht="12.75" hidden="1">
      <c r="A66" s="44" t="s">
        <v>58</v>
      </c>
      <c r="B66" s="44"/>
      <c r="C66" s="55">
        <f t="shared" si="9"/>
        <v>0</v>
      </c>
      <c r="D66" s="55"/>
      <c r="E66" s="55">
        <v>0</v>
      </c>
      <c r="F66" s="55"/>
      <c r="G66" s="55">
        <v>0</v>
      </c>
      <c r="H66" s="55"/>
      <c r="I66" s="55">
        <f t="shared" si="10"/>
        <v>0</v>
      </c>
      <c r="J66" s="55"/>
      <c r="K66" s="55">
        <f t="shared" si="11"/>
        <v>0</v>
      </c>
      <c r="L66" s="55"/>
      <c r="M66" s="55">
        <v>0</v>
      </c>
      <c r="N66" s="55"/>
      <c r="O66" s="55">
        <v>0</v>
      </c>
      <c r="P66" s="55"/>
      <c r="Q66" s="55">
        <v>0</v>
      </c>
      <c r="R66" s="55"/>
      <c r="S66" s="55">
        <v>0</v>
      </c>
      <c r="T66" s="55"/>
      <c r="U66" s="55">
        <f t="shared" si="12"/>
        <v>0</v>
      </c>
      <c r="V66" s="55"/>
      <c r="W66" s="55">
        <f t="shared" si="13"/>
        <v>0</v>
      </c>
      <c r="X66" s="55"/>
      <c r="Y66" s="101" t="s">
        <v>58</v>
      </c>
      <c r="Z66" s="55"/>
      <c r="AA66" s="55">
        <v>0</v>
      </c>
      <c r="AB66" s="51"/>
      <c r="AC66" s="55">
        <v>0</v>
      </c>
      <c r="AD66" s="51"/>
      <c r="AE66" s="55">
        <v>0</v>
      </c>
      <c r="AF66" s="51"/>
      <c r="AG66" s="56">
        <f t="shared" si="14"/>
        <v>0</v>
      </c>
      <c r="AH66" s="56"/>
      <c r="AI66" s="55">
        <v>0</v>
      </c>
      <c r="AJ66" s="56"/>
      <c r="AK66" s="55">
        <v>0</v>
      </c>
      <c r="AL66" s="51"/>
      <c r="AM66" s="55">
        <v>0</v>
      </c>
      <c r="AN66" s="51"/>
      <c r="AO66" s="55">
        <v>0</v>
      </c>
      <c r="AP66" s="51"/>
      <c r="AQ66" s="56">
        <f t="shared" si="15"/>
        <v>0</v>
      </c>
      <c r="AR66" s="56"/>
      <c r="AS66" s="51">
        <v>0</v>
      </c>
      <c r="AT66" s="51"/>
      <c r="AU66" s="51">
        <v>0</v>
      </c>
      <c r="AV66" s="51"/>
      <c r="AW66" s="51">
        <f t="shared" si="16"/>
        <v>0</v>
      </c>
      <c r="AX66" s="51"/>
      <c r="AY66" s="101" t="s">
        <v>58</v>
      </c>
      <c r="AZ66" s="51"/>
      <c r="BA66" s="55">
        <v>0</v>
      </c>
      <c r="BB66" s="51"/>
      <c r="BC66" s="55">
        <v>0</v>
      </c>
      <c r="BD66" s="51"/>
      <c r="BE66" s="55">
        <v>0</v>
      </c>
      <c r="BF66" s="51"/>
      <c r="BG66" s="55">
        <v>0</v>
      </c>
      <c r="BH66" s="51"/>
      <c r="BI66" s="51"/>
      <c r="BJ66" s="51"/>
      <c r="BK66" s="51">
        <f t="shared" si="17"/>
        <v>0</v>
      </c>
      <c r="BL66" s="1"/>
    </row>
    <row r="67" spans="1:64" ht="12.75">
      <c r="A67" s="44" t="s">
        <v>59</v>
      </c>
      <c r="B67" s="44"/>
      <c r="C67" s="55">
        <f t="shared" si="9"/>
        <v>43781009</v>
      </c>
      <c r="D67" s="55"/>
      <c r="E67" s="55">
        <v>221669709</v>
      </c>
      <c r="F67" s="55"/>
      <c r="G67" s="55">
        <v>265450718</v>
      </c>
      <c r="H67" s="55"/>
      <c r="I67" s="55">
        <f t="shared" si="10"/>
        <v>74382400</v>
      </c>
      <c r="J67" s="55"/>
      <c r="K67" s="55">
        <f t="shared" si="11"/>
        <v>19477021</v>
      </c>
      <c r="L67" s="55"/>
      <c r="M67" s="55">
        <v>93859421</v>
      </c>
      <c r="N67" s="55"/>
      <c r="O67" s="55">
        <v>133012615</v>
      </c>
      <c r="P67" s="55"/>
      <c r="Q67" s="55">
        <f>17092820+1082661</f>
        <v>18175481</v>
      </c>
      <c r="R67" s="55"/>
      <c r="S67" s="55">
        <v>20403201</v>
      </c>
      <c r="T67" s="55"/>
      <c r="U67" s="55">
        <f t="shared" si="12"/>
        <v>171591297</v>
      </c>
      <c r="V67" s="55"/>
      <c r="W67" s="55">
        <f t="shared" si="13"/>
        <v>0</v>
      </c>
      <c r="X67" s="55"/>
      <c r="Y67" s="101" t="s">
        <v>59</v>
      </c>
      <c r="Z67" s="55"/>
      <c r="AA67" s="55">
        <v>40903039</v>
      </c>
      <c r="AB67" s="51"/>
      <c r="AC67" s="55">
        <f>36438006-8831651</f>
        <v>27606355</v>
      </c>
      <c r="AD67" s="51"/>
      <c r="AE67" s="55">
        <v>8831651</v>
      </c>
      <c r="AF67" s="51"/>
      <c r="AG67" s="56">
        <f t="shared" si="14"/>
        <v>4465033</v>
      </c>
      <c r="AH67" s="56"/>
      <c r="AI67" s="55">
        <v>-2463656</v>
      </c>
      <c r="AJ67" s="56"/>
      <c r="AK67" s="55">
        <v>0</v>
      </c>
      <c r="AL67" s="51"/>
      <c r="AM67" s="55">
        <v>653683</v>
      </c>
      <c r="AN67" s="51"/>
      <c r="AO67" s="55">
        <v>1264282</v>
      </c>
      <c r="AP67" s="51"/>
      <c r="AQ67" s="56">
        <f t="shared" si="15"/>
        <v>2611976</v>
      </c>
      <c r="AR67" s="56"/>
      <c r="AS67" s="51">
        <v>0</v>
      </c>
      <c r="AT67" s="51"/>
      <c r="AU67" s="51">
        <v>0</v>
      </c>
      <c r="AV67" s="51"/>
      <c r="AW67" s="51">
        <f t="shared" si="16"/>
        <v>-30601391</v>
      </c>
      <c r="AX67" s="51"/>
      <c r="AY67" s="101" t="s">
        <v>59</v>
      </c>
      <c r="AZ67" s="51"/>
      <c r="BA67" s="55">
        <f>19489000-364549</f>
        <v>19124451</v>
      </c>
      <c r="BB67" s="51"/>
      <c r="BC67" s="55">
        <v>0</v>
      </c>
      <c r="BD67" s="51"/>
      <c r="BE67" s="55">
        <v>0</v>
      </c>
      <c r="BF67" s="51"/>
      <c r="BG67" s="55">
        <v>352570</v>
      </c>
      <c r="BH67" s="51"/>
      <c r="BI67" s="51"/>
      <c r="BJ67" s="51"/>
      <c r="BK67" s="51">
        <f t="shared" si="17"/>
        <v>19477021</v>
      </c>
      <c r="BL67" s="67"/>
    </row>
    <row r="68" spans="1:64" ht="12.75" hidden="1">
      <c r="A68" s="44" t="s">
        <v>60</v>
      </c>
      <c r="B68" s="44"/>
      <c r="C68" s="55">
        <f t="shared" si="9"/>
        <v>0</v>
      </c>
      <c r="D68" s="55"/>
      <c r="E68" s="55">
        <v>0</v>
      </c>
      <c r="F68" s="55"/>
      <c r="G68" s="55">
        <v>0</v>
      </c>
      <c r="H68" s="55"/>
      <c r="I68" s="55">
        <f t="shared" si="10"/>
        <v>0</v>
      </c>
      <c r="J68" s="55"/>
      <c r="K68" s="55">
        <f t="shared" si="11"/>
        <v>0</v>
      </c>
      <c r="L68" s="55"/>
      <c r="M68" s="55">
        <v>0</v>
      </c>
      <c r="N68" s="55"/>
      <c r="O68" s="55">
        <v>0</v>
      </c>
      <c r="P68" s="55"/>
      <c r="Q68" s="55">
        <v>0</v>
      </c>
      <c r="R68" s="55"/>
      <c r="S68" s="55">
        <v>0</v>
      </c>
      <c r="T68" s="55"/>
      <c r="U68" s="55">
        <f t="shared" si="12"/>
        <v>0</v>
      </c>
      <c r="V68" s="55"/>
      <c r="W68" s="55">
        <f t="shared" si="13"/>
        <v>0</v>
      </c>
      <c r="X68" s="55"/>
      <c r="Y68" s="101" t="s">
        <v>60</v>
      </c>
      <c r="Z68" s="55"/>
      <c r="AA68" s="55">
        <v>0</v>
      </c>
      <c r="AB68" s="51"/>
      <c r="AC68" s="55">
        <v>0</v>
      </c>
      <c r="AD68" s="51"/>
      <c r="AE68" s="55">
        <v>0</v>
      </c>
      <c r="AF68" s="51"/>
      <c r="AG68" s="56">
        <f t="shared" si="14"/>
        <v>0</v>
      </c>
      <c r="AH68" s="56"/>
      <c r="AI68" s="55">
        <v>0</v>
      </c>
      <c r="AJ68" s="56"/>
      <c r="AK68" s="55">
        <v>0</v>
      </c>
      <c r="AL68" s="51"/>
      <c r="AM68" s="55">
        <v>0</v>
      </c>
      <c r="AN68" s="51"/>
      <c r="AO68" s="55">
        <v>0</v>
      </c>
      <c r="AP68" s="51"/>
      <c r="AQ68" s="56">
        <f t="shared" si="15"/>
        <v>0</v>
      </c>
      <c r="AR68" s="56"/>
      <c r="AS68" s="51">
        <v>0</v>
      </c>
      <c r="AT68" s="51"/>
      <c r="AU68" s="51">
        <v>0</v>
      </c>
      <c r="AV68" s="51"/>
      <c r="AW68" s="51">
        <f t="shared" si="16"/>
        <v>0</v>
      </c>
      <c r="AX68" s="55"/>
      <c r="AY68" s="101" t="s">
        <v>60</v>
      </c>
      <c r="AZ68" s="55"/>
      <c r="BA68" s="55">
        <v>0</v>
      </c>
      <c r="BB68" s="51"/>
      <c r="BC68" s="55">
        <v>0</v>
      </c>
      <c r="BD68" s="51"/>
      <c r="BE68" s="55">
        <v>0</v>
      </c>
      <c r="BF68" s="51"/>
      <c r="BG68" s="55">
        <v>0</v>
      </c>
      <c r="BH68" s="51"/>
      <c r="BI68" s="51"/>
      <c r="BJ68" s="51"/>
      <c r="BK68" s="51">
        <f t="shared" si="17"/>
        <v>0</v>
      </c>
      <c r="BL68" s="66"/>
    </row>
    <row r="69" spans="1:64" ht="12.75" hidden="1">
      <c r="A69" s="44" t="s">
        <v>97</v>
      </c>
      <c r="B69" s="44"/>
      <c r="C69" s="55">
        <f t="shared" si="9"/>
        <v>0</v>
      </c>
      <c r="D69" s="55"/>
      <c r="E69" s="55">
        <v>0</v>
      </c>
      <c r="F69" s="55"/>
      <c r="G69" s="55">
        <v>0</v>
      </c>
      <c r="H69" s="55"/>
      <c r="I69" s="55">
        <f t="shared" si="10"/>
        <v>0</v>
      </c>
      <c r="J69" s="55"/>
      <c r="K69" s="55">
        <f t="shared" si="11"/>
        <v>0</v>
      </c>
      <c r="L69" s="55"/>
      <c r="M69" s="55">
        <v>0</v>
      </c>
      <c r="N69" s="55"/>
      <c r="O69" s="55">
        <v>0</v>
      </c>
      <c r="P69" s="55"/>
      <c r="Q69" s="55">
        <v>0</v>
      </c>
      <c r="R69" s="55"/>
      <c r="S69" s="55">
        <v>0</v>
      </c>
      <c r="T69" s="55"/>
      <c r="U69" s="55">
        <f t="shared" si="12"/>
        <v>0</v>
      </c>
      <c r="V69" s="55"/>
      <c r="W69" s="55">
        <f t="shared" si="13"/>
        <v>0</v>
      </c>
      <c r="X69" s="55"/>
      <c r="Y69" s="101" t="s">
        <v>97</v>
      </c>
      <c r="Z69" s="55"/>
      <c r="AA69" s="55">
        <v>0</v>
      </c>
      <c r="AB69" s="51"/>
      <c r="AC69" s="55">
        <v>0</v>
      </c>
      <c r="AD69" s="51"/>
      <c r="AE69" s="55">
        <v>0</v>
      </c>
      <c r="AF69" s="51"/>
      <c r="AG69" s="56">
        <f t="shared" si="14"/>
        <v>0</v>
      </c>
      <c r="AH69" s="56"/>
      <c r="AI69" s="55">
        <v>0</v>
      </c>
      <c r="AJ69" s="56"/>
      <c r="AK69" s="55">
        <v>0</v>
      </c>
      <c r="AL69" s="51"/>
      <c r="AM69" s="55">
        <v>0</v>
      </c>
      <c r="AN69" s="51"/>
      <c r="AO69" s="55">
        <v>0</v>
      </c>
      <c r="AP69" s="51"/>
      <c r="AQ69" s="56">
        <f t="shared" si="15"/>
        <v>0</v>
      </c>
      <c r="AR69" s="56"/>
      <c r="AS69" s="51">
        <v>0</v>
      </c>
      <c r="AT69" s="51"/>
      <c r="AU69" s="51">
        <v>0</v>
      </c>
      <c r="AV69" s="51"/>
      <c r="AW69" s="51">
        <f t="shared" si="16"/>
        <v>0</v>
      </c>
      <c r="AX69" s="51"/>
      <c r="AY69" s="101" t="s">
        <v>97</v>
      </c>
      <c r="AZ69" s="51"/>
      <c r="BA69" s="55">
        <v>0</v>
      </c>
      <c r="BB69" s="51"/>
      <c r="BC69" s="55">
        <v>0</v>
      </c>
      <c r="BD69" s="51"/>
      <c r="BE69" s="55">
        <v>0</v>
      </c>
      <c r="BF69" s="51"/>
      <c r="BG69" s="55">
        <v>0</v>
      </c>
      <c r="BH69" s="51"/>
      <c r="BI69" s="51"/>
      <c r="BJ69" s="51"/>
      <c r="BK69" s="51">
        <f t="shared" si="17"/>
        <v>0</v>
      </c>
      <c r="BL69" s="65"/>
    </row>
    <row r="70" spans="1:64" ht="12.75">
      <c r="A70" s="44" t="s">
        <v>61</v>
      </c>
      <c r="B70" s="44"/>
      <c r="C70" s="55">
        <f t="shared" si="9"/>
        <v>8107864</v>
      </c>
      <c r="D70" s="55"/>
      <c r="E70" s="55">
        <v>26927966</v>
      </c>
      <c r="F70" s="55"/>
      <c r="G70" s="55">
        <v>35035830</v>
      </c>
      <c r="H70" s="55"/>
      <c r="I70" s="55">
        <f t="shared" si="10"/>
        <v>6443171</v>
      </c>
      <c r="J70" s="55"/>
      <c r="K70" s="55">
        <f t="shared" si="11"/>
        <v>4716786</v>
      </c>
      <c r="L70" s="55"/>
      <c r="M70" s="55">
        <v>11159957</v>
      </c>
      <c r="N70" s="55"/>
      <c r="O70" s="55">
        <v>19766342</v>
      </c>
      <c r="P70" s="55"/>
      <c r="Q70" s="55">
        <v>0</v>
      </c>
      <c r="R70" s="55"/>
      <c r="S70" s="55">
        <v>4109531</v>
      </c>
      <c r="T70" s="55"/>
      <c r="U70" s="55">
        <f t="shared" si="12"/>
        <v>23875873</v>
      </c>
      <c r="V70" s="55"/>
      <c r="W70" s="55">
        <f t="shared" si="13"/>
        <v>0</v>
      </c>
      <c r="X70" s="55"/>
      <c r="Y70" s="101" t="s">
        <v>61</v>
      </c>
      <c r="Z70" s="55"/>
      <c r="AA70" s="55">
        <v>1985145</v>
      </c>
      <c r="AB70" s="51"/>
      <c r="AC70" s="55">
        <f>3697633-850738</f>
        <v>2846895</v>
      </c>
      <c r="AD70" s="51"/>
      <c r="AE70" s="55">
        <v>850738</v>
      </c>
      <c r="AF70" s="51"/>
      <c r="AG70" s="56">
        <f t="shared" si="14"/>
        <v>-1712488</v>
      </c>
      <c r="AH70" s="56"/>
      <c r="AI70" s="55">
        <v>-337474</v>
      </c>
      <c r="AJ70" s="56"/>
      <c r="AK70" s="55">
        <v>29279</v>
      </c>
      <c r="AL70" s="51"/>
      <c r="AM70" s="55">
        <v>44157</v>
      </c>
      <c r="AN70" s="51"/>
      <c r="AO70" s="55">
        <f>1098267+204732</f>
        <v>1302999</v>
      </c>
      <c r="AP70" s="51"/>
      <c r="AQ70" s="56">
        <f t="shared" si="15"/>
        <v>-761841</v>
      </c>
      <c r="AR70" s="56"/>
      <c r="AS70" s="51">
        <v>0</v>
      </c>
      <c r="AT70" s="51"/>
      <c r="AU70" s="51">
        <v>0</v>
      </c>
      <c r="AV70" s="51"/>
      <c r="AW70" s="51">
        <f t="shared" si="16"/>
        <v>1664693</v>
      </c>
      <c r="AX70" s="51"/>
      <c r="AY70" s="101" t="s">
        <v>61</v>
      </c>
      <c r="AZ70" s="51"/>
      <c r="BA70" s="55">
        <v>3919980</v>
      </c>
      <c r="BB70" s="51"/>
      <c r="BC70" s="55">
        <v>543700</v>
      </c>
      <c r="BD70" s="51"/>
      <c r="BE70" s="55">
        <v>242277</v>
      </c>
      <c r="BF70" s="51"/>
      <c r="BG70" s="55">
        <v>10829</v>
      </c>
      <c r="BH70" s="51"/>
      <c r="BI70" s="51"/>
      <c r="BJ70" s="51"/>
      <c r="BK70" s="51">
        <f t="shared" si="17"/>
        <v>4716786</v>
      </c>
      <c r="BL70" s="1"/>
    </row>
    <row r="71" spans="1:64" ht="12.75">
      <c r="A71" s="44" t="s">
        <v>63</v>
      </c>
      <c r="B71" s="44"/>
      <c r="C71" s="55">
        <f t="shared" si="9"/>
        <v>5919974</v>
      </c>
      <c r="D71" s="55"/>
      <c r="E71" s="55">
        <v>28645241</v>
      </c>
      <c r="F71" s="55"/>
      <c r="G71" s="55">
        <v>34565215</v>
      </c>
      <c r="H71" s="55"/>
      <c r="I71" s="55">
        <f t="shared" si="10"/>
        <v>767052</v>
      </c>
      <c r="J71" s="55"/>
      <c r="K71" s="55">
        <f t="shared" si="11"/>
        <v>10214753</v>
      </c>
      <c r="L71" s="55"/>
      <c r="M71" s="55">
        <v>10981805</v>
      </c>
      <c r="N71" s="55"/>
      <c r="O71" s="55">
        <v>18114685</v>
      </c>
      <c r="P71" s="55"/>
      <c r="Q71" s="55">
        <f>708864+840439+713088</f>
        <v>2262391</v>
      </c>
      <c r="R71" s="55"/>
      <c r="S71" s="55">
        <v>3206334</v>
      </c>
      <c r="T71" s="55"/>
      <c r="U71" s="55">
        <f t="shared" si="12"/>
        <v>23583410</v>
      </c>
      <c r="V71" s="55"/>
      <c r="W71" s="55">
        <f t="shared" si="13"/>
        <v>0</v>
      </c>
      <c r="X71" s="55"/>
      <c r="Y71" s="101" t="s">
        <v>63</v>
      </c>
      <c r="Z71" s="55"/>
      <c r="AA71" s="55">
        <v>2307897</v>
      </c>
      <c r="AB71" s="51"/>
      <c r="AC71" s="55">
        <f>2328554-929300</f>
        <v>1399254</v>
      </c>
      <c r="AD71" s="51"/>
      <c r="AE71" s="55">
        <v>929300</v>
      </c>
      <c r="AF71" s="51"/>
      <c r="AG71" s="56">
        <f t="shared" si="14"/>
        <v>-20657</v>
      </c>
      <c r="AH71" s="56"/>
      <c r="AI71" s="55">
        <v>63642</v>
      </c>
      <c r="AJ71" s="56"/>
      <c r="AK71" s="55">
        <v>211391</v>
      </c>
      <c r="AL71" s="51"/>
      <c r="AM71" s="55">
        <v>0</v>
      </c>
      <c r="AN71" s="51"/>
      <c r="AO71" s="55">
        <v>2377655</v>
      </c>
      <c r="AP71" s="51"/>
      <c r="AQ71" s="56">
        <f t="shared" si="15"/>
        <v>2632031</v>
      </c>
      <c r="AR71" s="56"/>
      <c r="AS71" s="51">
        <v>0</v>
      </c>
      <c r="AT71" s="51"/>
      <c r="AU71" s="51">
        <v>0</v>
      </c>
      <c r="AV71" s="51"/>
      <c r="AW71" s="51">
        <f t="shared" si="16"/>
        <v>5152922</v>
      </c>
      <c r="AX71" s="51"/>
      <c r="AY71" s="101" t="s">
        <v>63</v>
      </c>
      <c r="AZ71" s="51"/>
      <c r="BA71" s="55">
        <v>4365116</v>
      </c>
      <c r="BB71" s="51"/>
      <c r="BC71" s="55">
        <v>0</v>
      </c>
      <c r="BD71" s="51"/>
      <c r="BE71" s="55">
        <f>5449916+294272+87862</f>
        <v>5832050</v>
      </c>
      <c r="BF71" s="51"/>
      <c r="BG71" s="55">
        <v>17587</v>
      </c>
      <c r="BH71" s="51"/>
      <c r="BI71" s="51"/>
      <c r="BJ71" s="51"/>
      <c r="BK71" s="51">
        <f t="shared" si="17"/>
        <v>10214753</v>
      </c>
      <c r="BL71" s="1"/>
    </row>
    <row r="72" spans="1:64" ht="12.75" hidden="1">
      <c r="A72" s="44" t="s">
        <v>132</v>
      </c>
      <c r="B72" s="44"/>
      <c r="C72" s="55">
        <f t="shared" si="9"/>
        <v>0</v>
      </c>
      <c r="D72" s="55"/>
      <c r="E72" s="55">
        <v>0</v>
      </c>
      <c r="F72" s="55"/>
      <c r="G72" s="55">
        <v>0</v>
      </c>
      <c r="H72" s="55"/>
      <c r="I72" s="55">
        <f t="shared" si="10"/>
        <v>0</v>
      </c>
      <c r="J72" s="55"/>
      <c r="K72" s="55">
        <f t="shared" si="11"/>
        <v>0</v>
      </c>
      <c r="L72" s="55"/>
      <c r="M72" s="55">
        <v>0</v>
      </c>
      <c r="N72" s="55"/>
      <c r="O72" s="55">
        <v>0</v>
      </c>
      <c r="P72" s="55"/>
      <c r="Q72" s="55">
        <v>0</v>
      </c>
      <c r="R72" s="55"/>
      <c r="S72" s="55">
        <v>0</v>
      </c>
      <c r="T72" s="55"/>
      <c r="U72" s="55">
        <f t="shared" si="12"/>
        <v>0</v>
      </c>
      <c r="V72" s="55"/>
      <c r="W72" s="55">
        <f t="shared" si="13"/>
        <v>0</v>
      </c>
      <c r="X72" s="55"/>
      <c r="Y72" s="101" t="s">
        <v>132</v>
      </c>
      <c r="Z72" s="55"/>
      <c r="AA72" s="55">
        <v>0</v>
      </c>
      <c r="AB72" s="51"/>
      <c r="AC72" s="55">
        <v>0</v>
      </c>
      <c r="AD72" s="51"/>
      <c r="AE72" s="55">
        <v>0</v>
      </c>
      <c r="AF72" s="51"/>
      <c r="AG72" s="56">
        <f t="shared" si="14"/>
        <v>0</v>
      </c>
      <c r="AH72" s="56"/>
      <c r="AI72" s="55">
        <v>0</v>
      </c>
      <c r="AJ72" s="56"/>
      <c r="AK72" s="55">
        <v>0</v>
      </c>
      <c r="AL72" s="51"/>
      <c r="AM72" s="55">
        <v>0</v>
      </c>
      <c r="AN72" s="51"/>
      <c r="AO72" s="55">
        <v>0</v>
      </c>
      <c r="AP72" s="51"/>
      <c r="AQ72" s="56">
        <f t="shared" si="15"/>
        <v>0</v>
      </c>
      <c r="AR72" s="56"/>
      <c r="AS72" s="51">
        <v>0</v>
      </c>
      <c r="AT72" s="51"/>
      <c r="AU72" s="51">
        <v>0</v>
      </c>
      <c r="AV72" s="51"/>
      <c r="AW72" s="51">
        <f t="shared" si="16"/>
        <v>0</v>
      </c>
      <c r="AX72" s="55"/>
      <c r="AY72" s="101" t="s">
        <v>132</v>
      </c>
      <c r="AZ72" s="55"/>
      <c r="BA72" s="55">
        <v>0</v>
      </c>
      <c r="BB72" s="51"/>
      <c r="BC72" s="55">
        <v>0</v>
      </c>
      <c r="BD72" s="51"/>
      <c r="BE72" s="55">
        <v>0</v>
      </c>
      <c r="BF72" s="51"/>
      <c r="BG72" s="55">
        <v>0</v>
      </c>
      <c r="BH72" s="51"/>
      <c r="BI72" s="51"/>
      <c r="BJ72" s="51"/>
      <c r="BK72" s="51">
        <f t="shared" si="17"/>
        <v>0</v>
      </c>
      <c r="BL72" s="1"/>
    </row>
    <row r="73" spans="1:64" ht="12.75" hidden="1">
      <c r="A73" s="44" t="s">
        <v>64</v>
      </c>
      <c r="B73" s="44"/>
      <c r="C73" s="55">
        <f t="shared" si="9"/>
        <v>0</v>
      </c>
      <c r="D73" s="55"/>
      <c r="E73" s="55">
        <v>0</v>
      </c>
      <c r="F73" s="55"/>
      <c r="G73" s="55">
        <v>0</v>
      </c>
      <c r="H73" s="55"/>
      <c r="I73" s="55">
        <f t="shared" si="10"/>
        <v>0</v>
      </c>
      <c r="J73" s="55"/>
      <c r="K73" s="55">
        <f t="shared" si="11"/>
        <v>0</v>
      </c>
      <c r="L73" s="55"/>
      <c r="M73" s="55">
        <v>0</v>
      </c>
      <c r="N73" s="55"/>
      <c r="O73" s="55">
        <v>0</v>
      </c>
      <c r="P73" s="55"/>
      <c r="Q73" s="55">
        <v>0</v>
      </c>
      <c r="R73" s="55"/>
      <c r="S73" s="55">
        <v>0</v>
      </c>
      <c r="T73" s="55"/>
      <c r="U73" s="55">
        <f t="shared" si="12"/>
        <v>0</v>
      </c>
      <c r="V73" s="55"/>
      <c r="W73" s="55">
        <f t="shared" si="13"/>
        <v>0</v>
      </c>
      <c r="X73" s="55"/>
      <c r="Y73" s="101" t="s">
        <v>64</v>
      </c>
      <c r="Z73" s="55"/>
      <c r="AA73" s="55">
        <v>0</v>
      </c>
      <c r="AB73" s="51"/>
      <c r="AC73" s="55">
        <v>0</v>
      </c>
      <c r="AD73" s="51"/>
      <c r="AE73" s="55">
        <v>0</v>
      </c>
      <c r="AF73" s="51"/>
      <c r="AG73" s="56">
        <f t="shared" si="14"/>
        <v>0</v>
      </c>
      <c r="AH73" s="56"/>
      <c r="AI73" s="55">
        <v>0</v>
      </c>
      <c r="AJ73" s="56"/>
      <c r="AK73" s="55">
        <v>0</v>
      </c>
      <c r="AL73" s="51"/>
      <c r="AM73" s="55">
        <v>0</v>
      </c>
      <c r="AN73" s="51"/>
      <c r="AO73" s="55">
        <v>0</v>
      </c>
      <c r="AP73" s="51"/>
      <c r="AQ73" s="56">
        <f t="shared" si="15"/>
        <v>0</v>
      </c>
      <c r="AR73" s="56"/>
      <c r="AS73" s="51">
        <v>0</v>
      </c>
      <c r="AT73" s="51"/>
      <c r="AU73" s="51">
        <v>0</v>
      </c>
      <c r="AV73" s="51"/>
      <c r="AW73" s="51">
        <f t="shared" si="16"/>
        <v>0</v>
      </c>
      <c r="AX73" s="55"/>
      <c r="AY73" s="101" t="s">
        <v>64</v>
      </c>
      <c r="AZ73" s="55"/>
      <c r="BA73" s="55">
        <v>0</v>
      </c>
      <c r="BB73" s="51"/>
      <c r="BC73" s="55">
        <v>0</v>
      </c>
      <c r="BD73" s="51"/>
      <c r="BE73" s="55">
        <v>0</v>
      </c>
      <c r="BF73" s="51"/>
      <c r="BG73" s="55">
        <v>0</v>
      </c>
      <c r="BH73" s="51"/>
      <c r="BI73" s="51"/>
      <c r="BJ73" s="51"/>
      <c r="BK73" s="51">
        <f t="shared" si="17"/>
        <v>0</v>
      </c>
      <c r="BL73" s="1"/>
    </row>
    <row r="74" spans="1:64" ht="12.75">
      <c r="A74" s="44" t="s">
        <v>65</v>
      </c>
      <c r="B74" s="44"/>
      <c r="C74" s="55">
        <f t="shared" si="9"/>
        <v>119784</v>
      </c>
      <c r="D74" s="55"/>
      <c r="E74" s="55">
        <v>2079795</v>
      </c>
      <c r="F74" s="55"/>
      <c r="G74" s="55">
        <v>2199579</v>
      </c>
      <c r="H74" s="55"/>
      <c r="I74" s="55">
        <f t="shared" si="10"/>
        <v>69994</v>
      </c>
      <c r="J74" s="55"/>
      <c r="K74" s="55">
        <f t="shared" si="11"/>
        <v>1874151</v>
      </c>
      <c r="L74" s="55"/>
      <c r="M74" s="55">
        <v>1944145</v>
      </c>
      <c r="N74" s="55"/>
      <c r="O74" s="55">
        <v>164840</v>
      </c>
      <c r="P74" s="55"/>
      <c r="Q74" s="55">
        <v>0</v>
      </c>
      <c r="R74" s="55"/>
      <c r="S74" s="55">
        <v>90594</v>
      </c>
      <c r="T74" s="55"/>
      <c r="U74" s="55">
        <f t="shared" si="12"/>
        <v>255434</v>
      </c>
      <c r="V74" s="55"/>
      <c r="W74" s="55">
        <f t="shared" si="13"/>
        <v>0</v>
      </c>
      <c r="X74" s="55"/>
      <c r="Y74" s="101" t="s">
        <v>65</v>
      </c>
      <c r="Z74" s="55"/>
      <c r="AA74" s="55">
        <v>327384</v>
      </c>
      <c r="AB74" s="51"/>
      <c r="AC74" s="55">
        <f>228321-5533</f>
        <v>222788</v>
      </c>
      <c r="AD74" s="51"/>
      <c r="AE74" s="55">
        <v>5533</v>
      </c>
      <c r="AF74" s="51"/>
      <c r="AG74" s="56">
        <f t="shared" si="14"/>
        <v>99063</v>
      </c>
      <c r="AH74" s="56"/>
      <c r="AI74" s="55">
        <v>57844</v>
      </c>
      <c r="AJ74" s="56"/>
      <c r="AK74" s="55">
        <v>0</v>
      </c>
      <c r="AL74" s="51"/>
      <c r="AM74" s="55">
        <v>372</v>
      </c>
      <c r="AN74" s="51"/>
      <c r="AO74" s="55">
        <v>0</v>
      </c>
      <c r="AP74" s="51"/>
      <c r="AQ74" s="56">
        <f t="shared" si="15"/>
        <v>156535</v>
      </c>
      <c r="AR74" s="56"/>
      <c r="AS74" s="51">
        <v>0</v>
      </c>
      <c r="AT74" s="51"/>
      <c r="AU74" s="51">
        <v>0</v>
      </c>
      <c r="AV74" s="51"/>
      <c r="AW74" s="51">
        <f t="shared" si="16"/>
        <v>49790</v>
      </c>
      <c r="AX74" s="51"/>
      <c r="AY74" s="101" t="s">
        <v>65</v>
      </c>
      <c r="AZ74" s="51"/>
      <c r="BA74" s="55">
        <v>0</v>
      </c>
      <c r="BB74" s="51"/>
      <c r="BC74" s="55">
        <v>0</v>
      </c>
      <c r="BD74" s="51"/>
      <c r="BE74" s="55">
        <v>1874151</v>
      </c>
      <c r="BF74" s="51"/>
      <c r="BG74" s="55">
        <v>0</v>
      </c>
      <c r="BH74" s="51"/>
      <c r="BI74" s="51"/>
      <c r="BJ74" s="51"/>
      <c r="BK74" s="51">
        <f t="shared" si="17"/>
        <v>1874151</v>
      </c>
      <c r="BL74" s="1"/>
    </row>
    <row r="75" spans="1:64" ht="12.75">
      <c r="A75" s="44" t="s">
        <v>66</v>
      </c>
      <c r="B75" s="44"/>
      <c r="C75" s="55">
        <f t="shared" si="9"/>
        <v>489042</v>
      </c>
      <c r="D75" s="55"/>
      <c r="E75" s="55">
        <v>1775105</v>
      </c>
      <c r="F75" s="55"/>
      <c r="G75" s="55">
        <v>2264147</v>
      </c>
      <c r="H75" s="55"/>
      <c r="I75" s="55">
        <f t="shared" si="10"/>
        <v>91553</v>
      </c>
      <c r="J75" s="55"/>
      <c r="K75" s="55">
        <f t="shared" si="11"/>
        <v>17857</v>
      </c>
      <c r="L75" s="55"/>
      <c r="M75" s="55">
        <v>109410</v>
      </c>
      <c r="N75" s="55"/>
      <c r="O75" s="55">
        <v>1724955</v>
      </c>
      <c r="P75" s="55"/>
      <c r="Q75" s="55">
        <v>0</v>
      </c>
      <c r="R75" s="55"/>
      <c r="S75" s="55">
        <v>429782</v>
      </c>
      <c r="T75" s="55"/>
      <c r="U75" s="55">
        <f t="shared" si="12"/>
        <v>2154737</v>
      </c>
      <c r="V75" s="55"/>
      <c r="W75" s="55">
        <f t="shared" si="13"/>
        <v>0</v>
      </c>
      <c r="X75" s="55"/>
      <c r="Y75" s="101" t="s">
        <v>66</v>
      </c>
      <c r="Z75" s="55"/>
      <c r="AA75" s="55">
        <v>395825</v>
      </c>
      <c r="AB75" s="51"/>
      <c r="AC75" s="55">
        <f>404160-69794</f>
        <v>334366</v>
      </c>
      <c r="AD75" s="51"/>
      <c r="AE75" s="55">
        <v>69794</v>
      </c>
      <c r="AF75" s="51"/>
      <c r="AG75" s="56">
        <f t="shared" si="14"/>
        <v>-8335</v>
      </c>
      <c r="AH75" s="56"/>
      <c r="AI75" s="55">
        <v>-5760</v>
      </c>
      <c r="AJ75" s="56"/>
      <c r="AK75" s="55">
        <v>0</v>
      </c>
      <c r="AL75" s="51"/>
      <c r="AM75" s="55">
        <v>0</v>
      </c>
      <c r="AN75" s="51"/>
      <c r="AO75" s="55">
        <v>0</v>
      </c>
      <c r="AP75" s="51"/>
      <c r="AQ75" s="56">
        <f t="shared" si="15"/>
        <v>-14095</v>
      </c>
      <c r="AR75" s="56"/>
      <c r="AS75" s="51">
        <v>0</v>
      </c>
      <c r="AT75" s="51"/>
      <c r="AU75" s="51">
        <v>0</v>
      </c>
      <c r="AV75" s="51"/>
      <c r="AW75" s="51">
        <f t="shared" si="16"/>
        <v>397489</v>
      </c>
      <c r="AX75" s="51"/>
      <c r="AY75" s="101" t="s">
        <v>66</v>
      </c>
      <c r="AZ75" s="51"/>
      <c r="BA75" s="55">
        <v>0</v>
      </c>
      <c r="BB75" s="51"/>
      <c r="BC75" s="55">
        <v>0</v>
      </c>
      <c r="BD75" s="51"/>
      <c r="BE75" s="55">
        <v>0</v>
      </c>
      <c r="BF75" s="51"/>
      <c r="BG75" s="55">
        <v>17857</v>
      </c>
      <c r="BH75" s="51"/>
      <c r="BI75" s="51"/>
      <c r="BJ75" s="51"/>
      <c r="BK75" s="51">
        <f t="shared" si="17"/>
        <v>17857</v>
      </c>
      <c r="BL75" s="1"/>
    </row>
    <row r="76" spans="1:64" ht="12.75">
      <c r="A76" s="44" t="s">
        <v>67</v>
      </c>
      <c r="B76" s="44"/>
      <c r="C76" s="55">
        <f>+G76-E76</f>
        <v>12647331</v>
      </c>
      <c r="D76" s="55"/>
      <c r="E76" s="55">
        <v>43215501</v>
      </c>
      <c r="F76" s="55"/>
      <c r="G76" s="55">
        <v>55862832</v>
      </c>
      <c r="H76" s="55"/>
      <c r="I76" s="55">
        <f>M76-K76</f>
        <v>11267588</v>
      </c>
      <c r="J76" s="55"/>
      <c r="K76" s="55">
        <f>SUM(BK76)</f>
        <v>13629538</v>
      </c>
      <c r="L76" s="55"/>
      <c r="M76" s="55">
        <v>24897126</v>
      </c>
      <c r="N76" s="55"/>
      <c r="O76" s="55">
        <v>26396467</v>
      </c>
      <c r="P76" s="55"/>
      <c r="Q76" s="55">
        <v>6700000</v>
      </c>
      <c r="R76" s="55"/>
      <c r="S76" s="55">
        <v>-2130761</v>
      </c>
      <c r="T76" s="55"/>
      <c r="U76" s="55">
        <f>SUM(O76:S76)</f>
        <v>30965706</v>
      </c>
      <c r="V76" s="55"/>
      <c r="W76" s="55">
        <f t="shared" si="13"/>
        <v>0</v>
      </c>
      <c r="X76" s="55"/>
      <c r="Y76" s="101" t="s">
        <v>67</v>
      </c>
      <c r="Z76" s="55"/>
      <c r="AA76" s="55">
        <v>5992033</v>
      </c>
      <c r="AB76" s="51"/>
      <c r="AC76" s="55">
        <f>5497687-951798</f>
        <v>4545889</v>
      </c>
      <c r="AD76" s="51"/>
      <c r="AE76" s="55">
        <v>951798</v>
      </c>
      <c r="AF76" s="51"/>
      <c r="AG76" s="56">
        <f aca="true" t="shared" si="18" ref="AG76:AG96">+AA76-AC76-AE76</f>
        <v>494346</v>
      </c>
      <c r="AH76" s="56"/>
      <c r="AI76" s="55">
        <v>-573929</v>
      </c>
      <c r="AJ76" s="56"/>
      <c r="AK76" s="55">
        <v>0</v>
      </c>
      <c r="AL76" s="51"/>
      <c r="AM76" s="55">
        <v>0</v>
      </c>
      <c r="AN76" s="51"/>
      <c r="AO76" s="55">
        <v>0</v>
      </c>
      <c r="AP76" s="51"/>
      <c r="AQ76" s="56">
        <f aca="true" t="shared" si="19" ref="AQ76:AQ96">+AO76+AK76-AM76+AI76+AG76</f>
        <v>-79583</v>
      </c>
      <c r="AR76" s="56"/>
      <c r="AS76" s="51">
        <v>0</v>
      </c>
      <c r="AT76" s="51"/>
      <c r="AU76" s="51">
        <v>0</v>
      </c>
      <c r="AV76" s="51"/>
      <c r="AW76" s="51">
        <f aca="true" t="shared" si="20" ref="AW76:AW96">+C76-I76</f>
        <v>1379743</v>
      </c>
      <c r="AX76" s="51"/>
      <c r="AY76" s="101" t="s">
        <v>67</v>
      </c>
      <c r="AZ76" s="51"/>
      <c r="BA76" s="55">
        <v>0</v>
      </c>
      <c r="BB76" s="51"/>
      <c r="BC76" s="55">
        <v>4831354</v>
      </c>
      <c r="BD76" s="51"/>
      <c r="BE76" s="55">
        <f>343300+1112806+7216513</f>
        <v>8672619</v>
      </c>
      <c r="BF76" s="51"/>
      <c r="BG76" s="55">
        <v>125565</v>
      </c>
      <c r="BH76" s="51"/>
      <c r="BI76" s="51"/>
      <c r="BJ76" s="51"/>
      <c r="BK76" s="51">
        <f t="shared" si="17"/>
        <v>13629538</v>
      </c>
      <c r="BL76" s="1"/>
    </row>
    <row r="77" spans="1:64" ht="12.75">
      <c r="A77" s="44" t="s">
        <v>68</v>
      </c>
      <c r="B77" s="44"/>
      <c r="C77" s="55">
        <f aca="true" t="shared" si="21" ref="C77:C96">+G77-E77</f>
        <v>237867</v>
      </c>
      <c r="D77" s="55"/>
      <c r="E77" s="55">
        <v>968563</v>
      </c>
      <c r="F77" s="55"/>
      <c r="G77" s="55">
        <v>1206430</v>
      </c>
      <c r="H77" s="55"/>
      <c r="I77" s="55">
        <f aca="true" t="shared" si="22" ref="I77:I96">M77-K77</f>
        <v>126873</v>
      </c>
      <c r="J77" s="55"/>
      <c r="K77" s="55">
        <f aca="true" t="shared" si="23" ref="K77:K96">SUM(BK77)</f>
        <v>948718</v>
      </c>
      <c r="L77" s="55"/>
      <c r="M77" s="55">
        <v>1075591</v>
      </c>
      <c r="N77" s="55"/>
      <c r="O77" s="55">
        <v>701801</v>
      </c>
      <c r="P77" s="55"/>
      <c r="Q77" s="55">
        <v>0</v>
      </c>
      <c r="R77" s="55"/>
      <c r="S77" s="55">
        <v>-570962</v>
      </c>
      <c r="T77" s="55"/>
      <c r="U77" s="55">
        <f aca="true" t="shared" si="24" ref="U77:U96">SUM(O77:S77)</f>
        <v>130839</v>
      </c>
      <c r="V77" s="55"/>
      <c r="W77" s="55">
        <f t="shared" si="13"/>
        <v>0</v>
      </c>
      <c r="X77" s="55"/>
      <c r="Y77" s="101" t="s">
        <v>68</v>
      </c>
      <c r="Z77" s="55"/>
      <c r="AA77" s="55">
        <v>50111</v>
      </c>
      <c r="AB77" s="51"/>
      <c r="AC77" s="55">
        <v>671379</v>
      </c>
      <c r="AD77" s="51"/>
      <c r="AE77" s="55">
        <v>0</v>
      </c>
      <c r="AF77" s="51"/>
      <c r="AG77" s="56">
        <f t="shared" si="18"/>
        <v>-621268</v>
      </c>
      <c r="AH77" s="56"/>
      <c r="AI77" s="55">
        <v>298704</v>
      </c>
      <c r="AJ77" s="56"/>
      <c r="AK77" s="55">
        <v>0</v>
      </c>
      <c r="AL77" s="51"/>
      <c r="AM77" s="55">
        <v>0</v>
      </c>
      <c r="AN77" s="51"/>
      <c r="AO77" s="55">
        <v>0</v>
      </c>
      <c r="AP77" s="51"/>
      <c r="AQ77" s="56">
        <f t="shared" si="19"/>
        <v>-322564</v>
      </c>
      <c r="AR77" s="56"/>
      <c r="AS77" s="51">
        <v>0</v>
      </c>
      <c r="AT77" s="51"/>
      <c r="AU77" s="51">
        <v>0</v>
      </c>
      <c r="AV77" s="51"/>
      <c r="AW77" s="51">
        <f t="shared" si="20"/>
        <v>110994</v>
      </c>
      <c r="AX77" s="51"/>
      <c r="AY77" s="101" t="s">
        <v>68</v>
      </c>
      <c r="AZ77" s="51"/>
      <c r="BA77" s="55">
        <v>0</v>
      </c>
      <c r="BB77" s="51"/>
      <c r="BC77" s="55">
        <v>0</v>
      </c>
      <c r="BD77" s="51"/>
      <c r="BE77" s="55">
        <f>159012+789706</f>
        <v>948718</v>
      </c>
      <c r="BF77" s="51"/>
      <c r="BG77" s="55">
        <v>0</v>
      </c>
      <c r="BH77" s="51"/>
      <c r="BI77" s="51"/>
      <c r="BJ77" s="51"/>
      <c r="BK77" s="51">
        <f aca="true" t="shared" si="25" ref="BK77:BK96">SUM(BA77:BI77)</f>
        <v>948718</v>
      </c>
      <c r="BL77" s="1"/>
    </row>
    <row r="78" spans="1:64" ht="12.75" hidden="1">
      <c r="A78" s="44" t="s">
        <v>180</v>
      </c>
      <c r="B78" s="44"/>
      <c r="C78" s="55">
        <f t="shared" si="21"/>
        <v>0</v>
      </c>
      <c r="D78" s="55"/>
      <c r="E78" s="55">
        <v>0</v>
      </c>
      <c r="F78" s="55"/>
      <c r="G78" s="55">
        <v>0</v>
      </c>
      <c r="H78" s="55"/>
      <c r="I78" s="55">
        <f t="shared" si="22"/>
        <v>0</v>
      </c>
      <c r="J78" s="55"/>
      <c r="K78" s="55">
        <f t="shared" si="23"/>
        <v>0</v>
      </c>
      <c r="L78" s="55"/>
      <c r="M78" s="55">
        <v>0</v>
      </c>
      <c r="N78" s="55"/>
      <c r="O78" s="55">
        <v>0</v>
      </c>
      <c r="P78" s="55"/>
      <c r="Q78" s="55">
        <v>0</v>
      </c>
      <c r="R78" s="55"/>
      <c r="S78" s="55">
        <v>0</v>
      </c>
      <c r="T78" s="55"/>
      <c r="U78" s="55">
        <f t="shared" si="24"/>
        <v>0</v>
      </c>
      <c r="V78" s="55"/>
      <c r="W78" s="55">
        <f aca="true" t="shared" si="26" ref="W78:W97">+G78-M78-U78</f>
        <v>0</v>
      </c>
      <c r="X78" s="55"/>
      <c r="Y78" s="101" t="s">
        <v>180</v>
      </c>
      <c r="Z78" s="55"/>
      <c r="AA78" s="55">
        <v>0</v>
      </c>
      <c r="AB78" s="51"/>
      <c r="AC78" s="55">
        <v>0</v>
      </c>
      <c r="AD78" s="51"/>
      <c r="AE78" s="55">
        <v>0</v>
      </c>
      <c r="AF78" s="51"/>
      <c r="AG78" s="56">
        <f t="shared" si="18"/>
        <v>0</v>
      </c>
      <c r="AH78" s="56"/>
      <c r="AI78" s="55">
        <v>0</v>
      </c>
      <c r="AJ78" s="56"/>
      <c r="AK78" s="55">
        <v>0</v>
      </c>
      <c r="AL78" s="51"/>
      <c r="AM78" s="55">
        <v>0</v>
      </c>
      <c r="AN78" s="51"/>
      <c r="AO78" s="55">
        <v>0</v>
      </c>
      <c r="AP78" s="51"/>
      <c r="AQ78" s="56">
        <f t="shared" si="19"/>
        <v>0</v>
      </c>
      <c r="AR78" s="56"/>
      <c r="AS78" s="51">
        <v>0</v>
      </c>
      <c r="AT78" s="51"/>
      <c r="AU78" s="51">
        <v>0</v>
      </c>
      <c r="AV78" s="51"/>
      <c r="AW78" s="51">
        <f t="shared" si="20"/>
        <v>0</v>
      </c>
      <c r="AX78" s="55"/>
      <c r="AY78" s="101" t="s">
        <v>180</v>
      </c>
      <c r="AZ78" s="55"/>
      <c r="BA78" s="55">
        <v>0</v>
      </c>
      <c r="BB78" s="51"/>
      <c r="BC78" s="55">
        <v>0</v>
      </c>
      <c r="BD78" s="51"/>
      <c r="BE78" s="55">
        <v>0</v>
      </c>
      <c r="BF78" s="51"/>
      <c r="BG78" s="55">
        <v>0</v>
      </c>
      <c r="BH78" s="51"/>
      <c r="BI78" s="51"/>
      <c r="BJ78" s="51"/>
      <c r="BK78" s="51">
        <f t="shared" si="25"/>
        <v>0</v>
      </c>
      <c r="BL78" s="1"/>
    </row>
    <row r="79" spans="1:64" ht="12.75">
      <c r="A79" s="44" t="s">
        <v>185</v>
      </c>
      <c r="B79" s="44"/>
      <c r="C79" s="55">
        <f t="shared" si="21"/>
        <v>2823188</v>
      </c>
      <c r="D79" s="55"/>
      <c r="E79" s="55">
        <v>24084501</v>
      </c>
      <c r="F79" s="55"/>
      <c r="G79" s="55">
        <v>26907689</v>
      </c>
      <c r="H79" s="55"/>
      <c r="I79" s="55">
        <f t="shared" si="22"/>
        <v>0</v>
      </c>
      <c r="J79" s="55"/>
      <c r="K79" s="55">
        <f t="shared" si="23"/>
        <v>231810</v>
      </c>
      <c r="L79" s="55"/>
      <c r="M79" s="55">
        <v>231810</v>
      </c>
      <c r="N79" s="55"/>
      <c r="O79" s="55">
        <v>24084501</v>
      </c>
      <c r="P79" s="55"/>
      <c r="Q79" s="55">
        <v>0</v>
      </c>
      <c r="R79" s="55"/>
      <c r="S79" s="55">
        <v>2591378</v>
      </c>
      <c r="T79" s="55"/>
      <c r="U79" s="55">
        <f t="shared" si="24"/>
        <v>26675879</v>
      </c>
      <c r="V79" s="55"/>
      <c r="W79" s="55">
        <f t="shared" si="26"/>
        <v>0</v>
      </c>
      <c r="X79" s="55"/>
      <c r="Y79" s="101" t="s">
        <v>185</v>
      </c>
      <c r="Z79" s="55"/>
      <c r="AA79" s="55">
        <v>2712235</v>
      </c>
      <c r="AB79" s="51"/>
      <c r="AC79" s="55">
        <f>2485805-1506971</f>
        <v>978834</v>
      </c>
      <c r="AD79" s="51"/>
      <c r="AE79" s="55">
        <v>1506971</v>
      </c>
      <c r="AF79" s="51"/>
      <c r="AG79" s="56">
        <f t="shared" si="18"/>
        <v>226430</v>
      </c>
      <c r="AH79" s="56"/>
      <c r="AI79" s="55">
        <v>1068</v>
      </c>
      <c r="AJ79" s="56"/>
      <c r="AK79" s="55">
        <v>1536505</v>
      </c>
      <c r="AL79" s="51"/>
      <c r="AM79" s="55">
        <v>220862</v>
      </c>
      <c r="AN79" s="51"/>
      <c r="AO79" s="55">
        <v>0</v>
      </c>
      <c r="AP79" s="51"/>
      <c r="AQ79" s="56">
        <f t="shared" si="19"/>
        <v>1543141</v>
      </c>
      <c r="AR79" s="56"/>
      <c r="AS79" s="51">
        <v>0</v>
      </c>
      <c r="AT79" s="51"/>
      <c r="AU79" s="51">
        <v>0</v>
      </c>
      <c r="AV79" s="51"/>
      <c r="AW79" s="51">
        <f t="shared" si="20"/>
        <v>2823188</v>
      </c>
      <c r="AX79" s="51"/>
      <c r="AY79" s="101" t="s">
        <v>185</v>
      </c>
      <c r="AZ79" s="51"/>
      <c r="BA79" s="55">
        <v>0</v>
      </c>
      <c r="BB79" s="51"/>
      <c r="BC79" s="55">
        <v>0</v>
      </c>
      <c r="BD79" s="51"/>
      <c r="BE79" s="55">
        <v>0</v>
      </c>
      <c r="BF79" s="51"/>
      <c r="BG79" s="55">
        <v>231810</v>
      </c>
      <c r="BH79" s="51"/>
      <c r="BI79" s="51"/>
      <c r="BJ79" s="51"/>
      <c r="BK79" s="51">
        <f t="shared" si="25"/>
        <v>231810</v>
      </c>
      <c r="BL79" s="1"/>
    </row>
    <row r="80" spans="1:64" ht="12.75" hidden="1">
      <c r="A80" s="44" t="s">
        <v>69</v>
      </c>
      <c r="B80" s="44"/>
      <c r="C80" s="55">
        <f t="shared" si="21"/>
        <v>0</v>
      </c>
      <c r="D80" s="55"/>
      <c r="E80" s="55">
        <v>0</v>
      </c>
      <c r="F80" s="55"/>
      <c r="G80" s="55">
        <v>0</v>
      </c>
      <c r="H80" s="55"/>
      <c r="I80" s="55">
        <f t="shared" si="22"/>
        <v>0</v>
      </c>
      <c r="J80" s="55"/>
      <c r="K80" s="55">
        <f t="shared" si="23"/>
        <v>0</v>
      </c>
      <c r="L80" s="55"/>
      <c r="M80" s="55">
        <v>0</v>
      </c>
      <c r="N80" s="55"/>
      <c r="O80" s="55">
        <v>0</v>
      </c>
      <c r="P80" s="55"/>
      <c r="Q80" s="55">
        <v>0</v>
      </c>
      <c r="R80" s="55"/>
      <c r="S80" s="55">
        <v>0</v>
      </c>
      <c r="T80" s="55"/>
      <c r="U80" s="55">
        <f t="shared" si="24"/>
        <v>0</v>
      </c>
      <c r="V80" s="55"/>
      <c r="W80" s="55">
        <f t="shared" si="26"/>
        <v>0</v>
      </c>
      <c r="X80" s="55"/>
      <c r="Y80" s="101" t="s">
        <v>69</v>
      </c>
      <c r="Z80" s="55"/>
      <c r="AA80" s="55">
        <v>0</v>
      </c>
      <c r="AB80" s="51"/>
      <c r="AC80" s="55">
        <v>0</v>
      </c>
      <c r="AD80" s="51"/>
      <c r="AE80" s="55">
        <v>0</v>
      </c>
      <c r="AF80" s="51"/>
      <c r="AG80" s="56">
        <f t="shared" si="18"/>
        <v>0</v>
      </c>
      <c r="AH80" s="56"/>
      <c r="AI80" s="55">
        <v>0</v>
      </c>
      <c r="AJ80" s="56"/>
      <c r="AK80" s="55">
        <v>0</v>
      </c>
      <c r="AL80" s="51"/>
      <c r="AM80" s="55">
        <v>0</v>
      </c>
      <c r="AN80" s="51"/>
      <c r="AO80" s="55">
        <v>0</v>
      </c>
      <c r="AP80" s="51"/>
      <c r="AQ80" s="56">
        <f t="shared" si="19"/>
        <v>0</v>
      </c>
      <c r="AR80" s="56"/>
      <c r="AS80" s="51">
        <v>0</v>
      </c>
      <c r="AT80" s="51"/>
      <c r="AU80" s="51">
        <v>0</v>
      </c>
      <c r="AV80" s="51"/>
      <c r="AW80" s="51">
        <f t="shared" si="20"/>
        <v>0</v>
      </c>
      <c r="AX80" s="51"/>
      <c r="AY80" s="101" t="s">
        <v>69</v>
      </c>
      <c r="AZ80" s="51"/>
      <c r="BA80" s="55">
        <v>0</v>
      </c>
      <c r="BB80" s="51"/>
      <c r="BC80" s="55">
        <v>0</v>
      </c>
      <c r="BD80" s="51"/>
      <c r="BE80" s="55">
        <v>0</v>
      </c>
      <c r="BF80" s="51"/>
      <c r="BG80" s="55">
        <v>0</v>
      </c>
      <c r="BH80" s="51"/>
      <c r="BI80" s="51"/>
      <c r="BJ80" s="51"/>
      <c r="BK80" s="51">
        <f t="shared" si="25"/>
        <v>0</v>
      </c>
      <c r="BL80" s="1"/>
    </row>
    <row r="81" spans="1:64" ht="12.75">
      <c r="A81" s="44" t="s">
        <v>98</v>
      </c>
      <c r="B81" s="44"/>
      <c r="C81" s="55">
        <f t="shared" si="21"/>
        <v>807278</v>
      </c>
      <c r="D81" s="55"/>
      <c r="E81" s="55">
        <v>5560551</v>
      </c>
      <c r="F81" s="55"/>
      <c r="G81" s="55">
        <v>6367829</v>
      </c>
      <c r="H81" s="55"/>
      <c r="I81" s="55">
        <f t="shared" si="22"/>
        <v>130302</v>
      </c>
      <c r="J81" s="55"/>
      <c r="K81" s="55">
        <f t="shared" si="23"/>
        <v>162954</v>
      </c>
      <c r="L81" s="55"/>
      <c r="M81" s="55">
        <v>293256</v>
      </c>
      <c r="N81" s="55"/>
      <c r="O81" s="55">
        <v>5360551</v>
      </c>
      <c r="P81" s="55"/>
      <c r="Q81" s="55">
        <v>0</v>
      </c>
      <c r="R81" s="55"/>
      <c r="S81" s="55">
        <v>714022</v>
      </c>
      <c r="T81" s="55"/>
      <c r="U81" s="55">
        <f>SUM(O81:S81)</f>
        <v>6074573</v>
      </c>
      <c r="V81" s="55"/>
      <c r="W81" s="55">
        <f t="shared" si="26"/>
        <v>0</v>
      </c>
      <c r="X81" s="55"/>
      <c r="Y81" s="101" t="s">
        <v>98</v>
      </c>
      <c r="Z81" s="55"/>
      <c r="AA81" s="55">
        <v>952003</v>
      </c>
      <c r="AB81" s="51"/>
      <c r="AC81" s="55">
        <f>963876-242762</f>
        <v>721114</v>
      </c>
      <c r="AD81" s="51"/>
      <c r="AE81" s="55">
        <v>242762</v>
      </c>
      <c r="AF81" s="51"/>
      <c r="AG81" s="56">
        <f t="shared" si="18"/>
        <v>-11873</v>
      </c>
      <c r="AH81" s="56"/>
      <c r="AI81" s="55">
        <v>-21754</v>
      </c>
      <c r="AJ81" s="56"/>
      <c r="AK81" s="55">
        <v>9498</v>
      </c>
      <c r="AL81" s="51"/>
      <c r="AM81" s="55">
        <v>-139943</v>
      </c>
      <c r="AN81" s="51"/>
      <c r="AO81" s="55">
        <v>0</v>
      </c>
      <c r="AP81" s="51"/>
      <c r="AQ81" s="56">
        <f t="shared" si="19"/>
        <v>115814</v>
      </c>
      <c r="AR81" s="56"/>
      <c r="AS81" s="51">
        <v>0</v>
      </c>
      <c r="AT81" s="51"/>
      <c r="AU81" s="51">
        <v>0</v>
      </c>
      <c r="AV81" s="51"/>
      <c r="AW81" s="51">
        <f t="shared" si="20"/>
        <v>676976</v>
      </c>
      <c r="AX81" s="51"/>
      <c r="AY81" s="101" t="s">
        <v>98</v>
      </c>
      <c r="AZ81" s="51"/>
      <c r="BA81" s="55">
        <v>160000</v>
      </c>
      <c r="BB81" s="51"/>
      <c r="BC81" s="55">
        <v>0</v>
      </c>
      <c r="BD81" s="51"/>
      <c r="BE81" s="55">
        <v>0</v>
      </c>
      <c r="BF81" s="51"/>
      <c r="BG81" s="55">
        <v>2954</v>
      </c>
      <c r="BH81" s="51"/>
      <c r="BI81" s="51"/>
      <c r="BJ81" s="51"/>
      <c r="BK81" s="51">
        <f t="shared" si="25"/>
        <v>162954</v>
      </c>
      <c r="BL81" s="1"/>
    </row>
    <row r="82" spans="1:64" ht="12.75">
      <c r="A82" s="44" t="s">
        <v>70</v>
      </c>
      <c r="B82" s="44"/>
      <c r="C82" s="55">
        <f t="shared" si="21"/>
        <v>2557343</v>
      </c>
      <c r="D82" s="55"/>
      <c r="E82" s="55">
        <v>15329225</v>
      </c>
      <c r="F82" s="55"/>
      <c r="G82" s="55">
        <v>17886568</v>
      </c>
      <c r="H82" s="55"/>
      <c r="I82" s="55">
        <f t="shared" si="22"/>
        <v>1131771</v>
      </c>
      <c r="J82" s="55"/>
      <c r="K82" s="55">
        <f t="shared" si="23"/>
        <v>7584004</v>
      </c>
      <c r="L82" s="55"/>
      <c r="M82" s="55">
        <v>8715775</v>
      </c>
      <c r="N82" s="55"/>
      <c r="O82" s="55">
        <v>7374470</v>
      </c>
      <c r="P82" s="55"/>
      <c r="Q82" s="55">
        <f>40000+112836</f>
        <v>152836</v>
      </c>
      <c r="R82" s="55"/>
      <c r="S82" s="55">
        <v>1643487</v>
      </c>
      <c r="T82" s="55"/>
      <c r="U82" s="55">
        <f t="shared" si="24"/>
        <v>9170793</v>
      </c>
      <c r="V82" s="55"/>
      <c r="W82" s="55">
        <f t="shared" si="26"/>
        <v>0</v>
      </c>
      <c r="X82" s="55"/>
      <c r="Y82" s="101" t="s">
        <v>70</v>
      </c>
      <c r="Z82" s="55"/>
      <c r="AA82" s="55">
        <v>2839906</v>
      </c>
      <c r="AB82" s="51"/>
      <c r="AC82" s="55">
        <f>1998991-411906</f>
        <v>1587085</v>
      </c>
      <c r="AD82" s="51"/>
      <c r="AE82" s="55">
        <v>411906</v>
      </c>
      <c r="AF82" s="51"/>
      <c r="AG82" s="56">
        <f t="shared" si="18"/>
        <v>840915</v>
      </c>
      <c r="AH82" s="56"/>
      <c r="AI82" s="55">
        <v>-320538</v>
      </c>
      <c r="AJ82" s="56"/>
      <c r="AK82" s="55">
        <v>68452</v>
      </c>
      <c r="AL82" s="51"/>
      <c r="AM82" s="55">
        <v>0</v>
      </c>
      <c r="AN82" s="51"/>
      <c r="AO82" s="55">
        <v>453050</v>
      </c>
      <c r="AP82" s="51"/>
      <c r="AQ82" s="56">
        <f t="shared" si="19"/>
        <v>1041879</v>
      </c>
      <c r="AR82" s="56"/>
      <c r="AS82" s="51">
        <v>0</v>
      </c>
      <c r="AT82" s="51"/>
      <c r="AU82" s="51">
        <v>0</v>
      </c>
      <c r="AV82" s="51"/>
      <c r="AW82" s="51">
        <f t="shared" si="20"/>
        <v>1425572</v>
      </c>
      <c r="AX82" s="51"/>
      <c r="AY82" s="101" t="s">
        <v>70</v>
      </c>
      <c r="AZ82" s="51"/>
      <c r="BA82" s="55">
        <v>3719648</v>
      </c>
      <c r="BB82" s="51"/>
      <c r="BC82" s="55">
        <v>135000</v>
      </c>
      <c r="BD82" s="51"/>
      <c r="BE82" s="55">
        <v>267656</v>
      </c>
      <c r="BF82" s="51"/>
      <c r="BG82" s="55">
        <f>35138+322000+3104562</f>
        <v>3461700</v>
      </c>
      <c r="BH82" s="51"/>
      <c r="BI82" s="51"/>
      <c r="BJ82" s="51"/>
      <c r="BK82" s="51">
        <f t="shared" si="25"/>
        <v>7584004</v>
      </c>
      <c r="BL82" s="1"/>
    </row>
    <row r="83" spans="1:64" ht="12.75">
      <c r="A83" s="44" t="s">
        <v>71</v>
      </c>
      <c r="B83" s="44"/>
      <c r="C83" s="55">
        <f t="shared" si="21"/>
        <v>108236</v>
      </c>
      <c r="D83" s="55"/>
      <c r="E83" s="55">
        <v>1293351</v>
      </c>
      <c r="F83" s="55"/>
      <c r="G83" s="55">
        <v>1401587</v>
      </c>
      <c r="H83" s="55"/>
      <c r="I83" s="55">
        <f t="shared" si="22"/>
        <v>4440</v>
      </c>
      <c r="J83" s="55"/>
      <c r="K83" s="55">
        <f t="shared" si="23"/>
        <v>0</v>
      </c>
      <c r="L83" s="55"/>
      <c r="M83" s="55">
        <v>4440</v>
      </c>
      <c r="N83" s="55"/>
      <c r="O83" s="55">
        <v>1293351</v>
      </c>
      <c r="P83" s="55"/>
      <c r="Q83" s="55">
        <v>0</v>
      </c>
      <c r="R83" s="55"/>
      <c r="S83" s="55">
        <v>103796</v>
      </c>
      <c r="T83" s="55"/>
      <c r="U83" s="55">
        <f t="shared" si="24"/>
        <v>1397147</v>
      </c>
      <c r="V83" s="55"/>
      <c r="W83" s="55">
        <f t="shared" si="26"/>
        <v>0</v>
      </c>
      <c r="X83" s="55"/>
      <c r="Y83" s="101" t="s">
        <v>71</v>
      </c>
      <c r="Z83" s="55"/>
      <c r="AA83" s="55">
        <v>96326</v>
      </c>
      <c r="AB83" s="51"/>
      <c r="AC83" s="55">
        <f>125787-36731</f>
        <v>89056</v>
      </c>
      <c r="AD83" s="51"/>
      <c r="AE83" s="55">
        <v>36731</v>
      </c>
      <c r="AF83" s="51"/>
      <c r="AG83" s="56">
        <f t="shared" si="18"/>
        <v>-29461</v>
      </c>
      <c r="AH83" s="56"/>
      <c r="AI83" s="55">
        <v>-29461</v>
      </c>
      <c r="AJ83" s="56"/>
      <c r="AK83" s="55">
        <v>56774</v>
      </c>
      <c r="AL83" s="51"/>
      <c r="AM83" s="55">
        <v>0</v>
      </c>
      <c r="AN83" s="51"/>
      <c r="AO83" s="55">
        <v>572092</v>
      </c>
      <c r="AP83" s="51"/>
      <c r="AQ83" s="56">
        <f t="shared" si="19"/>
        <v>569944</v>
      </c>
      <c r="AR83" s="56"/>
      <c r="AS83" s="51">
        <v>0</v>
      </c>
      <c r="AT83" s="51"/>
      <c r="AU83" s="51">
        <v>0</v>
      </c>
      <c r="AV83" s="51"/>
      <c r="AW83" s="51">
        <f t="shared" si="20"/>
        <v>103796</v>
      </c>
      <c r="AX83" s="51"/>
      <c r="AY83" s="101" t="s">
        <v>71</v>
      </c>
      <c r="AZ83" s="51"/>
      <c r="BA83" s="55">
        <v>0</v>
      </c>
      <c r="BB83" s="51"/>
      <c r="BC83" s="55">
        <v>0</v>
      </c>
      <c r="BD83" s="51"/>
      <c r="BE83" s="55">
        <v>0</v>
      </c>
      <c r="BF83" s="51"/>
      <c r="BG83" s="55">
        <v>0</v>
      </c>
      <c r="BH83" s="51"/>
      <c r="BI83" s="51"/>
      <c r="BJ83" s="51"/>
      <c r="BK83" s="51">
        <f t="shared" si="25"/>
        <v>0</v>
      </c>
      <c r="BL83" s="1"/>
    </row>
    <row r="84" spans="1:64" ht="12.75">
      <c r="A84" s="44" t="s">
        <v>72</v>
      </c>
      <c r="B84" s="44"/>
      <c r="C84" s="55">
        <f t="shared" si="21"/>
        <v>265758</v>
      </c>
      <c r="D84" s="55"/>
      <c r="E84" s="55">
        <v>7305885</v>
      </c>
      <c r="F84" s="55"/>
      <c r="G84" s="55">
        <v>7571643</v>
      </c>
      <c r="H84" s="55"/>
      <c r="I84" s="55">
        <f t="shared" si="22"/>
        <v>1564829</v>
      </c>
      <c r="J84" s="55"/>
      <c r="K84" s="55">
        <f t="shared" si="23"/>
        <v>223844</v>
      </c>
      <c r="L84" s="55"/>
      <c r="M84" s="55">
        <v>1788673</v>
      </c>
      <c r="N84" s="55"/>
      <c r="O84" s="55">
        <v>5053008</v>
      </c>
      <c r="P84" s="55" t="s">
        <v>241</v>
      </c>
      <c r="Q84" s="55">
        <v>0</v>
      </c>
      <c r="R84" s="55"/>
      <c r="S84" s="55">
        <v>729962</v>
      </c>
      <c r="T84" s="55"/>
      <c r="U84" s="55">
        <f t="shared" si="24"/>
        <v>5782970</v>
      </c>
      <c r="V84" s="55"/>
      <c r="W84" s="55">
        <f t="shared" si="26"/>
        <v>0</v>
      </c>
      <c r="X84" s="55"/>
      <c r="Y84" s="101" t="s">
        <v>72</v>
      </c>
      <c r="Z84" s="55"/>
      <c r="AA84" s="55">
        <v>619485</v>
      </c>
      <c r="AB84" s="51"/>
      <c r="AC84" s="55">
        <f>851451-199732</f>
        <v>651719</v>
      </c>
      <c r="AD84" s="51"/>
      <c r="AE84" s="55">
        <v>199732</v>
      </c>
      <c r="AF84" s="51"/>
      <c r="AG84" s="56">
        <f t="shared" si="18"/>
        <v>-231966</v>
      </c>
      <c r="AH84" s="56"/>
      <c r="AI84" s="55">
        <v>-122016</v>
      </c>
      <c r="AJ84" s="56"/>
      <c r="AK84" s="55">
        <v>210891</v>
      </c>
      <c r="AL84" s="51"/>
      <c r="AM84" s="55">
        <v>0</v>
      </c>
      <c r="AN84" s="51"/>
      <c r="AO84" s="55">
        <v>0</v>
      </c>
      <c r="AP84" s="51"/>
      <c r="AQ84" s="56">
        <f t="shared" si="19"/>
        <v>-143091</v>
      </c>
      <c r="AR84" s="56"/>
      <c r="AS84" s="51">
        <v>0</v>
      </c>
      <c r="AT84" s="51"/>
      <c r="AU84" s="51">
        <v>0</v>
      </c>
      <c r="AV84" s="51"/>
      <c r="AW84" s="51">
        <f t="shared" si="20"/>
        <v>-1299071</v>
      </c>
      <c r="AX84" s="51"/>
      <c r="AY84" s="101" t="s">
        <v>72</v>
      </c>
      <c r="AZ84" s="51"/>
      <c r="BA84" s="55">
        <v>0</v>
      </c>
      <c r="BB84" s="51"/>
      <c r="BC84" s="55">
        <v>0</v>
      </c>
      <c r="BD84" s="51"/>
      <c r="BE84" s="55">
        <v>0</v>
      </c>
      <c r="BF84" s="51"/>
      <c r="BG84" s="55">
        <f>218252+5592</f>
        <v>223844</v>
      </c>
      <c r="BH84" s="51"/>
      <c r="BI84" s="51"/>
      <c r="BJ84" s="51"/>
      <c r="BK84" s="51">
        <f t="shared" si="25"/>
        <v>223844</v>
      </c>
      <c r="BL84" s="1"/>
    </row>
    <row r="85" spans="1:64" ht="12.75">
      <c r="A85" s="44" t="s">
        <v>73</v>
      </c>
      <c r="B85" s="44"/>
      <c r="C85" s="55">
        <f t="shared" si="21"/>
        <v>18490701</v>
      </c>
      <c r="D85" s="55"/>
      <c r="E85" s="55">
        <v>110550134</v>
      </c>
      <c r="F85" s="55"/>
      <c r="G85" s="55">
        <v>129040835</v>
      </c>
      <c r="H85" s="55"/>
      <c r="I85" s="55">
        <f t="shared" si="22"/>
        <v>2499158</v>
      </c>
      <c r="J85" s="55"/>
      <c r="K85" s="55">
        <f t="shared" si="23"/>
        <v>30087102</v>
      </c>
      <c r="L85" s="55"/>
      <c r="M85" s="55">
        <v>32586260</v>
      </c>
      <c r="N85" s="55"/>
      <c r="O85" s="55">
        <v>78924593</v>
      </c>
      <c r="P85" s="55"/>
      <c r="Q85" s="55">
        <v>0</v>
      </c>
      <c r="R85" s="55"/>
      <c r="S85" s="55">
        <v>17529982</v>
      </c>
      <c r="T85" s="55"/>
      <c r="U85" s="55">
        <f t="shared" si="24"/>
        <v>96454575</v>
      </c>
      <c r="V85" s="55"/>
      <c r="W85" s="55">
        <f t="shared" si="26"/>
        <v>0</v>
      </c>
      <c r="X85" s="55"/>
      <c r="Y85" s="101" t="s">
        <v>73</v>
      </c>
      <c r="Z85" s="55"/>
      <c r="AA85" s="55">
        <v>19636910</v>
      </c>
      <c r="AB85" s="51"/>
      <c r="AC85" s="55">
        <f>16138722-3533238</f>
        <v>12605484</v>
      </c>
      <c r="AD85" s="51"/>
      <c r="AE85" s="55">
        <v>3533238</v>
      </c>
      <c r="AF85" s="51"/>
      <c r="AG85" s="56">
        <f t="shared" si="18"/>
        <v>3498188</v>
      </c>
      <c r="AH85" s="56"/>
      <c r="AI85" s="55">
        <v>-1389630</v>
      </c>
      <c r="AJ85" s="56"/>
      <c r="AK85" s="55">
        <v>0</v>
      </c>
      <c r="AL85" s="51"/>
      <c r="AM85" s="55">
        <v>0</v>
      </c>
      <c r="AN85" s="51"/>
      <c r="AO85" s="55">
        <v>2247932</v>
      </c>
      <c r="AP85" s="51"/>
      <c r="AQ85" s="56">
        <f t="shared" si="19"/>
        <v>4356490</v>
      </c>
      <c r="AR85" s="56"/>
      <c r="AS85" s="51">
        <v>0</v>
      </c>
      <c r="AT85" s="51"/>
      <c r="AU85" s="51">
        <v>0</v>
      </c>
      <c r="AV85" s="51"/>
      <c r="AW85" s="51">
        <f t="shared" si="20"/>
        <v>15991543</v>
      </c>
      <c r="AX85" s="51"/>
      <c r="AY85" s="101" t="s">
        <v>73</v>
      </c>
      <c r="AZ85" s="51"/>
      <c r="BA85" s="55">
        <v>14674509</v>
      </c>
      <c r="BB85" s="51"/>
      <c r="BC85" s="55">
        <v>0</v>
      </c>
      <c r="BD85" s="51"/>
      <c r="BE85" s="55">
        <f>637052+14775541</f>
        <v>15412593</v>
      </c>
      <c r="BF85" s="51"/>
      <c r="BG85" s="55">
        <v>0</v>
      </c>
      <c r="BH85" s="51"/>
      <c r="BI85" s="51"/>
      <c r="BJ85" s="51"/>
      <c r="BK85" s="51">
        <f t="shared" si="25"/>
        <v>30087102</v>
      </c>
      <c r="BL85" s="1"/>
    </row>
    <row r="86" spans="1:64" ht="12.75">
      <c r="A86" s="44" t="s">
        <v>74</v>
      </c>
      <c r="B86" s="44"/>
      <c r="C86" s="55">
        <f t="shared" si="21"/>
        <v>14262595</v>
      </c>
      <c r="D86" s="55"/>
      <c r="E86" s="55">
        <v>220490368</v>
      </c>
      <c r="F86" s="55"/>
      <c r="G86" s="55">
        <v>234752963</v>
      </c>
      <c r="H86" s="55"/>
      <c r="I86" s="55">
        <f t="shared" si="22"/>
        <v>7788353</v>
      </c>
      <c r="J86" s="55"/>
      <c r="K86" s="55">
        <f t="shared" si="23"/>
        <v>80027544</v>
      </c>
      <c r="L86" s="55"/>
      <c r="M86" s="55">
        <v>87815897</v>
      </c>
      <c r="N86" s="55"/>
      <c r="O86" s="55">
        <v>137678187</v>
      </c>
      <c r="P86" s="55"/>
      <c r="Q86" s="55">
        <v>0</v>
      </c>
      <c r="R86" s="55"/>
      <c r="S86" s="55">
        <v>9258879</v>
      </c>
      <c r="T86" s="55"/>
      <c r="U86" s="55">
        <f t="shared" si="24"/>
        <v>146937066</v>
      </c>
      <c r="V86" s="55"/>
      <c r="W86" s="55">
        <f t="shared" si="26"/>
        <v>0</v>
      </c>
      <c r="X86" s="55"/>
      <c r="Y86" s="101" t="s">
        <v>74</v>
      </c>
      <c r="Z86" s="55"/>
      <c r="AA86" s="55">
        <v>29545278</v>
      </c>
      <c r="AB86" s="51"/>
      <c r="AC86" s="55">
        <f>29638795-6924198</f>
        <v>22714597</v>
      </c>
      <c r="AD86" s="51"/>
      <c r="AE86" s="55">
        <v>6924198</v>
      </c>
      <c r="AF86" s="51"/>
      <c r="AG86" s="56">
        <f t="shared" si="18"/>
        <v>-93517</v>
      </c>
      <c r="AH86" s="56"/>
      <c r="AI86" s="55">
        <v>-973735</v>
      </c>
      <c r="AJ86" s="56"/>
      <c r="AK86" s="55">
        <v>0</v>
      </c>
      <c r="AL86" s="51"/>
      <c r="AM86" s="55">
        <v>91481</v>
      </c>
      <c r="AN86" s="51"/>
      <c r="AO86" s="55">
        <v>6545329</v>
      </c>
      <c r="AP86" s="51"/>
      <c r="AQ86" s="56">
        <f t="shared" si="19"/>
        <v>5386596</v>
      </c>
      <c r="AR86" s="56"/>
      <c r="AS86" s="51">
        <v>0</v>
      </c>
      <c r="AT86" s="51"/>
      <c r="AU86" s="51">
        <v>0</v>
      </c>
      <c r="AV86" s="51"/>
      <c r="AW86" s="51">
        <f t="shared" si="20"/>
        <v>6474242</v>
      </c>
      <c r="AX86" s="51"/>
      <c r="AY86" s="101" t="s">
        <v>74</v>
      </c>
      <c r="AZ86" s="51"/>
      <c r="BA86" s="55">
        <v>56068733</v>
      </c>
      <c r="BB86" s="51"/>
      <c r="BC86" s="55">
        <v>0</v>
      </c>
      <c r="BD86" s="51"/>
      <c r="BE86" s="55">
        <f>19165977+625000+3742176</f>
        <v>23533153</v>
      </c>
      <c r="BF86" s="51"/>
      <c r="BG86" s="55">
        <v>425658</v>
      </c>
      <c r="BH86" s="51"/>
      <c r="BI86" s="51"/>
      <c r="BJ86" s="51"/>
      <c r="BK86" s="51">
        <f t="shared" si="25"/>
        <v>80027544</v>
      </c>
      <c r="BL86" s="1"/>
    </row>
    <row r="87" spans="1:64" ht="12.75">
      <c r="A87" s="44" t="s">
        <v>75</v>
      </c>
      <c r="B87" s="44"/>
      <c r="C87" s="55">
        <f t="shared" si="21"/>
        <v>4959986</v>
      </c>
      <c r="D87" s="55"/>
      <c r="E87" s="55">
        <v>16940215</v>
      </c>
      <c r="F87" s="55"/>
      <c r="G87" s="55">
        <v>21900201</v>
      </c>
      <c r="H87" s="55"/>
      <c r="I87" s="55">
        <f t="shared" si="22"/>
        <v>1495181</v>
      </c>
      <c r="J87" s="55"/>
      <c r="K87" s="55">
        <f t="shared" si="23"/>
        <v>8563026</v>
      </c>
      <c r="L87" s="55"/>
      <c r="M87" s="55">
        <v>10058207</v>
      </c>
      <c r="N87" s="55"/>
      <c r="O87" s="55">
        <v>5716290</v>
      </c>
      <c r="P87" s="55"/>
      <c r="Q87" s="55">
        <v>0</v>
      </c>
      <c r="R87" s="55"/>
      <c r="S87" s="55">
        <v>6125704</v>
      </c>
      <c r="T87" s="55"/>
      <c r="U87" s="55">
        <f t="shared" si="24"/>
        <v>11841994</v>
      </c>
      <c r="V87" s="55"/>
      <c r="W87" s="55">
        <f t="shared" si="26"/>
        <v>0</v>
      </c>
      <c r="X87" s="55"/>
      <c r="Y87" s="101" t="s">
        <v>75</v>
      </c>
      <c r="Z87" s="55"/>
      <c r="AA87" s="55">
        <v>7594827</v>
      </c>
      <c r="AB87" s="51"/>
      <c r="AC87" s="55">
        <f>7565310-2052844</f>
        <v>5512466</v>
      </c>
      <c r="AD87" s="51"/>
      <c r="AE87" s="55">
        <v>2052844</v>
      </c>
      <c r="AF87" s="51"/>
      <c r="AG87" s="56">
        <f t="shared" si="18"/>
        <v>29517</v>
      </c>
      <c r="AH87" s="56"/>
      <c r="AI87" s="55">
        <v>-567219</v>
      </c>
      <c r="AJ87" s="56"/>
      <c r="AK87" s="55">
        <v>976460</v>
      </c>
      <c r="AL87" s="51"/>
      <c r="AM87" s="55">
        <v>-666440</v>
      </c>
      <c r="AN87" s="51"/>
      <c r="AO87" s="55">
        <v>2979636</v>
      </c>
      <c r="AP87" s="51"/>
      <c r="AQ87" s="56">
        <f t="shared" si="19"/>
        <v>4084834</v>
      </c>
      <c r="AR87" s="56"/>
      <c r="AS87" s="51">
        <v>0</v>
      </c>
      <c r="AT87" s="51"/>
      <c r="AU87" s="51">
        <v>0</v>
      </c>
      <c r="AV87" s="51"/>
      <c r="AW87" s="51">
        <f t="shared" si="20"/>
        <v>3464805</v>
      </c>
      <c r="AX87" s="51"/>
      <c r="AY87" s="101" t="s">
        <v>75</v>
      </c>
      <c r="AZ87" s="51"/>
      <c r="BA87" s="55">
        <v>826912</v>
      </c>
      <c r="BB87" s="51"/>
      <c r="BC87" s="55">
        <v>1818400</v>
      </c>
      <c r="BD87" s="51"/>
      <c r="BE87" s="55">
        <f>44293+4596129</f>
        <v>4640422</v>
      </c>
      <c r="BF87" s="51"/>
      <c r="BG87" s="55">
        <f>1075000+202292</f>
        <v>1277292</v>
      </c>
      <c r="BH87" s="51"/>
      <c r="BI87" s="51"/>
      <c r="BJ87" s="51"/>
      <c r="BK87" s="51">
        <f t="shared" si="25"/>
        <v>8563026</v>
      </c>
      <c r="BL87" s="1"/>
    </row>
    <row r="88" spans="1:64" ht="12.75">
      <c r="A88" s="44" t="s">
        <v>76</v>
      </c>
      <c r="B88" s="44"/>
      <c r="C88" s="55">
        <f t="shared" si="21"/>
        <v>1904226</v>
      </c>
      <c r="D88" s="55"/>
      <c r="E88" s="55">
        <v>11260491</v>
      </c>
      <c r="F88" s="55"/>
      <c r="G88" s="55">
        <v>13164717</v>
      </c>
      <c r="H88" s="55"/>
      <c r="I88" s="55">
        <f t="shared" si="22"/>
        <v>200997</v>
      </c>
      <c r="J88" s="55"/>
      <c r="K88" s="55">
        <f t="shared" si="23"/>
        <v>2167235</v>
      </c>
      <c r="L88" s="55"/>
      <c r="M88" s="55">
        <v>2368232</v>
      </c>
      <c r="N88" s="55"/>
      <c r="O88" s="55">
        <v>10139538</v>
      </c>
      <c r="P88" s="55"/>
      <c r="Q88" s="55">
        <v>0</v>
      </c>
      <c r="R88" s="55"/>
      <c r="S88" s="55">
        <v>656947</v>
      </c>
      <c r="T88" s="55"/>
      <c r="U88" s="55">
        <f t="shared" si="24"/>
        <v>10796485</v>
      </c>
      <c r="V88" s="55"/>
      <c r="W88" s="55">
        <f t="shared" si="26"/>
        <v>0</v>
      </c>
      <c r="X88" s="55"/>
      <c r="Y88" s="101" t="s">
        <v>76</v>
      </c>
      <c r="Z88" s="55"/>
      <c r="AA88" s="55">
        <v>1135871</v>
      </c>
      <c r="AB88" s="51"/>
      <c r="AC88" s="55">
        <f>1664467-397837</f>
        <v>1266630</v>
      </c>
      <c r="AD88" s="51"/>
      <c r="AE88" s="55">
        <v>397837</v>
      </c>
      <c r="AF88" s="51"/>
      <c r="AG88" s="56">
        <f t="shared" si="18"/>
        <v>-528596</v>
      </c>
      <c r="AH88" s="56"/>
      <c r="AI88" s="55">
        <v>238591</v>
      </c>
      <c r="AJ88" s="56"/>
      <c r="AK88" s="55">
        <v>0</v>
      </c>
      <c r="AL88" s="51"/>
      <c r="AM88" s="55">
        <v>0</v>
      </c>
      <c r="AN88" s="51"/>
      <c r="AO88" s="55">
        <v>0</v>
      </c>
      <c r="AP88" s="51"/>
      <c r="AQ88" s="56">
        <f t="shared" si="19"/>
        <v>-290005</v>
      </c>
      <c r="AR88" s="56"/>
      <c r="AS88" s="51">
        <v>0</v>
      </c>
      <c r="AT88" s="51"/>
      <c r="AU88" s="51">
        <v>0</v>
      </c>
      <c r="AV88" s="51"/>
      <c r="AW88" s="51">
        <f t="shared" si="20"/>
        <v>1703229</v>
      </c>
      <c r="AX88" s="51"/>
      <c r="AY88" s="101" t="s">
        <v>76</v>
      </c>
      <c r="AZ88" s="51"/>
      <c r="BA88" s="55">
        <v>0</v>
      </c>
      <c r="BB88" s="51"/>
      <c r="BC88" s="55">
        <v>0</v>
      </c>
      <c r="BD88" s="51"/>
      <c r="BE88" s="55">
        <f>440924+554386+297000</f>
        <v>1292310</v>
      </c>
      <c r="BF88" s="51"/>
      <c r="BG88" s="55">
        <f>849043+25882</f>
        <v>874925</v>
      </c>
      <c r="BH88" s="51"/>
      <c r="BI88" s="51"/>
      <c r="BJ88" s="51"/>
      <c r="BK88" s="51">
        <f t="shared" si="25"/>
        <v>2167235</v>
      </c>
      <c r="BL88" s="1"/>
    </row>
    <row r="89" spans="1:64" ht="12.75" hidden="1">
      <c r="A89" s="44" t="s">
        <v>77</v>
      </c>
      <c r="B89" s="44"/>
      <c r="C89" s="55">
        <f t="shared" si="21"/>
        <v>0</v>
      </c>
      <c r="D89" s="55"/>
      <c r="E89" s="55">
        <v>0</v>
      </c>
      <c r="F89" s="55"/>
      <c r="G89" s="55">
        <v>0</v>
      </c>
      <c r="H89" s="55"/>
      <c r="I89" s="55">
        <f t="shared" si="22"/>
        <v>0</v>
      </c>
      <c r="J89" s="55"/>
      <c r="K89" s="55">
        <f t="shared" si="23"/>
        <v>0</v>
      </c>
      <c r="L89" s="55"/>
      <c r="M89" s="55">
        <v>0</v>
      </c>
      <c r="N89" s="55"/>
      <c r="O89" s="55">
        <v>0</v>
      </c>
      <c r="P89" s="55"/>
      <c r="Q89" s="55">
        <v>0</v>
      </c>
      <c r="R89" s="55"/>
      <c r="S89" s="55">
        <v>0</v>
      </c>
      <c r="T89" s="55"/>
      <c r="U89" s="55">
        <f t="shared" si="24"/>
        <v>0</v>
      </c>
      <c r="V89" s="55"/>
      <c r="W89" s="55">
        <f t="shared" si="26"/>
        <v>0</v>
      </c>
      <c r="X89" s="55"/>
      <c r="Y89" s="101" t="s">
        <v>77</v>
      </c>
      <c r="Z89" s="55"/>
      <c r="AA89" s="55">
        <v>0</v>
      </c>
      <c r="AB89" s="51"/>
      <c r="AC89" s="55">
        <v>0</v>
      </c>
      <c r="AD89" s="51"/>
      <c r="AE89" s="55">
        <v>0</v>
      </c>
      <c r="AF89" s="51"/>
      <c r="AG89" s="56">
        <f t="shared" si="18"/>
        <v>0</v>
      </c>
      <c r="AH89" s="56"/>
      <c r="AI89" s="55">
        <v>0</v>
      </c>
      <c r="AJ89" s="56"/>
      <c r="AK89" s="55">
        <v>0</v>
      </c>
      <c r="AL89" s="51"/>
      <c r="AM89" s="55">
        <v>0</v>
      </c>
      <c r="AN89" s="51"/>
      <c r="AO89" s="55">
        <v>0</v>
      </c>
      <c r="AP89" s="51"/>
      <c r="AQ89" s="56">
        <f t="shared" si="19"/>
        <v>0</v>
      </c>
      <c r="AR89" s="56"/>
      <c r="AS89" s="51">
        <v>0</v>
      </c>
      <c r="AT89" s="51"/>
      <c r="AU89" s="51">
        <v>0</v>
      </c>
      <c r="AV89" s="51"/>
      <c r="AW89" s="51">
        <f t="shared" si="20"/>
        <v>0</v>
      </c>
      <c r="AX89" s="51"/>
      <c r="AY89" s="101" t="s">
        <v>77</v>
      </c>
      <c r="AZ89" s="51"/>
      <c r="BA89" s="55">
        <v>0</v>
      </c>
      <c r="BB89" s="51"/>
      <c r="BC89" s="55">
        <v>0</v>
      </c>
      <c r="BD89" s="51"/>
      <c r="BE89" s="55">
        <v>0</v>
      </c>
      <c r="BF89" s="51"/>
      <c r="BG89" s="55">
        <v>0</v>
      </c>
      <c r="BH89" s="51"/>
      <c r="BI89" s="51"/>
      <c r="BJ89" s="51"/>
      <c r="BK89" s="51">
        <f t="shared" si="25"/>
        <v>0</v>
      </c>
      <c r="BL89" s="1"/>
    </row>
    <row r="90" spans="1:68" ht="12.75" hidden="1">
      <c r="A90" s="44" t="s">
        <v>78</v>
      </c>
      <c r="B90" s="44"/>
      <c r="C90" s="55">
        <f t="shared" si="21"/>
        <v>0</v>
      </c>
      <c r="D90" s="55"/>
      <c r="E90" s="55">
        <v>0</v>
      </c>
      <c r="F90" s="55"/>
      <c r="G90" s="55">
        <v>0</v>
      </c>
      <c r="H90" s="55"/>
      <c r="I90" s="55">
        <f t="shared" si="22"/>
        <v>0</v>
      </c>
      <c r="J90" s="55"/>
      <c r="K90" s="55">
        <f t="shared" si="23"/>
        <v>0</v>
      </c>
      <c r="L90" s="55"/>
      <c r="M90" s="55">
        <v>0</v>
      </c>
      <c r="N90" s="55"/>
      <c r="O90" s="55">
        <v>0</v>
      </c>
      <c r="P90" s="55"/>
      <c r="Q90" s="55">
        <v>0</v>
      </c>
      <c r="R90" s="55"/>
      <c r="S90" s="55">
        <v>0</v>
      </c>
      <c r="T90" s="55"/>
      <c r="U90" s="55">
        <f t="shared" si="24"/>
        <v>0</v>
      </c>
      <c r="V90" s="55"/>
      <c r="W90" s="55">
        <f t="shared" si="26"/>
        <v>0</v>
      </c>
      <c r="X90" s="55"/>
      <c r="Y90" s="101" t="s">
        <v>78</v>
      </c>
      <c r="Z90" s="55"/>
      <c r="AA90" s="55">
        <v>0</v>
      </c>
      <c r="AB90" s="51"/>
      <c r="AC90" s="55">
        <v>0</v>
      </c>
      <c r="AD90" s="51"/>
      <c r="AE90" s="55">
        <v>0</v>
      </c>
      <c r="AF90" s="51"/>
      <c r="AG90" s="56">
        <f t="shared" si="18"/>
        <v>0</v>
      </c>
      <c r="AH90" s="56"/>
      <c r="AI90" s="55">
        <v>0</v>
      </c>
      <c r="AJ90" s="56"/>
      <c r="AK90" s="55">
        <v>0</v>
      </c>
      <c r="AL90" s="51"/>
      <c r="AM90" s="55">
        <v>0</v>
      </c>
      <c r="AN90" s="51"/>
      <c r="AO90" s="55">
        <v>0</v>
      </c>
      <c r="AP90" s="51"/>
      <c r="AQ90" s="56">
        <f t="shared" si="19"/>
        <v>0</v>
      </c>
      <c r="AR90" s="56"/>
      <c r="AS90" s="51">
        <v>0</v>
      </c>
      <c r="AT90" s="51"/>
      <c r="AU90" s="51">
        <v>0</v>
      </c>
      <c r="AV90" s="51"/>
      <c r="AW90" s="51">
        <f t="shared" si="20"/>
        <v>0</v>
      </c>
      <c r="AX90" s="55"/>
      <c r="AY90" s="101" t="s">
        <v>78</v>
      </c>
      <c r="AZ90" s="55"/>
      <c r="BA90" s="55">
        <v>0</v>
      </c>
      <c r="BB90" s="51"/>
      <c r="BC90" s="55">
        <v>0</v>
      </c>
      <c r="BD90" s="51"/>
      <c r="BE90" s="55">
        <v>0</v>
      </c>
      <c r="BF90" s="51"/>
      <c r="BG90" s="55">
        <v>0</v>
      </c>
      <c r="BH90" s="51"/>
      <c r="BI90" s="51"/>
      <c r="BJ90" s="51"/>
      <c r="BK90" s="51">
        <f t="shared" si="25"/>
        <v>0</v>
      </c>
      <c r="BL90" s="66"/>
      <c r="BM90" s="1"/>
      <c r="BN90" s="1"/>
      <c r="BO90" s="1"/>
      <c r="BP90" s="1"/>
    </row>
    <row r="91" spans="1:64" ht="12.75" hidden="1">
      <c r="A91" s="44" t="s">
        <v>79</v>
      </c>
      <c r="B91" s="44"/>
      <c r="C91" s="55">
        <f t="shared" si="21"/>
        <v>0</v>
      </c>
      <c r="D91" s="55"/>
      <c r="E91" s="55">
        <v>0</v>
      </c>
      <c r="F91" s="55"/>
      <c r="G91" s="55">
        <v>0</v>
      </c>
      <c r="H91" s="55"/>
      <c r="I91" s="55">
        <f t="shared" si="22"/>
        <v>0</v>
      </c>
      <c r="J91" s="55"/>
      <c r="K91" s="55">
        <f t="shared" si="23"/>
        <v>0</v>
      </c>
      <c r="L91" s="55"/>
      <c r="M91" s="55">
        <v>0</v>
      </c>
      <c r="N91" s="55"/>
      <c r="O91" s="55">
        <v>0</v>
      </c>
      <c r="P91" s="55"/>
      <c r="Q91" s="55">
        <v>0</v>
      </c>
      <c r="R91" s="55"/>
      <c r="S91" s="55">
        <v>0</v>
      </c>
      <c r="T91" s="55"/>
      <c r="U91" s="55">
        <f t="shared" si="24"/>
        <v>0</v>
      </c>
      <c r="V91" s="55"/>
      <c r="W91" s="55">
        <f t="shared" si="26"/>
        <v>0</v>
      </c>
      <c r="X91" s="55"/>
      <c r="Y91" s="101" t="s">
        <v>79</v>
      </c>
      <c r="Z91" s="55"/>
      <c r="AA91" s="55">
        <v>0</v>
      </c>
      <c r="AB91" s="51"/>
      <c r="AC91" s="55">
        <v>0</v>
      </c>
      <c r="AD91" s="51"/>
      <c r="AE91" s="55">
        <v>0</v>
      </c>
      <c r="AF91" s="51"/>
      <c r="AG91" s="56">
        <f t="shared" si="18"/>
        <v>0</v>
      </c>
      <c r="AH91" s="56"/>
      <c r="AI91" s="55">
        <v>0</v>
      </c>
      <c r="AJ91" s="56"/>
      <c r="AK91" s="55">
        <v>0</v>
      </c>
      <c r="AL91" s="51"/>
      <c r="AM91" s="55">
        <v>0</v>
      </c>
      <c r="AN91" s="51"/>
      <c r="AO91" s="55">
        <v>0</v>
      </c>
      <c r="AP91" s="51"/>
      <c r="AQ91" s="56">
        <f t="shared" si="19"/>
        <v>0</v>
      </c>
      <c r="AR91" s="56"/>
      <c r="AS91" s="51">
        <v>0</v>
      </c>
      <c r="AT91" s="51"/>
      <c r="AU91" s="51">
        <v>0</v>
      </c>
      <c r="AV91" s="51"/>
      <c r="AW91" s="51">
        <f t="shared" si="20"/>
        <v>0</v>
      </c>
      <c r="AX91" s="55"/>
      <c r="AY91" s="101" t="s">
        <v>79</v>
      </c>
      <c r="AZ91" s="55"/>
      <c r="BA91" s="55">
        <v>0</v>
      </c>
      <c r="BB91" s="51"/>
      <c r="BC91" s="55">
        <v>0</v>
      </c>
      <c r="BD91" s="51"/>
      <c r="BE91" s="55">
        <v>0</v>
      </c>
      <c r="BF91" s="51"/>
      <c r="BG91" s="55">
        <v>0</v>
      </c>
      <c r="BH91" s="51"/>
      <c r="BI91" s="51"/>
      <c r="BJ91" s="51"/>
      <c r="BK91" s="51">
        <f t="shared" si="25"/>
        <v>0</v>
      </c>
      <c r="BL91" s="66"/>
    </row>
    <row r="92" spans="1:64" ht="12.75">
      <c r="A92" s="44" t="s">
        <v>80</v>
      </c>
      <c r="B92" s="44"/>
      <c r="C92" s="55">
        <f t="shared" si="21"/>
        <v>13252292</v>
      </c>
      <c r="D92" s="55"/>
      <c r="E92" s="55">
        <v>80697691</v>
      </c>
      <c r="F92" s="55"/>
      <c r="G92" s="55">
        <v>93949983</v>
      </c>
      <c r="H92" s="55"/>
      <c r="I92" s="55">
        <f t="shared" si="22"/>
        <v>911356</v>
      </c>
      <c r="J92" s="55"/>
      <c r="K92" s="55">
        <f t="shared" si="23"/>
        <v>178020</v>
      </c>
      <c r="L92" s="55"/>
      <c r="M92" s="55">
        <v>1089376</v>
      </c>
      <c r="N92" s="55"/>
      <c r="O92" s="55">
        <v>80469837</v>
      </c>
      <c r="P92" s="55"/>
      <c r="Q92" s="55">
        <v>904</v>
      </c>
      <c r="R92" s="55"/>
      <c r="S92" s="55">
        <v>12389866</v>
      </c>
      <c r="T92" s="55"/>
      <c r="U92" s="55">
        <f t="shared" si="24"/>
        <v>92860607</v>
      </c>
      <c r="V92" s="55"/>
      <c r="W92" s="55">
        <f t="shared" si="26"/>
        <v>0</v>
      </c>
      <c r="X92" s="55"/>
      <c r="Y92" s="101" t="s">
        <v>80</v>
      </c>
      <c r="Z92" s="55"/>
      <c r="AA92" s="55">
        <v>8119675</v>
      </c>
      <c r="AB92" s="51"/>
      <c r="AC92" s="55">
        <f>9997929-3042610</f>
        <v>6955319</v>
      </c>
      <c r="AD92" s="51"/>
      <c r="AE92" s="55">
        <v>3042610</v>
      </c>
      <c r="AF92" s="51"/>
      <c r="AG92" s="56">
        <f t="shared" si="18"/>
        <v>-1878254</v>
      </c>
      <c r="AH92" s="56"/>
      <c r="AI92" s="55">
        <v>-214692</v>
      </c>
      <c r="AJ92" s="56"/>
      <c r="AK92" s="55">
        <v>0</v>
      </c>
      <c r="AL92" s="51"/>
      <c r="AM92" s="55">
        <v>0</v>
      </c>
      <c r="AN92" s="51"/>
      <c r="AO92" s="55">
        <f>3923904+3987277</f>
        <v>7911181</v>
      </c>
      <c r="AP92" s="51"/>
      <c r="AQ92" s="56">
        <f t="shared" si="19"/>
        <v>5818235</v>
      </c>
      <c r="AR92" s="56"/>
      <c r="AS92" s="51">
        <v>0</v>
      </c>
      <c r="AT92" s="51"/>
      <c r="AU92" s="51">
        <v>0</v>
      </c>
      <c r="AV92" s="51"/>
      <c r="AW92" s="51">
        <f t="shared" si="20"/>
        <v>12340936</v>
      </c>
      <c r="AX92" s="51"/>
      <c r="AY92" s="101" t="s">
        <v>80</v>
      </c>
      <c r="AZ92" s="51"/>
      <c r="BA92" s="55">
        <v>0</v>
      </c>
      <c r="BB92" s="51"/>
      <c r="BC92" s="55">
        <v>0</v>
      </c>
      <c r="BD92" s="51"/>
      <c r="BE92" s="55">
        <v>0</v>
      </c>
      <c r="BF92" s="51"/>
      <c r="BG92" s="55">
        <v>178020</v>
      </c>
      <c r="BH92" s="51"/>
      <c r="BI92" s="51"/>
      <c r="BJ92" s="51"/>
      <c r="BK92" s="51">
        <f t="shared" si="25"/>
        <v>178020</v>
      </c>
      <c r="BL92" s="1"/>
    </row>
    <row r="93" spans="1:68" ht="12.75">
      <c r="A93" s="44" t="s">
        <v>81</v>
      </c>
      <c r="B93" s="44"/>
      <c r="C93" s="55">
        <f t="shared" si="21"/>
        <v>584307</v>
      </c>
      <c r="D93" s="55"/>
      <c r="E93" s="55">
        <v>4802379</v>
      </c>
      <c r="F93" s="55"/>
      <c r="G93" s="55">
        <v>5386686</v>
      </c>
      <c r="H93" s="55"/>
      <c r="I93" s="55">
        <f t="shared" si="22"/>
        <v>113058</v>
      </c>
      <c r="J93" s="55"/>
      <c r="K93" s="55">
        <f t="shared" si="23"/>
        <v>1480033</v>
      </c>
      <c r="L93" s="55"/>
      <c r="M93" s="55">
        <v>1593091</v>
      </c>
      <c r="N93" s="55"/>
      <c r="O93" s="55">
        <v>3270499</v>
      </c>
      <c r="P93" s="55"/>
      <c r="Q93" s="55">
        <v>0</v>
      </c>
      <c r="R93" s="55"/>
      <c r="S93" s="55">
        <v>523096</v>
      </c>
      <c r="T93" s="55"/>
      <c r="U93" s="55">
        <f t="shared" si="24"/>
        <v>3793595</v>
      </c>
      <c r="V93" s="55"/>
      <c r="W93" s="55">
        <f t="shared" si="26"/>
        <v>0</v>
      </c>
      <c r="X93" s="55"/>
      <c r="Y93" s="101" t="s">
        <v>81</v>
      </c>
      <c r="Z93" s="55"/>
      <c r="AA93" s="55">
        <v>430459</v>
      </c>
      <c r="AB93" s="51"/>
      <c r="AC93" s="55">
        <f>542863-196677</f>
        <v>346186</v>
      </c>
      <c r="AD93" s="51"/>
      <c r="AE93" s="55">
        <v>196677</v>
      </c>
      <c r="AF93" s="51"/>
      <c r="AG93" s="56">
        <f t="shared" si="18"/>
        <v>-112404</v>
      </c>
      <c r="AH93" s="56"/>
      <c r="AI93" s="55">
        <v>-49170</v>
      </c>
      <c r="AJ93" s="56"/>
      <c r="AK93" s="55">
        <v>36287</v>
      </c>
      <c r="AL93" s="51"/>
      <c r="AM93" s="55">
        <v>0</v>
      </c>
      <c r="AN93" s="51"/>
      <c r="AO93" s="55">
        <v>0</v>
      </c>
      <c r="AP93" s="51"/>
      <c r="AQ93" s="56">
        <f t="shared" si="19"/>
        <v>-125287</v>
      </c>
      <c r="AR93" s="56"/>
      <c r="AS93" s="51">
        <v>0</v>
      </c>
      <c r="AT93" s="51"/>
      <c r="AU93" s="51">
        <v>0</v>
      </c>
      <c r="AV93" s="51"/>
      <c r="AW93" s="51">
        <f t="shared" si="20"/>
        <v>471249</v>
      </c>
      <c r="AX93" s="55"/>
      <c r="AY93" s="101" t="s">
        <v>81</v>
      </c>
      <c r="AZ93" s="55"/>
      <c r="BA93" s="55">
        <v>0</v>
      </c>
      <c r="BB93" s="51"/>
      <c r="BC93" s="55">
        <v>0</v>
      </c>
      <c r="BD93" s="51"/>
      <c r="BE93" s="55">
        <f>801500+326676+258570</f>
        <v>1386746</v>
      </c>
      <c r="BF93" s="51"/>
      <c r="BG93" s="55">
        <f>93000+287</f>
        <v>93287</v>
      </c>
      <c r="BH93" s="51"/>
      <c r="BI93" s="51"/>
      <c r="BJ93" s="51"/>
      <c r="BK93" s="51">
        <f t="shared" si="25"/>
        <v>1480033</v>
      </c>
      <c r="BL93" s="66"/>
      <c r="BM93" s="1"/>
      <c r="BN93" s="1"/>
      <c r="BO93" s="1"/>
      <c r="BP93" s="1"/>
    </row>
    <row r="94" spans="1:64" ht="12.75" hidden="1">
      <c r="A94" s="44" t="s">
        <v>82</v>
      </c>
      <c r="B94" s="44"/>
      <c r="C94" s="55">
        <f t="shared" si="21"/>
        <v>0</v>
      </c>
      <c r="D94" s="55"/>
      <c r="E94" s="55">
        <v>0</v>
      </c>
      <c r="F94" s="55"/>
      <c r="G94" s="55">
        <v>0</v>
      </c>
      <c r="H94" s="55"/>
      <c r="I94" s="55">
        <f t="shared" si="22"/>
        <v>0</v>
      </c>
      <c r="J94" s="55"/>
      <c r="K94" s="55">
        <f t="shared" si="23"/>
        <v>0</v>
      </c>
      <c r="L94" s="55"/>
      <c r="M94" s="55">
        <v>0</v>
      </c>
      <c r="N94" s="55"/>
      <c r="O94" s="55">
        <v>0</v>
      </c>
      <c r="P94" s="55"/>
      <c r="Q94" s="55">
        <v>0</v>
      </c>
      <c r="R94" s="55"/>
      <c r="S94" s="55">
        <v>0</v>
      </c>
      <c r="T94" s="55"/>
      <c r="U94" s="55">
        <f t="shared" si="24"/>
        <v>0</v>
      </c>
      <c r="V94" s="55"/>
      <c r="W94" s="55">
        <f t="shared" si="26"/>
        <v>0</v>
      </c>
      <c r="X94" s="55"/>
      <c r="Y94" s="101" t="s">
        <v>82</v>
      </c>
      <c r="Z94" s="55"/>
      <c r="AA94" s="55">
        <v>0</v>
      </c>
      <c r="AB94" s="51"/>
      <c r="AC94" s="55">
        <v>0</v>
      </c>
      <c r="AD94" s="51"/>
      <c r="AE94" s="55">
        <v>0</v>
      </c>
      <c r="AF94" s="51"/>
      <c r="AG94" s="56">
        <f t="shared" si="18"/>
        <v>0</v>
      </c>
      <c r="AH94" s="56"/>
      <c r="AI94" s="55">
        <v>0</v>
      </c>
      <c r="AJ94" s="56"/>
      <c r="AK94" s="55">
        <v>0</v>
      </c>
      <c r="AL94" s="51"/>
      <c r="AM94" s="55">
        <v>0</v>
      </c>
      <c r="AN94" s="51"/>
      <c r="AO94" s="55">
        <v>0</v>
      </c>
      <c r="AP94" s="51"/>
      <c r="AQ94" s="56">
        <f t="shared" si="19"/>
        <v>0</v>
      </c>
      <c r="AR94" s="56"/>
      <c r="AS94" s="51">
        <v>0</v>
      </c>
      <c r="AT94" s="51"/>
      <c r="AU94" s="51">
        <v>0</v>
      </c>
      <c r="AV94" s="51"/>
      <c r="AW94" s="51">
        <f t="shared" si="20"/>
        <v>0</v>
      </c>
      <c r="AX94" s="51"/>
      <c r="AY94" s="101" t="s">
        <v>82</v>
      </c>
      <c r="AZ94" s="51"/>
      <c r="BA94" s="55">
        <v>0</v>
      </c>
      <c r="BB94" s="51"/>
      <c r="BC94" s="55">
        <v>0</v>
      </c>
      <c r="BD94" s="51"/>
      <c r="BE94" s="55">
        <v>0</v>
      </c>
      <c r="BF94" s="51"/>
      <c r="BG94" s="55">
        <v>0</v>
      </c>
      <c r="BH94" s="51"/>
      <c r="BI94" s="51"/>
      <c r="BJ94" s="51"/>
      <c r="BK94" s="51">
        <f t="shared" si="25"/>
        <v>0</v>
      </c>
      <c r="BL94" s="1"/>
    </row>
    <row r="95" spans="1:64" ht="12.75" hidden="1">
      <c r="A95" s="44" t="s">
        <v>178</v>
      </c>
      <c r="B95" s="44"/>
      <c r="C95" s="55">
        <f t="shared" si="21"/>
        <v>0</v>
      </c>
      <c r="D95" s="55"/>
      <c r="E95" s="55">
        <v>0</v>
      </c>
      <c r="F95" s="55"/>
      <c r="G95" s="55">
        <v>0</v>
      </c>
      <c r="H95" s="55"/>
      <c r="I95" s="55">
        <f t="shared" si="22"/>
        <v>0</v>
      </c>
      <c r="J95" s="55"/>
      <c r="K95" s="55">
        <f t="shared" si="23"/>
        <v>0</v>
      </c>
      <c r="L95" s="55"/>
      <c r="M95" s="55">
        <v>0</v>
      </c>
      <c r="N95" s="55"/>
      <c r="O95" s="55">
        <v>0</v>
      </c>
      <c r="P95" s="55"/>
      <c r="Q95" s="55">
        <v>0</v>
      </c>
      <c r="R95" s="55"/>
      <c r="S95" s="55">
        <v>0</v>
      </c>
      <c r="T95" s="55"/>
      <c r="U95" s="55">
        <f t="shared" si="24"/>
        <v>0</v>
      </c>
      <c r="V95" s="55"/>
      <c r="W95" s="55">
        <f t="shared" si="26"/>
        <v>0</v>
      </c>
      <c r="X95" s="55"/>
      <c r="Y95" s="44" t="s">
        <v>178</v>
      </c>
      <c r="Z95" s="55"/>
      <c r="AA95" s="51">
        <v>0</v>
      </c>
      <c r="AB95" s="51"/>
      <c r="AC95" s="51">
        <v>0</v>
      </c>
      <c r="AD95" s="51"/>
      <c r="AE95" s="51">
        <v>0</v>
      </c>
      <c r="AF95" s="51"/>
      <c r="AG95" s="56">
        <f t="shared" si="18"/>
        <v>0</v>
      </c>
      <c r="AH95" s="56"/>
      <c r="AI95" s="56">
        <v>0</v>
      </c>
      <c r="AJ95" s="56"/>
      <c r="AK95" s="51">
        <v>0</v>
      </c>
      <c r="AL95" s="51"/>
      <c r="AM95" s="51">
        <v>0</v>
      </c>
      <c r="AN95" s="51"/>
      <c r="AO95" s="51">
        <v>0</v>
      </c>
      <c r="AP95" s="51"/>
      <c r="AQ95" s="56">
        <f t="shared" si="19"/>
        <v>0</v>
      </c>
      <c r="AR95" s="56"/>
      <c r="AS95" s="51">
        <v>0</v>
      </c>
      <c r="AT95" s="51"/>
      <c r="AU95" s="51">
        <v>0</v>
      </c>
      <c r="AV95" s="51"/>
      <c r="AW95" s="51">
        <f t="shared" si="20"/>
        <v>0</v>
      </c>
      <c r="AX95" s="55"/>
      <c r="AY95" s="44" t="s">
        <v>178</v>
      </c>
      <c r="AZ95" s="55"/>
      <c r="BA95" s="51">
        <v>0</v>
      </c>
      <c r="BB95" s="51"/>
      <c r="BC95" s="51">
        <v>0</v>
      </c>
      <c r="BD95" s="51"/>
      <c r="BE95" s="51">
        <v>0</v>
      </c>
      <c r="BF95" s="51"/>
      <c r="BG95" s="51">
        <v>0</v>
      </c>
      <c r="BH95" s="51"/>
      <c r="BI95" s="51"/>
      <c r="BJ95" s="51"/>
      <c r="BK95" s="51">
        <f t="shared" si="25"/>
        <v>0</v>
      </c>
      <c r="BL95" s="1"/>
    </row>
    <row r="96" spans="1:64" ht="12.75" hidden="1">
      <c r="A96" s="44" t="s">
        <v>83</v>
      </c>
      <c r="B96" s="44"/>
      <c r="C96" s="55">
        <f t="shared" si="21"/>
        <v>0</v>
      </c>
      <c r="D96" s="55"/>
      <c r="E96" s="55">
        <v>0</v>
      </c>
      <c r="F96" s="55"/>
      <c r="G96" s="55">
        <v>0</v>
      </c>
      <c r="H96" s="55"/>
      <c r="I96" s="55">
        <f t="shared" si="22"/>
        <v>0</v>
      </c>
      <c r="J96" s="55"/>
      <c r="K96" s="55">
        <f t="shared" si="23"/>
        <v>0</v>
      </c>
      <c r="L96" s="55"/>
      <c r="M96" s="55">
        <v>0</v>
      </c>
      <c r="N96" s="55"/>
      <c r="O96" s="55">
        <v>0</v>
      </c>
      <c r="P96" s="55"/>
      <c r="Q96" s="55">
        <v>0</v>
      </c>
      <c r="R96" s="55"/>
      <c r="S96" s="55">
        <v>0</v>
      </c>
      <c r="T96" s="55"/>
      <c r="U96" s="55">
        <f t="shared" si="24"/>
        <v>0</v>
      </c>
      <c r="V96" s="55"/>
      <c r="W96" s="55">
        <f t="shared" si="26"/>
        <v>0</v>
      </c>
      <c r="X96" s="55"/>
      <c r="Y96" s="44" t="s">
        <v>83</v>
      </c>
      <c r="Z96" s="55"/>
      <c r="AA96" s="51">
        <v>0</v>
      </c>
      <c r="AB96" s="51"/>
      <c r="AC96" s="51">
        <v>0</v>
      </c>
      <c r="AD96" s="51"/>
      <c r="AE96" s="51">
        <v>0</v>
      </c>
      <c r="AF96" s="51"/>
      <c r="AG96" s="56">
        <f t="shared" si="18"/>
        <v>0</v>
      </c>
      <c r="AH96" s="56"/>
      <c r="AI96" s="56">
        <v>0</v>
      </c>
      <c r="AJ96" s="56"/>
      <c r="AK96" s="51">
        <v>0</v>
      </c>
      <c r="AL96" s="51"/>
      <c r="AM96" s="51">
        <v>0</v>
      </c>
      <c r="AN96" s="51"/>
      <c r="AO96" s="51">
        <v>0</v>
      </c>
      <c r="AP96" s="51"/>
      <c r="AQ96" s="56">
        <f t="shared" si="19"/>
        <v>0</v>
      </c>
      <c r="AR96" s="56"/>
      <c r="AS96" s="51">
        <v>0</v>
      </c>
      <c r="AT96" s="51"/>
      <c r="AU96" s="51">
        <v>0</v>
      </c>
      <c r="AV96" s="51"/>
      <c r="AW96" s="51">
        <f t="shared" si="20"/>
        <v>0</v>
      </c>
      <c r="AX96" s="55"/>
      <c r="AY96" s="44" t="s">
        <v>83</v>
      </c>
      <c r="AZ96" s="55"/>
      <c r="BA96" s="51">
        <v>0</v>
      </c>
      <c r="BB96" s="51"/>
      <c r="BC96" s="51">
        <v>0</v>
      </c>
      <c r="BD96" s="51"/>
      <c r="BE96" s="51">
        <v>0</v>
      </c>
      <c r="BF96" s="51"/>
      <c r="BG96" s="51">
        <v>0</v>
      </c>
      <c r="BH96" s="51"/>
      <c r="BI96" s="51"/>
      <c r="BJ96" s="51"/>
      <c r="BK96" s="51">
        <f t="shared" si="25"/>
        <v>0</v>
      </c>
      <c r="BL96" s="66"/>
    </row>
    <row r="97" spans="1:64" ht="12.75" hidden="1">
      <c r="A97" s="44" t="s">
        <v>179</v>
      </c>
      <c r="B97" s="44"/>
      <c r="C97" s="55">
        <f>G97-E97</f>
        <v>0</v>
      </c>
      <c r="D97" s="55"/>
      <c r="E97" s="55">
        <v>0</v>
      </c>
      <c r="F97" s="55"/>
      <c r="G97" s="55">
        <v>0</v>
      </c>
      <c r="H97" s="55"/>
      <c r="I97" s="55">
        <f>M97-K97</f>
        <v>0</v>
      </c>
      <c r="J97" s="55"/>
      <c r="K97" s="55">
        <f>SUM(BK97)</f>
        <v>0</v>
      </c>
      <c r="L97" s="55"/>
      <c r="M97" s="55">
        <v>0</v>
      </c>
      <c r="N97" s="55"/>
      <c r="O97" s="55">
        <v>0</v>
      </c>
      <c r="P97" s="55"/>
      <c r="Q97" s="55">
        <v>0</v>
      </c>
      <c r="R97" s="55"/>
      <c r="S97" s="55">
        <v>0</v>
      </c>
      <c r="T97" s="55"/>
      <c r="U97" s="55">
        <f>SUM(O97:S97)</f>
        <v>0</v>
      </c>
      <c r="V97" s="55"/>
      <c r="W97" s="55">
        <f t="shared" si="26"/>
        <v>0</v>
      </c>
      <c r="X97" s="55"/>
      <c r="Y97" s="44" t="s">
        <v>179</v>
      </c>
      <c r="Z97" s="55"/>
      <c r="AA97" s="51">
        <v>0</v>
      </c>
      <c r="AB97" s="51"/>
      <c r="AC97" s="51">
        <v>0</v>
      </c>
      <c r="AD97" s="51"/>
      <c r="AE97" s="51">
        <v>0</v>
      </c>
      <c r="AF97" s="51"/>
      <c r="AG97" s="56">
        <f>+AA97-AC97-AE97</f>
        <v>0</v>
      </c>
      <c r="AH97" s="56"/>
      <c r="AI97" s="56">
        <v>0</v>
      </c>
      <c r="AJ97" s="56"/>
      <c r="AK97" s="51">
        <v>0</v>
      </c>
      <c r="AL97" s="51"/>
      <c r="AM97" s="51">
        <v>0</v>
      </c>
      <c r="AN97" s="51"/>
      <c r="AO97" s="51">
        <v>0</v>
      </c>
      <c r="AP97" s="51"/>
      <c r="AQ97" s="56">
        <f>+AG97+AI97+AK97-AM97+AO97</f>
        <v>0</v>
      </c>
      <c r="AR97" s="56"/>
      <c r="AS97" s="51">
        <v>0</v>
      </c>
      <c r="AT97" s="51"/>
      <c r="AU97" s="51">
        <v>0</v>
      </c>
      <c r="AV97" s="51"/>
      <c r="AW97" s="51">
        <f>+C97-I97</f>
        <v>0</v>
      </c>
      <c r="AX97" s="55"/>
      <c r="AY97" s="44" t="s">
        <v>179</v>
      </c>
      <c r="AZ97" s="55"/>
      <c r="BA97" s="51">
        <v>0</v>
      </c>
      <c r="BB97" s="51"/>
      <c r="BC97" s="51">
        <v>0</v>
      </c>
      <c r="BD97" s="51"/>
      <c r="BE97" s="51">
        <v>0</v>
      </c>
      <c r="BF97" s="51"/>
      <c r="BG97" s="51">
        <v>0</v>
      </c>
      <c r="BH97" s="51"/>
      <c r="BI97" s="51"/>
      <c r="BJ97" s="51"/>
      <c r="BK97" s="51">
        <f>SUM(BA97:BI97)</f>
        <v>0</v>
      </c>
      <c r="BL97" s="1"/>
    </row>
    <row r="98" spans="1:64" ht="12.75">
      <c r="A98" s="44"/>
      <c r="B98" s="4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44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44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1"/>
      <c r="BL98" s="1"/>
    </row>
    <row r="99" spans="1:64" ht="12.75">
      <c r="A99" s="44"/>
      <c r="B99" s="4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44"/>
      <c r="Z99" s="12"/>
      <c r="AA99" s="12"/>
      <c r="AB99" s="12"/>
      <c r="AC99" s="10"/>
      <c r="AD99" s="10"/>
      <c r="AE99" s="10"/>
      <c r="AF99" s="10"/>
      <c r="AG99" s="11"/>
      <c r="AH99" s="11"/>
      <c r="AI99" s="11"/>
      <c r="AJ99" s="11"/>
      <c r="AK99" s="11"/>
      <c r="AL99" s="11"/>
      <c r="AM99" s="11"/>
      <c r="AN99" s="11"/>
      <c r="AO99" s="1"/>
      <c r="AP99" s="1"/>
      <c r="AQ99" s="1"/>
      <c r="AR99" s="1"/>
      <c r="AS99" s="1"/>
      <c r="AT99" s="1"/>
      <c r="AU99" s="1"/>
      <c r="AV99" s="1"/>
      <c r="AW99" s="107"/>
      <c r="AX99" s="1"/>
      <c r="AY99" s="44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44"/>
      <c r="B100" s="4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>
        <f>SUM(AA11:AA99)</f>
        <v>264253968</v>
      </c>
      <c r="AB100" s="12"/>
      <c r="AC100" s="10"/>
      <c r="AD100" s="10"/>
      <c r="AE100" s="10">
        <f>SUM(AC11:AE98)</f>
        <v>255490118</v>
      </c>
      <c r="AF100" s="10"/>
      <c r="AG100" s="11"/>
      <c r="AH100" s="11"/>
      <c r="AI100" s="11"/>
      <c r="AJ100" s="11"/>
      <c r="AK100" s="11"/>
      <c r="AL100" s="11"/>
      <c r="AM100" s="11"/>
      <c r="AN100" s="1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2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>
      <c r="A101" s="44"/>
      <c r="B101" s="4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0"/>
      <c r="AD101" s="10"/>
      <c r="AE101" s="10"/>
      <c r="AF101" s="10"/>
      <c r="AG101" s="11"/>
      <c r="AH101" s="11"/>
      <c r="AI101" s="11"/>
      <c r="AJ101" s="11"/>
      <c r="AK101" s="11"/>
      <c r="AL101" s="11"/>
      <c r="AM101" s="11"/>
      <c r="AN101" s="1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2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>
      <c r="A102" s="44"/>
      <c r="B102" s="44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0"/>
      <c r="AD102" s="10"/>
      <c r="AE102" s="10"/>
      <c r="AF102" s="10"/>
      <c r="AG102" s="11"/>
      <c r="AH102" s="11"/>
      <c r="AI102" s="11"/>
      <c r="AJ102" s="11"/>
      <c r="AK102" s="11"/>
      <c r="AL102" s="11"/>
      <c r="AM102" s="11"/>
      <c r="AN102" s="1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2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>
      <c r="A103" s="44"/>
      <c r="B103" s="4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0"/>
      <c r="AD103" s="10"/>
      <c r="AE103" s="10"/>
      <c r="AF103" s="10"/>
      <c r="AG103" s="11"/>
      <c r="AH103" s="11"/>
      <c r="AI103" s="11"/>
      <c r="AJ103" s="11"/>
      <c r="AK103" s="11"/>
      <c r="AL103" s="11"/>
      <c r="AM103" s="11"/>
      <c r="AN103" s="1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2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>
      <c r="A104" s="44"/>
      <c r="B104" s="44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0"/>
      <c r="AD104" s="10"/>
      <c r="AE104" s="10"/>
      <c r="AF104" s="10"/>
      <c r="AG104" s="11"/>
      <c r="AH104" s="11"/>
      <c r="AI104" s="11"/>
      <c r="AJ104" s="11"/>
      <c r="AK104" s="11"/>
      <c r="AL104" s="11"/>
      <c r="AM104" s="11"/>
      <c r="AN104" s="1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2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>
      <c r="A105" s="44"/>
      <c r="B105" s="44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0"/>
      <c r="AD105" s="10"/>
      <c r="AE105" s="10"/>
      <c r="AF105" s="10"/>
      <c r="AG105" s="11"/>
      <c r="AH105" s="11"/>
      <c r="AI105" s="11"/>
      <c r="AJ105" s="11"/>
      <c r="AK105" s="11"/>
      <c r="AL105" s="11"/>
      <c r="AM105" s="11"/>
      <c r="AN105" s="1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2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>
      <c r="A106" s="44"/>
      <c r="B106" s="44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0"/>
      <c r="AD106" s="10"/>
      <c r="AE106" s="10"/>
      <c r="AF106" s="10"/>
      <c r="AG106" s="11"/>
      <c r="AH106" s="11"/>
      <c r="AI106" s="11"/>
      <c r="AJ106" s="11"/>
      <c r="AK106" s="11"/>
      <c r="AL106" s="11"/>
      <c r="AM106" s="11"/>
      <c r="AN106" s="1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2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>
      <c r="A107" s="44"/>
      <c r="B107" s="4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0"/>
      <c r="AD107" s="10"/>
      <c r="AE107" s="10"/>
      <c r="AF107" s="10"/>
      <c r="AG107" s="11"/>
      <c r="AH107" s="11"/>
      <c r="AI107" s="11"/>
      <c r="AJ107" s="11"/>
      <c r="AK107" s="11"/>
      <c r="AL107" s="11"/>
      <c r="AM107" s="11"/>
      <c r="AN107" s="1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2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>
      <c r="A108" s="44"/>
      <c r="B108" s="44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0"/>
      <c r="AD108" s="10"/>
      <c r="AE108" s="10"/>
      <c r="AF108" s="10"/>
      <c r="AG108" s="11"/>
      <c r="AH108" s="11"/>
      <c r="AI108" s="11"/>
      <c r="AJ108" s="11"/>
      <c r="AK108" s="11"/>
      <c r="AL108" s="11"/>
      <c r="AM108" s="11"/>
      <c r="AN108" s="1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2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>
      <c r="A109" s="44"/>
      <c r="B109" s="44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0"/>
      <c r="AD109" s="10"/>
      <c r="AE109" s="10"/>
      <c r="AF109" s="10"/>
      <c r="AG109" s="11"/>
      <c r="AH109" s="11"/>
      <c r="AI109" s="11"/>
      <c r="AJ109" s="11"/>
      <c r="AK109" s="11"/>
      <c r="AL109" s="11"/>
      <c r="AM109" s="11"/>
      <c r="AN109" s="1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2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>
      <c r="A110" s="44"/>
      <c r="B110" s="44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0"/>
      <c r="AD110" s="10"/>
      <c r="AE110" s="10"/>
      <c r="AF110" s="10"/>
      <c r="AG110" s="11"/>
      <c r="AH110" s="11"/>
      <c r="AI110" s="11"/>
      <c r="AJ110" s="11"/>
      <c r="AK110" s="11"/>
      <c r="AL110" s="11"/>
      <c r="AM110" s="11"/>
      <c r="AN110" s="1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2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>
      <c r="A111" s="44"/>
      <c r="B111" s="44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0"/>
      <c r="AD111" s="10"/>
      <c r="AE111" s="10"/>
      <c r="AF111" s="10"/>
      <c r="AG111" s="11"/>
      <c r="AH111" s="11"/>
      <c r="AI111" s="11"/>
      <c r="AJ111" s="11"/>
      <c r="AK111" s="11"/>
      <c r="AL111" s="11"/>
      <c r="AM111" s="11"/>
      <c r="AN111" s="1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2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>
      <c r="A112" s="44"/>
      <c r="B112" s="4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0"/>
      <c r="AD112" s="10"/>
      <c r="AE112" s="10"/>
      <c r="AF112" s="10"/>
      <c r="AG112" s="11"/>
      <c r="AH112" s="11"/>
      <c r="AI112" s="11"/>
      <c r="AJ112" s="11"/>
      <c r="AK112" s="11"/>
      <c r="AL112" s="11"/>
      <c r="AM112" s="11"/>
      <c r="AN112" s="1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2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>
      <c r="A113" s="44"/>
      <c r="B113" s="4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0"/>
      <c r="AD113" s="10"/>
      <c r="AE113" s="10"/>
      <c r="AF113" s="10"/>
      <c r="AG113" s="11"/>
      <c r="AH113" s="11"/>
      <c r="AI113" s="11"/>
      <c r="AJ113" s="11"/>
      <c r="AK113" s="11"/>
      <c r="AL113" s="11"/>
      <c r="AM113" s="11"/>
      <c r="AN113" s="1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2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>
      <c r="A114" s="44"/>
      <c r="B114" s="44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0"/>
      <c r="AD114" s="10"/>
      <c r="AE114" s="10"/>
      <c r="AF114" s="10"/>
      <c r="AG114" s="11"/>
      <c r="AH114" s="11"/>
      <c r="AI114" s="11"/>
      <c r="AJ114" s="11"/>
      <c r="AK114" s="11"/>
      <c r="AL114" s="11"/>
      <c r="AM114" s="11"/>
      <c r="AN114" s="1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2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>
      <c r="A115" s="44"/>
      <c r="B115" s="44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0"/>
      <c r="AD115" s="10"/>
      <c r="AE115" s="10"/>
      <c r="AF115" s="10"/>
      <c r="AG115" s="11"/>
      <c r="AH115" s="11"/>
      <c r="AI115" s="11"/>
      <c r="AJ115" s="11"/>
      <c r="AK115" s="11"/>
      <c r="AL115" s="11"/>
      <c r="AM115" s="11"/>
      <c r="AN115" s="1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2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5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2"/>
      <c r="AH116" s="42"/>
      <c r="AI116" s="42"/>
      <c r="AJ116" s="42"/>
      <c r="AK116" s="42"/>
      <c r="AL116" s="42"/>
      <c r="AM116" s="42"/>
      <c r="AN116" s="42"/>
      <c r="AO116" s="44"/>
      <c r="AP116" s="44"/>
      <c r="AY116" s="44"/>
    </row>
    <row r="117" spans="1:5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2"/>
      <c r="AH117" s="42"/>
      <c r="AI117" s="42"/>
      <c r="AJ117" s="42"/>
      <c r="AK117" s="42"/>
      <c r="AL117" s="42"/>
      <c r="AM117" s="42"/>
      <c r="AN117" s="42"/>
      <c r="AO117" s="44"/>
      <c r="AP117" s="44"/>
      <c r="AY117" s="44"/>
    </row>
    <row r="118" spans="1:5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2"/>
      <c r="AH118" s="42"/>
      <c r="AI118" s="42"/>
      <c r="AJ118" s="42"/>
      <c r="AK118" s="42"/>
      <c r="AL118" s="42"/>
      <c r="AM118" s="42"/>
      <c r="AN118" s="42"/>
      <c r="AO118" s="44"/>
      <c r="AP118" s="44"/>
      <c r="AY118" s="44"/>
    </row>
    <row r="119" spans="1:5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2"/>
      <c r="AH119" s="42"/>
      <c r="AI119" s="42"/>
      <c r="AJ119" s="42"/>
      <c r="AK119" s="42"/>
      <c r="AL119" s="42"/>
      <c r="AM119" s="42"/>
      <c r="AN119" s="42"/>
      <c r="AO119" s="44"/>
      <c r="AP119" s="44"/>
      <c r="AY119" s="44"/>
    </row>
    <row r="120" spans="1:5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2"/>
      <c r="AH120" s="42"/>
      <c r="AI120" s="42"/>
      <c r="AJ120" s="42"/>
      <c r="AK120" s="42"/>
      <c r="AL120" s="42"/>
      <c r="AM120" s="42"/>
      <c r="AN120" s="42"/>
      <c r="AO120" s="44"/>
      <c r="AP120" s="44"/>
      <c r="AY120" s="44"/>
    </row>
    <row r="121" spans="1:5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2"/>
      <c r="AH121" s="42"/>
      <c r="AI121" s="42"/>
      <c r="AJ121" s="42"/>
      <c r="AK121" s="42"/>
      <c r="AL121" s="42"/>
      <c r="AM121" s="42"/>
      <c r="AN121" s="42"/>
      <c r="AO121" s="44"/>
      <c r="AP121" s="44"/>
      <c r="AY121" s="44"/>
    </row>
    <row r="122" spans="1:5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2"/>
      <c r="AH122" s="42"/>
      <c r="AI122" s="42"/>
      <c r="AJ122" s="42"/>
      <c r="AK122" s="42"/>
      <c r="AL122" s="42"/>
      <c r="AM122" s="42"/>
      <c r="AN122" s="42"/>
      <c r="AO122" s="44"/>
      <c r="AP122" s="44"/>
      <c r="AY122" s="44"/>
    </row>
    <row r="123" spans="1:5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2"/>
      <c r="AH123" s="42"/>
      <c r="AI123" s="42"/>
      <c r="AJ123" s="42"/>
      <c r="AK123" s="42"/>
      <c r="AL123" s="42"/>
      <c r="AM123" s="42"/>
      <c r="AN123" s="42"/>
      <c r="AO123" s="44"/>
      <c r="AP123" s="44"/>
      <c r="AY123" s="44"/>
    </row>
    <row r="124" spans="1:5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2"/>
      <c r="AH124" s="42"/>
      <c r="AI124" s="42"/>
      <c r="AJ124" s="42"/>
      <c r="AK124" s="42"/>
      <c r="AL124" s="42"/>
      <c r="AM124" s="42"/>
      <c r="AN124" s="42"/>
      <c r="AO124" s="44"/>
      <c r="AP124" s="44"/>
      <c r="AY124" s="44"/>
    </row>
    <row r="125" spans="1:5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2"/>
      <c r="AH125" s="42"/>
      <c r="AI125" s="42"/>
      <c r="AJ125" s="42"/>
      <c r="AK125" s="42"/>
      <c r="AL125" s="42"/>
      <c r="AM125" s="42"/>
      <c r="AN125" s="42"/>
      <c r="AO125" s="44"/>
      <c r="AP125" s="44"/>
      <c r="AY125" s="44"/>
    </row>
    <row r="126" spans="1:5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2"/>
      <c r="AH126" s="42"/>
      <c r="AI126" s="42"/>
      <c r="AJ126" s="42"/>
      <c r="AK126" s="42"/>
      <c r="AL126" s="42"/>
      <c r="AM126" s="42"/>
      <c r="AN126" s="42"/>
      <c r="AO126" s="44"/>
      <c r="AP126" s="44"/>
      <c r="AY126" s="44"/>
    </row>
    <row r="127" spans="1:5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2"/>
      <c r="AH127" s="42"/>
      <c r="AI127" s="42"/>
      <c r="AJ127" s="42"/>
      <c r="AK127" s="42"/>
      <c r="AL127" s="42"/>
      <c r="AM127" s="42"/>
      <c r="AN127" s="42"/>
      <c r="AO127" s="44"/>
      <c r="AP127" s="44"/>
      <c r="AY127" s="44"/>
    </row>
    <row r="128" spans="1:5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2"/>
      <c r="AH128" s="42"/>
      <c r="AI128" s="42"/>
      <c r="AJ128" s="42"/>
      <c r="AK128" s="42"/>
      <c r="AL128" s="42"/>
      <c r="AM128" s="42"/>
      <c r="AN128" s="42"/>
      <c r="AO128" s="44"/>
      <c r="AP128" s="44"/>
      <c r="AY128" s="44"/>
    </row>
    <row r="129" spans="1:5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2"/>
      <c r="AH129" s="42"/>
      <c r="AI129" s="42"/>
      <c r="AJ129" s="42"/>
      <c r="AK129" s="42"/>
      <c r="AL129" s="42"/>
      <c r="AM129" s="42"/>
      <c r="AN129" s="42"/>
      <c r="AO129" s="44"/>
      <c r="AP129" s="44"/>
      <c r="AY129" s="44"/>
    </row>
    <row r="130" spans="1:5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2"/>
      <c r="AH130" s="42"/>
      <c r="AI130" s="42"/>
      <c r="AJ130" s="42"/>
      <c r="AK130" s="42"/>
      <c r="AL130" s="42"/>
      <c r="AM130" s="42"/>
      <c r="AN130" s="42"/>
      <c r="AO130" s="44"/>
      <c r="AP130" s="44"/>
      <c r="AY130" s="44"/>
    </row>
    <row r="131" spans="1:5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2"/>
      <c r="AH131" s="42"/>
      <c r="AI131" s="42"/>
      <c r="AJ131" s="42"/>
      <c r="AK131" s="42"/>
      <c r="AL131" s="42"/>
      <c r="AM131" s="42"/>
      <c r="AN131" s="42"/>
      <c r="AO131" s="44"/>
      <c r="AP131" s="44"/>
      <c r="AY131" s="44"/>
    </row>
    <row r="132" spans="1:5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2"/>
      <c r="AH132" s="42"/>
      <c r="AI132" s="42"/>
      <c r="AJ132" s="42"/>
      <c r="AK132" s="42"/>
      <c r="AL132" s="42"/>
      <c r="AM132" s="42"/>
      <c r="AN132" s="42"/>
      <c r="AO132" s="44"/>
      <c r="AP132" s="44"/>
      <c r="AY132" s="44"/>
    </row>
  </sheetData>
  <printOptions/>
  <pageMargins left="1" right="1" top="0.5" bottom="0.5" header="0" footer="0.25"/>
  <pageSetup firstPageNumber="46" useFirstPageNumber="1" horizontalDpi="600" verticalDpi="600" orientation="portrait" scale="93" r:id="rId1"/>
  <headerFooter alignWithMargins="0">
    <oddFooter>&amp;C&amp;"Times New Roman,Regular"&amp;11&amp;P</oddFooter>
  </headerFooter>
  <colBreaks count="2" manualBreakCount="2">
    <brk id="22" max="93" man="1"/>
    <brk id="50" max="9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BH111"/>
  <sheetViews>
    <sheetView tabSelected="1" zoomScaleSheetLayoutView="100" workbookViewId="0" topLeftCell="A1">
      <pane xSplit="1" ySplit="8" topLeftCell="P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C101" sqref="AC101"/>
    </sheetView>
  </sheetViews>
  <sheetFormatPr defaultColWidth="9.140625" defaultRowHeight="12.75"/>
  <cols>
    <col min="1" max="1" width="17.28125" style="4" customWidth="1"/>
    <col min="2" max="2" width="1.7109375" style="4" customWidth="1"/>
    <col min="3" max="3" width="11.7109375" style="4" customWidth="1"/>
    <col min="4" max="4" width="1.7109375" style="4" customWidth="1"/>
    <col min="5" max="5" width="11.7109375" style="4" customWidth="1"/>
    <col min="6" max="6" width="1.7109375" style="4" customWidth="1"/>
    <col min="7" max="7" width="11.7109375" style="4" customWidth="1"/>
    <col min="8" max="8" width="1.7109375" style="4" customWidth="1"/>
    <col min="9" max="9" width="11.7109375" style="4" customWidth="1"/>
    <col min="10" max="10" width="1.7109375" style="4" customWidth="1"/>
    <col min="11" max="11" width="11.7109375" style="4" customWidth="1"/>
    <col min="12" max="12" width="1.7109375" style="4" customWidth="1"/>
    <col min="13" max="13" width="11.7109375" style="4" customWidth="1"/>
    <col min="14" max="14" width="1.7109375" style="4" customWidth="1"/>
    <col min="15" max="15" width="11.7109375" style="4" customWidth="1"/>
    <col min="16" max="16" width="1.7109375" style="4" customWidth="1"/>
    <col min="17" max="17" width="11.7109375" style="4" customWidth="1"/>
    <col min="18" max="18" width="1.7109375" style="4" customWidth="1"/>
    <col min="19" max="19" width="11.7109375" style="4" customWidth="1"/>
    <col min="20" max="20" width="1.7109375" style="4" customWidth="1"/>
    <col min="21" max="21" width="11.7109375" style="4" customWidth="1"/>
    <col min="22" max="22" width="1.7109375" style="4" customWidth="1"/>
    <col min="23" max="23" width="15.7109375" style="4" customWidth="1"/>
    <col min="24" max="24" width="1.7109375" style="4" customWidth="1"/>
    <col min="25" max="25" width="11.7109375" style="4" customWidth="1"/>
    <col min="26" max="26" width="1.7109375" style="4" customWidth="1"/>
    <col min="27" max="27" width="11.7109375" style="4" customWidth="1"/>
    <col min="28" max="28" width="1.7109375" style="4" customWidth="1"/>
    <col min="29" max="29" width="11.7109375" style="4" customWidth="1"/>
    <col min="30" max="30" width="1.7109375" style="4" customWidth="1"/>
    <col min="31" max="31" width="11.7109375" style="9" customWidth="1"/>
    <col min="32" max="32" width="1.7109375" style="9" customWidth="1"/>
    <col min="33" max="33" width="11.7109375" style="9" customWidth="1"/>
    <col min="34" max="34" width="1.7109375" style="9" customWidth="1"/>
    <col min="35" max="35" width="10.7109375" style="9" customWidth="1"/>
    <col min="36" max="36" width="1.7109375" style="9" customWidth="1"/>
    <col min="37" max="37" width="10.7109375" style="9" customWidth="1"/>
    <col min="38" max="38" width="1.7109375" style="9" customWidth="1"/>
    <col min="39" max="39" width="10.7109375" style="2" customWidth="1"/>
    <col min="40" max="40" width="1.7109375" style="2" customWidth="1"/>
    <col min="41" max="41" width="10.7109375" style="2" customWidth="1"/>
    <col min="42" max="42" width="1.7109375" style="2" customWidth="1"/>
    <col min="43" max="43" width="10.7109375" style="2" hidden="1" customWidth="1"/>
    <col min="44" max="44" width="1.7109375" style="2" hidden="1" customWidth="1"/>
    <col min="45" max="45" width="10.7109375" style="2" hidden="1" customWidth="1"/>
    <col min="46" max="46" width="1.7109375" style="2" hidden="1" customWidth="1"/>
    <col min="47" max="47" width="10.7109375" style="2" customWidth="1"/>
    <col min="48" max="48" width="1.7109375" style="2" customWidth="1"/>
    <col min="49" max="49" width="15.7109375" style="2" customWidth="1"/>
    <col min="50" max="50" width="1.7109375" style="2" customWidth="1"/>
    <col min="51" max="51" width="11.7109375" style="2" customWidth="1"/>
    <col min="52" max="52" width="1.7109375" style="2" customWidth="1"/>
    <col min="53" max="53" width="11.7109375" style="2" customWidth="1"/>
    <col min="54" max="54" width="1.7109375" style="2" customWidth="1"/>
    <col min="55" max="55" width="11.7109375" style="2" customWidth="1"/>
    <col min="56" max="56" width="1.7109375" style="2" customWidth="1"/>
    <col min="57" max="57" width="11.7109375" style="2" customWidth="1"/>
    <col min="58" max="58" width="1.7109375" style="2" customWidth="1"/>
    <col min="59" max="59" width="11.7109375" style="2" customWidth="1"/>
    <col min="60" max="16384" width="8.421875" style="2" customWidth="1"/>
  </cols>
  <sheetData>
    <row r="1" spans="1:60" s="18" customFormat="1" ht="12.75">
      <c r="A1" s="41" t="s">
        <v>205</v>
      </c>
      <c r="B1" s="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98" t="s">
        <v>203</v>
      </c>
      <c r="X1" s="5"/>
      <c r="Y1" s="5"/>
      <c r="Z1" s="5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41" t="s">
        <v>203</v>
      </c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</row>
    <row r="2" spans="1:60" s="18" customFormat="1" ht="12.75">
      <c r="A2" s="34" t="s">
        <v>252</v>
      </c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4" t="s">
        <v>254</v>
      </c>
      <c r="X2" s="5"/>
      <c r="Y2" s="5"/>
      <c r="Z2" s="5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34" t="s">
        <v>252</v>
      </c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1:60" ht="12.75">
      <c r="A3" s="43"/>
      <c r="B3" s="8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99"/>
      <c r="X3" s="6"/>
      <c r="Y3" s="6"/>
      <c r="Z3" s="6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"/>
      <c r="AN3" s="1"/>
      <c r="AO3" s="1"/>
      <c r="AP3" s="1"/>
      <c r="AQ3" s="1"/>
      <c r="AR3" s="1"/>
      <c r="AS3" s="1"/>
      <c r="AT3" s="1"/>
      <c r="AU3" s="1"/>
      <c r="AV3" s="1"/>
      <c r="AW3" s="43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2.75">
      <c r="A4" s="24" t="s">
        <v>191</v>
      </c>
      <c r="B4" s="23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24" t="s">
        <v>191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24" t="s">
        <v>191</v>
      </c>
      <c r="AX4" s="48"/>
      <c r="BF4" s="73"/>
      <c r="BG4" s="51"/>
      <c r="BH4" s="1"/>
    </row>
    <row r="5" spans="1:60" ht="12.75">
      <c r="A5" s="24"/>
      <c r="B5" s="23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50" t="s">
        <v>141</v>
      </c>
      <c r="P5" s="50"/>
      <c r="Q5" s="50"/>
      <c r="R5" s="50"/>
      <c r="S5" s="50"/>
      <c r="T5" s="50"/>
      <c r="U5" s="50"/>
      <c r="V5" s="48"/>
      <c r="W5" s="24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24"/>
      <c r="AX5" s="48"/>
      <c r="AY5" s="49" t="s">
        <v>102</v>
      </c>
      <c r="AZ5" s="49"/>
      <c r="BA5" s="49"/>
      <c r="BB5" s="49"/>
      <c r="BC5" s="49"/>
      <c r="BD5" s="49"/>
      <c r="BE5" s="50"/>
      <c r="BF5" s="73"/>
      <c r="BG5" s="51"/>
      <c r="BH5" s="1"/>
    </row>
    <row r="6" spans="1:60" ht="12.75">
      <c r="A6" s="45"/>
      <c r="B6" s="52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U6" s="48" t="s">
        <v>4</v>
      </c>
      <c r="V6" s="73"/>
      <c r="W6" s="45"/>
      <c r="X6" s="73"/>
      <c r="Y6" s="48"/>
      <c r="Z6" s="48"/>
      <c r="AA6" s="48"/>
      <c r="AB6" s="48"/>
      <c r="AC6" s="48"/>
      <c r="AD6" s="48"/>
      <c r="AE6" s="48"/>
      <c r="AF6" s="48"/>
      <c r="AG6" s="48" t="s">
        <v>161</v>
      </c>
      <c r="AH6" s="48"/>
      <c r="AI6" s="48"/>
      <c r="AJ6" s="48"/>
      <c r="AK6" s="48"/>
      <c r="AL6" s="48"/>
      <c r="AM6" s="48"/>
      <c r="AN6" s="48"/>
      <c r="AO6" s="48"/>
      <c r="AP6" s="48"/>
      <c r="AQ6" s="48" t="s">
        <v>158</v>
      </c>
      <c r="AR6" s="48"/>
      <c r="AS6" s="48" t="s">
        <v>158</v>
      </c>
      <c r="AT6" s="48"/>
      <c r="AU6" s="48"/>
      <c r="AV6" s="48"/>
      <c r="AW6" s="45"/>
      <c r="AX6" s="48"/>
      <c r="AY6" s="48" t="s">
        <v>103</v>
      </c>
      <c r="AZ6" s="48"/>
      <c r="BA6" s="48" t="s">
        <v>104</v>
      </c>
      <c r="BB6" s="48"/>
      <c r="BC6" s="48"/>
      <c r="BD6" s="48"/>
      <c r="BE6" s="48" t="s">
        <v>105</v>
      </c>
      <c r="BF6" s="48"/>
      <c r="BG6" s="53" t="s">
        <v>4</v>
      </c>
      <c r="BH6" s="1"/>
    </row>
    <row r="7" spans="1:60" ht="12.75">
      <c r="A7" s="45"/>
      <c r="B7" s="48"/>
      <c r="C7" s="48" t="s">
        <v>138</v>
      </c>
      <c r="D7" s="48"/>
      <c r="E7" s="48" t="s">
        <v>159</v>
      </c>
      <c r="F7" s="48"/>
      <c r="G7" s="48" t="s">
        <v>4</v>
      </c>
      <c r="H7" s="48"/>
      <c r="I7" s="48" t="s">
        <v>138</v>
      </c>
      <c r="J7" s="48"/>
      <c r="K7" s="48" t="s">
        <v>159</v>
      </c>
      <c r="L7" s="48"/>
      <c r="M7" s="48" t="s">
        <v>4</v>
      </c>
      <c r="N7" s="48"/>
      <c r="O7" s="48" t="s">
        <v>142</v>
      </c>
      <c r="P7" s="48"/>
      <c r="Q7" s="48"/>
      <c r="R7" s="48"/>
      <c r="S7" s="48"/>
      <c r="T7" s="48"/>
      <c r="U7" s="76" t="s">
        <v>247</v>
      </c>
      <c r="V7" s="48"/>
      <c r="W7" s="45"/>
      <c r="X7" s="48"/>
      <c r="Y7" s="48" t="s">
        <v>101</v>
      </c>
      <c r="Z7" s="48"/>
      <c r="AA7" s="48" t="s">
        <v>160</v>
      </c>
      <c r="AB7" s="48"/>
      <c r="AC7" s="48"/>
      <c r="AD7" s="48"/>
      <c r="AE7" s="48" t="s">
        <v>101</v>
      </c>
      <c r="AF7" s="48"/>
      <c r="AG7" s="48" t="s">
        <v>12</v>
      </c>
      <c r="AH7" s="48"/>
      <c r="AI7" s="48"/>
      <c r="AJ7" s="48"/>
      <c r="AK7" s="48"/>
      <c r="AL7" s="48"/>
      <c r="AM7" s="48" t="s">
        <v>87</v>
      </c>
      <c r="AN7" s="48"/>
      <c r="AO7" s="48" t="s">
        <v>246</v>
      </c>
      <c r="AP7" s="48"/>
      <c r="AQ7" s="48" t="s">
        <v>163</v>
      </c>
      <c r="AR7" s="48"/>
      <c r="AS7" s="48" t="s">
        <v>163</v>
      </c>
      <c r="AT7" s="48"/>
      <c r="AU7" s="48" t="s">
        <v>106</v>
      </c>
      <c r="AV7" s="48"/>
      <c r="AW7" s="45"/>
      <c r="AX7" s="48"/>
      <c r="AY7" s="48" t="s">
        <v>107</v>
      </c>
      <c r="AZ7" s="48"/>
      <c r="BA7" s="48" t="s">
        <v>12</v>
      </c>
      <c r="BB7" s="48"/>
      <c r="BC7" s="48"/>
      <c r="BD7" s="48"/>
      <c r="BE7" s="48" t="s">
        <v>108</v>
      </c>
      <c r="BF7" s="48"/>
      <c r="BG7" s="53" t="s">
        <v>108</v>
      </c>
      <c r="BH7" s="1"/>
    </row>
    <row r="8" spans="1:60" ht="12.75">
      <c r="A8" s="46" t="s">
        <v>5</v>
      </c>
      <c r="B8" s="2"/>
      <c r="C8" s="57" t="s">
        <v>116</v>
      </c>
      <c r="D8" s="2"/>
      <c r="E8" s="57" t="s">
        <v>116</v>
      </c>
      <c r="F8" s="2"/>
      <c r="G8" s="57" t="s">
        <v>116</v>
      </c>
      <c r="H8" s="2"/>
      <c r="I8" s="57" t="s">
        <v>122</v>
      </c>
      <c r="J8" s="2"/>
      <c r="K8" s="57" t="s">
        <v>122</v>
      </c>
      <c r="L8" s="2"/>
      <c r="M8" s="57" t="s">
        <v>122</v>
      </c>
      <c r="N8" s="2"/>
      <c r="O8" s="57" t="s">
        <v>144</v>
      </c>
      <c r="P8" s="2"/>
      <c r="Q8" s="57" t="s">
        <v>145</v>
      </c>
      <c r="R8" s="2"/>
      <c r="S8" s="57" t="s">
        <v>146</v>
      </c>
      <c r="T8" s="2"/>
      <c r="U8" s="57" t="s">
        <v>116</v>
      </c>
      <c r="V8" s="2"/>
      <c r="W8" s="46" t="s">
        <v>5</v>
      </c>
      <c r="X8" s="2"/>
      <c r="Y8" s="57" t="s">
        <v>12</v>
      </c>
      <c r="Z8" s="2"/>
      <c r="AA8" s="57" t="s">
        <v>109</v>
      </c>
      <c r="AB8" s="2"/>
      <c r="AC8" s="57" t="s">
        <v>109</v>
      </c>
      <c r="AD8" s="2"/>
      <c r="AE8" s="57" t="s">
        <v>110</v>
      </c>
      <c r="AF8" s="2"/>
      <c r="AG8" s="57" t="s">
        <v>245</v>
      </c>
      <c r="AH8" s="2"/>
      <c r="AI8" s="57" t="s">
        <v>111</v>
      </c>
      <c r="AJ8" s="2"/>
      <c r="AK8" s="57" t="s">
        <v>112</v>
      </c>
      <c r="AL8" s="2"/>
      <c r="AM8" s="57" t="s">
        <v>165</v>
      </c>
      <c r="AO8" s="57" t="s">
        <v>141</v>
      </c>
      <c r="AQ8" s="58" t="s">
        <v>166</v>
      </c>
      <c r="AS8" s="58" t="s">
        <v>167</v>
      </c>
      <c r="AU8" s="57" t="s">
        <v>87</v>
      </c>
      <c r="AW8" s="46" t="s">
        <v>5</v>
      </c>
      <c r="AY8" s="57" t="s">
        <v>113</v>
      </c>
      <c r="BA8" s="57" t="s">
        <v>113</v>
      </c>
      <c r="BC8" s="57" t="s">
        <v>114</v>
      </c>
      <c r="BE8" s="57" t="s">
        <v>115</v>
      </c>
      <c r="BG8" s="59" t="s">
        <v>122</v>
      </c>
      <c r="BH8" s="1"/>
    </row>
    <row r="9" spans="1:60" ht="12.75" hidden="1">
      <c r="A9" s="44" t="s">
        <v>13</v>
      </c>
      <c r="B9" s="54"/>
      <c r="C9" s="55">
        <f>G9-E9</f>
        <v>0</v>
      </c>
      <c r="D9" s="55"/>
      <c r="E9" s="55">
        <v>0</v>
      </c>
      <c r="F9" s="55"/>
      <c r="G9" s="55">
        <v>0</v>
      </c>
      <c r="H9" s="55"/>
      <c r="I9" s="55">
        <f>M9-K9</f>
        <v>0</v>
      </c>
      <c r="J9" s="55"/>
      <c r="K9" s="55">
        <f>SUM(BG9)</f>
        <v>0</v>
      </c>
      <c r="L9" s="55"/>
      <c r="M9" s="55">
        <v>0</v>
      </c>
      <c r="N9" s="55"/>
      <c r="O9" s="55">
        <v>0</v>
      </c>
      <c r="P9" s="55"/>
      <c r="Q9" s="55">
        <v>0</v>
      </c>
      <c r="R9" s="55"/>
      <c r="S9" s="55">
        <v>0</v>
      </c>
      <c r="T9" s="55"/>
      <c r="U9" s="55">
        <f>SUM(O9:S9)</f>
        <v>0</v>
      </c>
      <c r="V9" s="54"/>
      <c r="W9" s="44" t="s">
        <v>13</v>
      </c>
      <c r="X9" s="54"/>
      <c r="Y9" s="51">
        <v>0</v>
      </c>
      <c r="Z9" s="51"/>
      <c r="AA9" s="51">
        <v>0</v>
      </c>
      <c r="AB9" s="51"/>
      <c r="AC9" s="51">
        <v>0</v>
      </c>
      <c r="AD9" s="51"/>
      <c r="AE9" s="56">
        <f>+Y9-AA9-AC9</f>
        <v>0</v>
      </c>
      <c r="AF9" s="56"/>
      <c r="AG9" s="56">
        <v>0</v>
      </c>
      <c r="AH9" s="56"/>
      <c r="AI9" s="51">
        <v>0</v>
      </c>
      <c r="AJ9" s="51"/>
      <c r="AK9" s="51">
        <v>0</v>
      </c>
      <c r="AL9" s="51"/>
      <c r="AM9" s="51">
        <v>0</v>
      </c>
      <c r="AN9" s="51"/>
      <c r="AO9" s="56">
        <f>+AE9+AG9+AI9-AK9+AM9</f>
        <v>0</v>
      </c>
      <c r="AP9" s="56"/>
      <c r="AQ9" s="51">
        <v>0</v>
      </c>
      <c r="AR9" s="51"/>
      <c r="AS9" s="51">
        <v>0</v>
      </c>
      <c r="AT9" s="51"/>
      <c r="AU9" s="51">
        <f>+C9-I9</f>
        <v>0</v>
      </c>
      <c r="AV9" s="54"/>
      <c r="AW9" s="44" t="s">
        <v>13</v>
      </c>
      <c r="AX9" s="54"/>
      <c r="AY9" s="51">
        <v>0</v>
      </c>
      <c r="AZ9" s="51"/>
      <c r="BA9" s="51">
        <v>0</v>
      </c>
      <c r="BB9" s="51"/>
      <c r="BC9" s="51">
        <v>0</v>
      </c>
      <c r="BD9" s="51"/>
      <c r="BE9" s="51">
        <v>0</v>
      </c>
      <c r="BF9" s="51"/>
      <c r="BG9" s="51">
        <f>SUM(AY9:BE9)</f>
        <v>0</v>
      </c>
      <c r="BH9" s="1"/>
    </row>
    <row r="10" spans="1:60" ht="12.75" hidden="1">
      <c r="A10" s="44"/>
      <c r="B10" s="54"/>
      <c r="C10" s="55">
        <f>G10-E10</f>
        <v>0</v>
      </c>
      <c r="D10" s="55"/>
      <c r="E10" s="55">
        <v>0</v>
      </c>
      <c r="F10" s="55"/>
      <c r="G10" s="55">
        <v>0</v>
      </c>
      <c r="H10" s="55"/>
      <c r="I10" s="55">
        <f aca="true" t="shared" si="0" ref="I10:I74">M10-K10</f>
        <v>0</v>
      </c>
      <c r="J10" s="55"/>
      <c r="K10" s="55">
        <f aca="true" t="shared" si="1" ref="K10:K74">SUM(BG10)</f>
        <v>0</v>
      </c>
      <c r="L10" s="55"/>
      <c r="M10" s="55">
        <v>0</v>
      </c>
      <c r="N10" s="55"/>
      <c r="O10" s="55">
        <v>0</v>
      </c>
      <c r="P10" s="55"/>
      <c r="Q10" s="55">
        <v>0</v>
      </c>
      <c r="R10" s="55"/>
      <c r="S10" s="55">
        <v>0</v>
      </c>
      <c r="T10" s="55"/>
      <c r="U10" s="55">
        <f aca="true" t="shared" si="2" ref="U10:U74">SUM(O10:S10)</f>
        <v>0</v>
      </c>
      <c r="V10" s="54"/>
      <c r="W10" s="44"/>
      <c r="X10" s="54"/>
      <c r="Y10" s="51">
        <v>0</v>
      </c>
      <c r="Z10" s="51"/>
      <c r="AA10" s="51">
        <v>0</v>
      </c>
      <c r="AB10" s="51"/>
      <c r="AC10" s="51">
        <v>0</v>
      </c>
      <c r="AD10" s="51"/>
      <c r="AE10" s="56">
        <f aca="true" t="shared" si="3" ref="AE10:AE74">+Y10-AA10-AC10</f>
        <v>0</v>
      </c>
      <c r="AF10" s="56"/>
      <c r="AG10" s="56">
        <v>0</v>
      </c>
      <c r="AH10" s="56"/>
      <c r="AI10" s="51">
        <v>0</v>
      </c>
      <c r="AJ10" s="51"/>
      <c r="AK10" s="51">
        <v>0</v>
      </c>
      <c r="AL10" s="51"/>
      <c r="AM10" s="51">
        <v>0</v>
      </c>
      <c r="AN10" s="51"/>
      <c r="AO10" s="56">
        <f aca="true" t="shared" si="4" ref="AO10:AO74">+AE10+AG10+AI10-AK10+AM10</f>
        <v>0</v>
      </c>
      <c r="AP10" s="56"/>
      <c r="AQ10" s="51">
        <v>0</v>
      </c>
      <c r="AR10" s="51"/>
      <c r="AS10" s="51">
        <v>0</v>
      </c>
      <c r="AT10" s="51"/>
      <c r="AU10" s="51">
        <f aca="true" t="shared" si="5" ref="AU10:AU74">+C10-I10</f>
        <v>0</v>
      </c>
      <c r="AV10" s="54"/>
      <c r="AW10" s="44"/>
      <c r="AX10" s="54"/>
      <c r="AY10" s="51">
        <v>0</v>
      </c>
      <c r="AZ10" s="51"/>
      <c r="BA10" s="51">
        <v>0</v>
      </c>
      <c r="BB10" s="51"/>
      <c r="BC10" s="51">
        <v>0</v>
      </c>
      <c r="BD10" s="51"/>
      <c r="BE10" s="51">
        <v>0</v>
      </c>
      <c r="BF10" s="51"/>
      <c r="BG10" s="51">
        <f>SUM(AY10:BE10)</f>
        <v>0</v>
      </c>
      <c r="BH10" s="1"/>
    </row>
    <row r="11" spans="1:60" ht="12.75">
      <c r="A11" s="44"/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4"/>
      <c r="W11" s="44"/>
      <c r="X11" s="54"/>
      <c r="Y11" s="51"/>
      <c r="Z11" s="51"/>
      <c r="AA11" s="51"/>
      <c r="AB11" s="51"/>
      <c r="AC11" s="51"/>
      <c r="AD11" s="51"/>
      <c r="AE11" s="56"/>
      <c r="AF11" s="56"/>
      <c r="AG11" s="56"/>
      <c r="AH11" s="56"/>
      <c r="AI11" s="51"/>
      <c r="AJ11" s="51"/>
      <c r="AK11" s="51"/>
      <c r="AL11" s="51"/>
      <c r="AM11" s="51"/>
      <c r="AN11" s="51"/>
      <c r="AO11" s="56"/>
      <c r="AP11" s="56"/>
      <c r="AQ11" s="51"/>
      <c r="AR11" s="51"/>
      <c r="AS11" s="51"/>
      <c r="AT11" s="51"/>
      <c r="AU11" s="51"/>
      <c r="AV11" s="54"/>
      <c r="AW11" s="44"/>
      <c r="AX11" s="54"/>
      <c r="AY11" s="51"/>
      <c r="AZ11" s="51"/>
      <c r="BA11" s="51"/>
      <c r="BB11" s="51"/>
      <c r="BC11" s="51"/>
      <c r="BD11" s="51"/>
      <c r="BE11" s="51"/>
      <c r="BF11" s="51"/>
      <c r="BG11" s="51"/>
      <c r="BH11" s="1"/>
    </row>
    <row r="12" spans="1:60" s="151" customFormat="1" ht="12.75">
      <c r="A12" s="105" t="s">
        <v>14</v>
      </c>
      <c r="B12" s="149"/>
      <c r="C12" s="55">
        <f aca="true" t="shared" si="6" ref="C12:C26">G12-E12</f>
        <v>1088035</v>
      </c>
      <c r="D12" s="100"/>
      <c r="E12" s="100">
        <v>96230</v>
      </c>
      <c r="F12" s="100"/>
      <c r="G12" s="100">
        <v>1184265</v>
      </c>
      <c r="H12" s="100"/>
      <c r="I12" s="100">
        <f aca="true" t="shared" si="7" ref="I12:I26">M12-K12</f>
        <v>56225</v>
      </c>
      <c r="J12" s="100"/>
      <c r="K12" s="100">
        <f aca="true" t="shared" si="8" ref="K12:K26">SUM(BG12)</f>
        <v>1823574</v>
      </c>
      <c r="L12" s="100"/>
      <c r="M12" s="100">
        <v>1879799</v>
      </c>
      <c r="N12" s="100"/>
      <c r="O12" s="100">
        <v>96230</v>
      </c>
      <c r="P12" s="100"/>
      <c r="Q12" s="100">
        <v>0</v>
      </c>
      <c r="R12" s="100"/>
      <c r="S12" s="100">
        <v>-791764</v>
      </c>
      <c r="T12" s="100"/>
      <c r="U12" s="100">
        <f aca="true" t="shared" si="9" ref="U12:U26">SUM(O12:S12)</f>
        <v>-695534</v>
      </c>
      <c r="V12" s="100"/>
      <c r="W12" s="105" t="s">
        <v>14</v>
      </c>
      <c r="X12" s="100"/>
      <c r="Y12" s="100">
        <v>238662</v>
      </c>
      <c r="Z12" s="106"/>
      <c r="AA12" s="100">
        <f>323472-7670</f>
        <v>315802</v>
      </c>
      <c r="AB12" s="106"/>
      <c r="AC12" s="100">
        <v>7670</v>
      </c>
      <c r="AD12" s="106"/>
      <c r="AE12" s="144">
        <f aca="true" t="shared" si="10" ref="AE12:AE26">+Y12-AA12-AC12</f>
        <v>-84810</v>
      </c>
      <c r="AF12" s="144"/>
      <c r="AG12" s="100">
        <v>887</v>
      </c>
      <c r="AH12" s="144"/>
      <c r="AI12" s="100">
        <v>0</v>
      </c>
      <c r="AJ12" s="106"/>
      <c r="AK12" s="100">
        <v>9883</v>
      </c>
      <c r="AL12" s="106"/>
      <c r="AM12" s="106">
        <v>0</v>
      </c>
      <c r="AN12" s="106"/>
      <c r="AO12" s="144">
        <f aca="true" t="shared" si="11" ref="AO12:AO26">+AE12+AG12+AI12-AK12+AM12</f>
        <v>-93806</v>
      </c>
      <c r="AP12" s="144"/>
      <c r="AQ12" s="106">
        <v>0</v>
      </c>
      <c r="AR12" s="106"/>
      <c r="AS12" s="106">
        <v>0</v>
      </c>
      <c r="AT12" s="106"/>
      <c r="AU12" s="106">
        <f aca="true" t="shared" si="12" ref="AU12:AU26">+C12-I12</f>
        <v>1031810</v>
      </c>
      <c r="AV12" s="106"/>
      <c r="AW12" s="105" t="s">
        <v>14</v>
      </c>
      <c r="AX12" s="106"/>
      <c r="AY12" s="106">
        <v>0</v>
      </c>
      <c r="AZ12" s="106"/>
      <c r="BA12" s="106">
        <v>0</v>
      </c>
      <c r="BB12" s="106"/>
      <c r="BC12" s="106">
        <v>0</v>
      </c>
      <c r="BD12" s="106"/>
      <c r="BE12" s="106">
        <v>1823574</v>
      </c>
      <c r="BF12" s="106"/>
      <c r="BG12" s="106">
        <f>SUM(AY12:BE12)</f>
        <v>1823574</v>
      </c>
      <c r="BH12" s="150"/>
    </row>
    <row r="13" spans="1:60" ht="12.75" hidden="1">
      <c r="A13" s="44" t="s">
        <v>15</v>
      </c>
      <c r="B13" s="54"/>
      <c r="C13" s="55">
        <f t="shared" si="6"/>
        <v>0</v>
      </c>
      <c r="D13" s="55"/>
      <c r="E13" s="55">
        <v>0</v>
      </c>
      <c r="F13" s="55"/>
      <c r="G13" s="55">
        <v>0</v>
      </c>
      <c r="H13" s="55"/>
      <c r="I13" s="55">
        <f t="shared" si="7"/>
        <v>0</v>
      </c>
      <c r="J13" s="55"/>
      <c r="K13" s="55">
        <f t="shared" si="8"/>
        <v>0</v>
      </c>
      <c r="L13" s="55"/>
      <c r="M13" s="55">
        <v>0</v>
      </c>
      <c r="N13" s="55"/>
      <c r="O13" s="55">
        <v>0</v>
      </c>
      <c r="P13" s="55"/>
      <c r="Q13" s="55">
        <v>0</v>
      </c>
      <c r="R13" s="55"/>
      <c r="S13" s="55">
        <v>0</v>
      </c>
      <c r="T13" s="55"/>
      <c r="U13" s="55">
        <f t="shared" si="9"/>
        <v>0</v>
      </c>
      <c r="V13" s="54"/>
      <c r="W13" s="101" t="s">
        <v>15</v>
      </c>
      <c r="X13" s="54"/>
      <c r="Y13" s="55">
        <v>0</v>
      </c>
      <c r="Z13" s="51"/>
      <c r="AA13" s="55">
        <v>0</v>
      </c>
      <c r="AB13" s="51"/>
      <c r="AC13" s="55">
        <v>0</v>
      </c>
      <c r="AD13" s="51"/>
      <c r="AE13" s="56">
        <f t="shared" si="10"/>
        <v>0</v>
      </c>
      <c r="AF13" s="56"/>
      <c r="AG13" s="55">
        <v>0</v>
      </c>
      <c r="AH13" s="56"/>
      <c r="AI13" s="55">
        <v>0</v>
      </c>
      <c r="AJ13" s="51"/>
      <c r="AK13" s="55">
        <v>0</v>
      </c>
      <c r="AL13" s="51"/>
      <c r="AM13" s="51">
        <v>0</v>
      </c>
      <c r="AN13" s="51"/>
      <c r="AO13" s="56">
        <f t="shared" si="11"/>
        <v>0</v>
      </c>
      <c r="AP13" s="56"/>
      <c r="AQ13" s="51">
        <v>0</v>
      </c>
      <c r="AR13" s="51"/>
      <c r="AS13" s="51">
        <v>0</v>
      </c>
      <c r="AT13" s="51"/>
      <c r="AU13" s="51">
        <f t="shared" si="12"/>
        <v>0</v>
      </c>
      <c r="AV13" s="54"/>
      <c r="AW13" s="101" t="s">
        <v>15</v>
      </c>
      <c r="AX13" s="54"/>
      <c r="AY13" s="51">
        <v>0</v>
      </c>
      <c r="AZ13" s="51"/>
      <c r="BA13" s="51">
        <v>0</v>
      </c>
      <c r="BB13" s="51"/>
      <c r="BC13" s="51">
        <v>0</v>
      </c>
      <c r="BD13" s="51"/>
      <c r="BE13" s="51">
        <v>0</v>
      </c>
      <c r="BF13" s="51"/>
      <c r="BG13" s="51">
        <f aca="true" t="shared" si="13" ref="BG13:BG26">SUM(AY13:BE13)</f>
        <v>0</v>
      </c>
      <c r="BH13" s="1"/>
    </row>
    <row r="14" spans="1:60" ht="12.75" hidden="1">
      <c r="A14" s="44" t="s">
        <v>16</v>
      </c>
      <c r="B14" s="54"/>
      <c r="C14" s="55">
        <f t="shared" si="6"/>
        <v>0</v>
      </c>
      <c r="D14" s="55"/>
      <c r="E14" s="55">
        <v>0</v>
      </c>
      <c r="F14" s="55"/>
      <c r="G14" s="55">
        <v>0</v>
      </c>
      <c r="H14" s="55"/>
      <c r="I14" s="55">
        <f t="shared" si="7"/>
        <v>0</v>
      </c>
      <c r="J14" s="55"/>
      <c r="K14" s="55">
        <f t="shared" si="8"/>
        <v>0</v>
      </c>
      <c r="L14" s="55"/>
      <c r="M14" s="55">
        <v>0</v>
      </c>
      <c r="N14" s="55"/>
      <c r="O14" s="55">
        <v>0</v>
      </c>
      <c r="P14" s="55"/>
      <c r="Q14" s="55">
        <v>0</v>
      </c>
      <c r="R14" s="55"/>
      <c r="S14" s="55">
        <v>0</v>
      </c>
      <c r="T14" s="55"/>
      <c r="U14" s="55">
        <f t="shared" si="9"/>
        <v>0</v>
      </c>
      <c r="V14" s="54"/>
      <c r="W14" s="101" t="s">
        <v>16</v>
      </c>
      <c r="X14" s="54"/>
      <c r="Y14" s="55">
        <v>0</v>
      </c>
      <c r="Z14" s="51"/>
      <c r="AA14" s="55">
        <v>0</v>
      </c>
      <c r="AB14" s="51"/>
      <c r="AC14" s="55">
        <v>0</v>
      </c>
      <c r="AD14" s="51"/>
      <c r="AE14" s="56">
        <f t="shared" si="10"/>
        <v>0</v>
      </c>
      <c r="AF14" s="56"/>
      <c r="AG14" s="55">
        <v>0</v>
      </c>
      <c r="AH14" s="56"/>
      <c r="AI14" s="55">
        <v>0</v>
      </c>
      <c r="AJ14" s="51"/>
      <c r="AK14" s="55">
        <v>0</v>
      </c>
      <c r="AL14" s="51"/>
      <c r="AM14" s="51">
        <v>0</v>
      </c>
      <c r="AN14" s="51"/>
      <c r="AO14" s="56">
        <f t="shared" si="11"/>
        <v>0</v>
      </c>
      <c r="AP14" s="56"/>
      <c r="AQ14" s="51">
        <v>0</v>
      </c>
      <c r="AR14" s="51"/>
      <c r="AS14" s="51">
        <v>0</v>
      </c>
      <c r="AT14" s="51"/>
      <c r="AU14" s="51">
        <f t="shared" si="12"/>
        <v>0</v>
      </c>
      <c r="AV14" s="54"/>
      <c r="AW14" s="101" t="s">
        <v>16</v>
      </c>
      <c r="AX14" s="54"/>
      <c r="AY14" s="51">
        <v>0</v>
      </c>
      <c r="AZ14" s="51"/>
      <c r="BA14" s="51">
        <v>0</v>
      </c>
      <c r="BB14" s="51"/>
      <c r="BC14" s="51">
        <v>0</v>
      </c>
      <c r="BD14" s="51"/>
      <c r="BE14" s="51">
        <v>0</v>
      </c>
      <c r="BF14" s="51"/>
      <c r="BG14" s="51">
        <f t="shared" si="13"/>
        <v>0</v>
      </c>
      <c r="BH14" s="1"/>
    </row>
    <row r="15" spans="1:60" ht="12.75" hidden="1">
      <c r="A15" s="44" t="s">
        <v>17</v>
      </c>
      <c r="B15" s="54"/>
      <c r="C15" s="55">
        <f t="shared" si="6"/>
        <v>0</v>
      </c>
      <c r="D15" s="55"/>
      <c r="E15" s="55">
        <v>0</v>
      </c>
      <c r="F15" s="55"/>
      <c r="G15" s="55">
        <v>0</v>
      </c>
      <c r="H15" s="55"/>
      <c r="I15" s="55">
        <f t="shared" si="7"/>
        <v>0</v>
      </c>
      <c r="J15" s="55"/>
      <c r="K15" s="55">
        <f t="shared" si="8"/>
        <v>0</v>
      </c>
      <c r="L15" s="55"/>
      <c r="M15" s="55">
        <v>0</v>
      </c>
      <c r="N15" s="55"/>
      <c r="O15" s="55">
        <v>0</v>
      </c>
      <c r="P15" s="55"/>
      <c r="Q15" s="55">
        <v>0</v>
      </c>
      <c r="R15" s="55"/>
      <c r="S15" s="55">
        <v>0</v>
      </c>
      <c r="T15" s="55"/>
      <c r="U15" s="55">
        <f t="shared" si="9"/>
        <v>0</v>
      </c>
      <c r="V15" s="54"/>
      <c r="W15" s="101" t="s">
        <v>17</v>
      </c>
      <c r="X15" s="54"/>
      <c r="Y15" s="55">
        <v>0</v>
      </c>
      <c r="Z15" s="51"/>
      <c r="AA15" s="55">
        <v>0</v>
      </c>
      <c r="AB15" s="51"/>
      <c r="AC15" s="55">
        <v>0</v>
      </c>
      <c r="AD15" s="51"/>
      <c r="AE15" s="56">
        <f t="shared" si="10"/>
        <v>0</v>
      </c>
      <c r="AF15" s="56"/>
      <c r="AG15" s="55">
        <v>0</v>
      </c>
      <c r="AH15" s="56"/>
      <c r="AI15" s="55">
        <v>0</v>
      </c>
      <c r="AJ15" s="51"/>
      <c r="AK15" s="55">
        <v>0</v>
      </c>
      <c r="AL15" s="51"/>
      <c r="AM15" s="51">
        <v>0</v>
      </c>
      <c r="AN15" s="51"/>
      <c r="AO15" s="56">
        <f t="shared" si="11"/>
        <v>0</v>
      </c>
      <c r="AP15" s="56"/>
      <c r="AQ15" s="51">
        <v>0</v>
      </c>
      <c r="AR15" s="51"/>
      <c r="AS15" s="51">
        <v>0</v>
      </c>
      <c r="AT15" s="51"/>
      <c r="AU15" s="51">
        <f t="shared" si="12"/>
        <v>0</v>
      </c>
      <c r="AV15" s="54"/>
      <c r="AW15" s="101" t="s">
        <v>17</v>
      </c>
      <c r="AX15" s="54"/>
      <c r="AY15" s="51">
        <v>0</v>
      </c>
      <c r="AZ15" s="51"/>
      <c r="BA15" s="51">
        <v>0</v>
      </c>
      <c r="BB15" s="51"/>
      <c r="BC15" s="51">
        <v>0</v>
      </c>
      <c r="BD15" s="51"/>
      <c r="BE15" s="51">
        <v>0</v>
      </c>
      <c r="BF15" s="51"/>
      <c r="BG15" s="51">
        <f t="shared" si="13"/>
        <v>0</v>
      </c>
      <c r="BH15" s="1"/>
    </row>
    <row r="16" spans="1:60" ht="12.75" hidden="1">
      <c r="A16" s="44" t="s">
        <v>18</v>
      </c>
      <c r="B16" s="54"/>
      <c r="C16" s="55">
        <f t="shared" si="6"/>
        <v>0</v>
      </c>
      <c r="D16" s="55"/>
      <c r="E16" s="55">
        <v>0</v>
      </c>
      <c r="F16" s="55"/>
      <c r="G16" s="55">
        <v>0</v>
      </c>
      <c r="H16" s="55"/>
      <c r="I16" s="55">
        <f t="shared" si="7"/>
        <v>0</v>
      </c>
      <c r="J16" s="55"/>
      <c r="K16" s="55">
        <f t="shared" si="8"/>
        <v>0</v>
      </c>
      <c r="L16" s="55"/>
      <c r="M16" s="55">
        <v>0</v>
      </c>
      <c r="N16" s="55"/>
      <c r="O16" s="55">
        <v>0</v>
      </c>
      <c r="P16" s="55"/>
      <c r="Q16" s="55">
        <v>0</v>
      </c>
      <c r="R16" s="55"/>
      <c r="S16" s="55">
        <v>0</v>
      </c>
      <c r="T16" s="55"/>
      <c r="U16" s="55">
        <f t="shared" si="9"/>
        <v>0</v>
      </c>
      <c r="V16" s="54"/>
      <c r="W16" s="101" t="s">
        <v>18</v>
      </c>
      <c r="X16" s="54"/>
      <c r="Y16" s="55">
        <v>0</v>
      </c>
      <c r="Z16" s="51"/>
      <c r="AA16" s="55">
        <v>0</v>
      </c>
      <c r="AB16" s="51"/>
      <c r="AC16" s="55">
        <v>0</v>
      </c>
      <c r="AD16" s="51"/>
      <c r="AE16" s="56">
        <f t="shared" si="10"/>
        <v>0</v>
      </c>
      <c r="AF16" s="56"/>
      <c r="AG16" s="55">
        <v>0</v>
      </c>
      <c r="AH16" s="56"/>
      <c r="AI16" s="55">
        <v>0</v>
      </c>
      <c r="AJ16" s="51"/>
      <c r="AK16" s="55">
        <v>0</v>
      </c>
      <c r="AL16" s="51"/>
      <c r="AM16" s="51">
        <v>0</v>
      </c>
      <c r="AN16" s="51"/>
      <c r="AO16" s="56">
        <f t="shared" si="11"/>
        <v>0</v>
      </c>
      <c r="AP16" s="56"/>
      <c r="AQ16" s="51">
        <v>0</v>
      </c>
      <c r="AR16" s="51"/>
      <c r="AS16" s="51">
        <v>0</v>
      </c>
      <c r="AT16" s="51"/>
      <c r="AU16" s="51">
        <f t="shared" si="12"/>
        <v>0</v>
      </c>
      <c r="AV16" s="54"/>
      <c r="AW16" s="101" t="s">
        <v>18</v>
      </c>
      <c r="AX16" s="54"/>
      <c r="AY16" s="51">
        <v>0</v>
      </c>
      <c r="AZ16" s="51"/>
      <c r="BA16" s="51">
        <v>0</v>
      </c>
      <c r="BB16" s="51"/>
      <c r="BC16" s="51">
        <v>0</v>
      </c>
      <c r="BD16" s="51"/>
      <c r="BE16" s="51">
        <v>0</v>
      </c>
      <c r="BF16" s="51"/>
      <c r="BG16" s="51">
        <f t="shared" si="13"/>
        <v>0</v>
      </c>
      <c r="BH16" s="1"/>
    </row>
    <row r="17" spans="1:60" ht="12.75" hidden="1">
      <c r="A17" s="44" t="s">
        <v>96</v>
      </c>
      <c r="B17" s="54"/>
      <c r="C17" s="55">
        <f t="shared" si="6"/>
        <v>0</v>
      </c>
      <c r="D17" s="55"/>
      <c r="E17" s="55">
        <v>0</v>
      </c>
      <c r="F17" s="55"/>
      <c r="G17" s="55">
        <v>0</v>
      </c>
      <c r="H17" s="55"/>
      <c r="I17" s="55">
        <f t="shared" si="7"/>
        <v>0</v>
      </c>
      <c r="J17" s="55"/>
      <c r="K17" s="55">
        <f t="shared" si="8"/>
        <v>0</v>
      </c>
      <c r="L17" s="55"/>
      <c r="M17" s="55">
        <v>0</v>
      </c>
      <c r="N17" s="55"/>
      <c r="O17" s="55">
        <v>0</v>
      </c>
      <c r="P17" s="55"/>
      <c r="Q17" s="55">
        <v>0</v>
      </c>
      <c r="R17" s="55"/>
      <c r="S17" s="55">
        <v>0</v>
      </c>
      <c r="T17" s="55"/>
      <c r="U17" s="55">
        <f t="shared" si="9"/>
        <v>0</v>
      </c>
      <c r="V17" s="55"/>
      <c r="W17" s="101" t="s">
        <v>96</v>
      </c>
      <c r="X17" s="55"/>
      <c r="Y17" s="55">
        <v>0</v>
      </c>
      <c r="Z17" s="51"/>
      <c r="AA17" s="55">
        <v>0</v>
      </c>
      <c r="AB17" s="51"/>
      <c r="AC17" s="55">
        <v>0</v>
      </c>
      <c r="AD17" s="51"/>
      <c r="AE17" s="56">
        <f t="shared" si="10"/>
        <v>0</v>
      </c>
      <c r="AF17" s="56"/>
      <c r="AG17" s="55">
        <v>0</v>
      </c>
      <c r="AH17" s="56"/>
      <c r="AI17" s="55">
        <v>0</v>
      </c>
      <c r="AJ17" s="51"/>
      <c r="AK17" s="55">
        <v>0</v>
      </c>
      <c r="AL17" s="51"/>
      <c r="AM17" s="51">
        <v>0</v>
      </c>
      <c r="AN17" s="51"/>
      <c r="AO17" s="56">
        <f t="shared" si="11"/>
        <v>0</v>
      </c>
      <c r="AP17" s="56"/>
      <c r="AQ17" s="51">
        <v>0</v>
      </c>
      <c r="AR17" s="51"/>
      <c r="AS17" s="51">
        <v>0</v>
      </c>
      <c r="AT17" s="51"/>
      <c r="AU17" s="51">
        <f t="shared" si="12"/>
        <v>0</v>
      </c>
      <c r="AV17" s="51"/>
      <c r="AW17" s="101" t="s">
        <v>96</v>
      </c>
      <c r="AX17" s="51"/>
      <c r="AY17" s="51">
        <v>0</v>
      </c>
      <c r="AZ17" s="51"/>
      <c r="BA17" s="51">
        <v>0</v>
      </c>
      <c r="BB17" s="51"/>
      <c r="BC17" s="51">
        <v>0</v>
      </c>
      <c r="BD17" s="51"/>
      <c r="BE17" s="51">
        <v>0</v>
      </c>
      <c r="BF17" s="51"/>
      <c r="BG17" s="51">
        <f t="shared" si="13"/>
        <v>0</v>
      </c>
      <c r="BH17" s="1"/>
    </row>
    <row r="18" spans="1:60" ht="12.75" hidden="1">
      <c r="A18" s="44" t="s">
        <v>19</v>
      </c>
      <c r="B18" s="54"/>
      <c r="C18" s="55">
        <f t="shared" si="6"/>
        <v>0</v>
      </c>
      <c r="D18" s="55"/>
      <c r="E18" s="55">
        <v>0</v>
      </c>
      <c r="F18" s="55"/>
      <c r="G18" s="55">
        <v>0</v>
      </c>
      <c r="H18" s="55"/>
      <c r="I18" s="55">
        <f t="shared" si="7"/>
        <v>0</v>
      </c>
      <c r="J18" s="55"/>
      <c r="K18" s="55">
        <f t="shared" si="8"/>
        <v>0</v>
      </c>
      <c r="L18" s="55"/>
      <c r="M18" s="55">
        <v>0</v>
      </c>
      <c r="N18" s="55"/>
      <c r="O18" s="55">
        <v>0</v>
      </c>
      <c r="P18" s="55"/>
      <c r="Q18" s="55">
        <v>0</v>
      </c>
      <c r="R18" s="55"/>
      <c r="S18" s="55">
        <v>0</v>
      </c>
      <c r="T18" s="55"/>
      <c r="U18" s="55">
        <f t="shared" si="9"/>
        <v>0</v>
      </c>
      <c r="V18" s="55"/>
      <c r="W18" s="101" t="s">
        <v>19</v>
      </c>
      <c r="X18" s="55"/>
      <c r="Y18" s="55">
        <v>0</v>
      </c>
      <c r="Z18" s="51"/>
      <c r="AA18" s="55">
        <v>0</v>
      </c>
      <c r="AB18" s="51"/>
      <c r="AC18" s="55">
        <v>0</v>
      </c>
      <c r="AD18" s="51"/>
      <c r="AE18" s="56">
        <f t="shared" si="10"/>
        <v>0</v>
      </c>
      <c r="AF18" s="56"/>
      <c r="AG18" s="55">
        <v>0</v>
      </c>
      <c r="AH18" s="56"/>
      <c r="AI18" s="55">
        <v>0</v>
      </c>
      <c r="AJ18" s="51"/>
      <c r="AK18" s="55">
        <v>0</v>
      </c>
      <c r="AL18" s="51"/>
      <c r="AM18" s="51">
        <v>0</v>
      </c>
      <c r="AN18" s="51"/>
      <c r="AO18" s="56">
        <f t="shared" si="11"/>
        <v>0</v>
      </c>
      <c r="AP18" s="56"/>
      <c r="AQ18" s="51">
        <v>0</v>
      </c>
      <c r="AR18" s="51"/>
      <c r="AS18" s="51">
        <v>0</v>
      </c>
      <c r="AT18" s="51"/>
      <c r="AU18" s="51">
        <f t="shared" si="12"/>
        <v>0</v>
      </c>
      <c r="AV18" s="51"/>
      <c r="AW18" s="101" t="s">
        <v>19</v>
      </c>
      <c r="AX18" s="51"/>
      <c r="AY18" s="51">
        <v>0</v>
      </c>
      <c r="AZ18" s="51"/>
      <c r="BA18" s="51">
        <v>0</v>
      </c>
      <c r="BB18" s="51"/>
      <c r="BC18" s="51">
        <v>0</v>
      </c>
      <c r="BD18" s="51"/>
      <c r="BE18" s="51">
        <v>0</v>
      </c>
      <c r="BF18" s="51"/>
      <c r="BG18" s="51">
        <f t="shared" si="13"/>
        <v>0</v>
      </c>
      <c r="BH18" s="1"/>
    </row>
    <row r="19" spans="1:60" ht="12.75">
      <c r="A19" s="44" t="s">
        <v>20</v>
      </c>
      <c r="B19" s="54"/>
      <c r="C19" s="55">
        <f t="shared" si="6"/>
        <v>2879</v>
      </c>
      <c r="D19" s="55"/>
      <c r="E19" s="55">
        <v>0</v>
      </c>
      <c r="F19" s="55"/>
      <c r="G19" s="55">
        <v>2879</v>
      </c>
      <c r="H19" s="55"/>
      <c r="I19" s="55">
        <f t="shared" si="7"/>
        <v>3588</v>
      </c>
      <c r="J19" s="55"/>
      <c r="K19" s="55">
        <f t="shared" si="8"/>
        <v>3915483</v>
      </c>
      <c r="L19" s="55"/>
      <c r="M19" s="55">
        <v>3919071</v>
      </c>
      <c r="N19" s="55"/>
      <c r="O19" s="55">
        <v>0</v>
      </c>
      <c r="P19" s="55"/>
      <c r="Q19" s="55">
        <v>0</v>
      </c>
      <c r="R19" s="55"/>
      <c r="S19" s="55">
        <v>-3916192</v>
      </c>
      <c r="T19" s="55"/>
      <c r="U19" s="55">
        <f t="shared" si="9"/>
        <v>-3916192</v>
      </c>
      <c r="V19" s="55"/>
      <c r="W19" s="101" t="s">
        <v>20</v>
      </c>
      <c r="X19" s="55"/>
      <c r="Y19" s="55">
        <v>11655</v>
      </c>
      <c r="Z19" s="51"/>
      <c r="AA19" s="55">
        <v>203696</v>
      </c>
      <c r="AB19" s="51"/>
      <c r="AC19" s="55">
        <v>0</v>
      </c>
      <c r="AD19" s="51"/>
      <c r="AE19" s="56">
        <f t="shared" si="10"/>
        <v>-192041</v>
      </c>
      <c r="AF19" s="56"/>
      <c r="AG19" s="55">
        <v>0</v>
      </c>
      <c r="AH19" s="56"/>
      <c r="AI19" s="55">
        <v>8528</v>
      </c>
      <c r="AJ19" s="51"/>
      <c r="AK19" s="55">
        <v>0</v>
      </c>
      <c r="AL19" s="51"/>
      <c r="AM19" s="51">
        <v>0</v>
      </c>
      <c r="AN19" s="51"/>
      <c r="AO19" s="56">
        <f t="shared" si="11"/>
        <v>-183513</v>
      </c>
      <c r="AP19" s="56"/>
      <c r="AQ19" s="51">
        <v>0</v>
      </c>
      <c r="AR19" s="51"/>
      <c r="AS19" s="51">
        <v>0</v>
      </c>
      <c r="AT19" s="51"/>
      <c r="AU19" s="51">
        <f t="shared" si="12"/>
        <v>-709</v>
      </c>
      <c r="AV19" s="51"/>
      <c r="AW19" s="101" t="s">
        <v>20</v>
      </c>
      <c r="AX19" s="51"/>
      <c r="AY19" s="51">
        <v>0</v>
      </c>
      <c r="AZ19" s="51"/>
      <c r="BA19" s="51">
        <v>0</v>
      </c>
      <c r="BB19" s="51"/>
      <c r="BC19" s="51">
        <v>0</v>
      </c>
      <c r="BD19" s="51"/>
      <c r="BE19" s="51">
        <v>3915483</v>
      </c>
      <c r="BF19" s="51"/>
      <c r="BG19" s="51">
        <f t="shared" si="13"/>
        <v>3915483</v>
      </c>
      <c r="BH19" s="1"/>
    </row>
    <row r="20" spans="1:60" ht="12.75" hidden="1">
      <c r="A20" s="30" t="s">
        <v>177</v>
      </c>
      <c r="B20" s="54"/>
      <c r="C20" s="55">
        <f t="shared" si="6"/>
        <v>0</v>
      </c>
      <c r="D20" s="55"/>
      <c r="E20" s="55">
        <v>0</v>
      </c>
      <c r="F20" s="55"/>
      <c r="G20" s="55">
        <v>0</v>
      </c>
      <c r="H20" s="55"/>
      <c r="I20" s="55">
        <f t="shared" si="7"/>
        <v>0</v>
      </c>
      <c r="J20" s="55"/>
      <c r="K20" s="55">
        <f t="shared" si="8"/>
        <v>0</v>
      </c>
      <c r="L20" s="55"/>
      <c r="M20" s="55">
        <v>0</v>
      </c>
      <c r="N20" s="55"/>
      <c r="O20" s="55">
        <v>0</v>
      </c>
      <c r="P20" s="55"/>
      <c r="Q20" s="55">
        <v>0</v>
      </c>
      <c r="R20" s="55"/>
      <c r="S20" s="55">
        <v>0</v>
      </c>
      <c r="T20" s="55"/>
      <c r="U20" s="55">
        <f t="shared" si="9"/>
        <v>0</v>
      </c>
      <c r="V20" s="54"/>
      <c r="W20" s="51" t="s">
        <v>177</v>
      </c>
      <c r="X20" s="54"/>
      <c r="Y20" s="55">
        <v>0</v>
      </c>
      <c r="Z20" s="51"/>
      <c r="AA20" s="55">
        <v>0</v>
      </c>
      <c r="AB20" s="51"/>
      <c r="AC20" s="55">
        <v>0</v>
      </c>
      <c r="AD20" s="51"/>
      <c r="AE20" s="56">
        <f t="shared" si="10"/>
        <v>0</v>
      </c>
      <c r="AF20" s="56"/>
      <c r="AG20" s="55">
        <v>0</v>
      </c>
      <c r="AH20" s="56"/>
      <c r="AI20" s="55">
        <v>0</v>
      </c>
      <c r="AJ20" s="51"/>
      <c r="AK20" s="55">
        <v>0</v>
      </c>
      <c r="AL20" s="51"/>
      <c r="AM20" s="51">
        <v>0</v>
      </c>
      <c r="AN20" s="51"/>
      <c r="AO20" s="56">
        <f t="shared" si="11"/>
        <v>0</v>
      </c>
      <c r="AP20" s="56"/>
      <c r="AQ20" s="51">
        <v>0</v>
      </c>
      <c r="AR20" s="51"/>
      <c r="AS20" s="51">
        <v>0</v>
      </c>
      <c r="AT20" s="51"/>
      <c r="AU20" s="51">
        <f t="shared" si="12"/>
        <v>0</v>
      </c>
      <c r="AV20" s="54"/>
      <c r="AW20" s="51" t="s">
        <v>177</v>
      </c>
      <c r="AX20" s="54"/>
      <c r="AY20" s="51">
        <v>0</v>
      </c>
      <c r="AZ20" s="51"/>
      <c r="BA20" s="51">
        <v>0</v>
      </c>
      <c r="BB20" s="51"/>
      <c r="BC20" s="51">
        <v>0</v>
      </c>
      <c r="BD20" s="51"/>
      <c r="BE20" s="51">
        <v>0</v>
      </c>
      <c r="BF20" s="51"/>
      <c r="BG20" s="51">
        <f t="shared" si="13"/>
        <v>0</v>
      </c>
      <c r="BH20" s="1"/>
    </row>
    <row r="21" spans="1:60" ht="12.75" hidden="1">
      <c r="A21" s="44" t="s">
        <v>21</v>
      </c>
      <c r="B21" s="54"/>
      <c r="C21" s="55">
        <f t="shared" si="6"/>
        <v>0</v>
      </c>
      <c r="D21" s="55"/>
      <c r="E21" s="55">
        <v>0</v>
      </c>
      <c r="F21" s="55"/>
      <c r="G21" s="55">
        <v>0</v>
      </c>
      <c r="H21" s="55"/>
      <c r="I21" s="55">
        <f t="shared" si="7"/>
        <v>0</v>
      </c>
      <c r="J21" s="55"/>
      <c r="K21" s="55">
        <f t="shared" si="8"/>
        <v>0</v>
      </c>
      <c r="L21" s="55"/>
      <c r="M21" s="55">
        <v>0</v>
      </c>
      <c r="N21" s="55"/>
      <c r="O21" s="55">
        <v>0</v>
      </c>
      <c r="P21" s="55"/>
      <c r="Q21" s="55">
        <v>0</v>
      </c>
      <c r="R21" s="55"/>
      <c r="S21" s="55">
        <v>0</v>
      </c>
      <c r="T21" s="55"/>
      <c r="U21" s="55">
        <f t="shared" si="9"/>
        <v>0</v>
      </c>
      <c r="V21" s="54"/>
      <c r="W21" s="101" t="s">
        <v>21</v>
      </c>
      <c r="X21" s="54"/>
      <c r="Y21" s="55">
        <v>0</v>
      </c>
      <c r="Z21" s="51"/>
      <c r="AA21" s="55">
        <v>0</v>
      </c>
      <c r="AB21" s="51"/>
      <c r="AC21" s="55">
        <v>0</v>
      </c>
      <c r="AD21" s="51"/>
      <c r="AE21" s="56">
        <f t="shared" si="10"/>
        <v>0</v>
      </c>
      <c r="AF21" s="56"/>
      <c r="AG21" s="55">
        <v>0</v>
      </c>
      <c r="AH21" s="56"/>
      <c r="AI21" s="55">
        <v>0</v>
      </c>
      <c r="AJ21" s="51"/>
      <c r="AK21" s="55">
        <v>0</v>
      </c>
      <c r="AL21" s="51"/>
      <c r="AM21" s="51">
        <v>0</v>
      </c>
      <c r="AN21" s="51"/>
      <c r="AO21" s="56">
        <f t="shared" si="11"/>
        <v>0</v>
      </c>
      <c r="AP21" s="56"/>
      <c r="AQ21" s="51">
        <v>0</v>
      </c>
      <c r="AR21" s="51"/>
      <c r="AS21" s="51">
        <v>0</v>
      </c>
      <c r="AT21" s="51"/>
      <c r="AU21" s="51">
        <f t="shared" si="12"/>
        <v>0</v>
      </c>
      <c r="AV21" s="54"/>
      <c r="AW21" s="101" t="s">
        <v>21</v>
      </c>
      <c r="AX21" s="54"/>
      <c r="AY21" s="51">
        <v>0</v>
      </c>
      <c r="AZ21" s="51"/>
      <c r="BA21" s="51">
        <v>0</v>
      </c>
      <c r="BB21" s="51"/>
      <c r="BC21" s="51">
        <v>0</v>
      </c>
      <c r="BD21" s="51"/>
      <c r="BE21" s="51">
        <v>0</v>
      </c>
      <c r="BF21" s="51"/>
      <c r="BG21" s="51">
        <f t="shared" si="13"/>
        <v>0</v>
      </c>
      <c r="BH21" s="1"/>
    </row>
    <row r="22" spans="1:60" ht="12.75" hidden="1">
      <c r="A22" s="44" t="s">
        <v>134</v>
      </c>
      <c r="B22" s="54"/>
      <c r="C22" s="55">
        <f t="shared" si="6"/>
        <v>0</v>
      </c>
      <c r="D22" s="55"/>
      <c r="E22" s="55">
        <v>0</v>
      </c>
      <c r="F22" s="55"/>
      <c r="G22" s="55">
        <v>0</v>
      </c>
      <c r="H22" s="55"/>
      <c r="I22" s="55">
        <f t="shared" si="7"/>
        <v>0</v>
      </c>
      <c r="J22" s="55"/>
      <c r="K22" s="55">
        <f t="shared" si="8"/>
        <v>0</v>
      </c>
      <c r="L22" s="55"/>
      <c r="M22" s="55">
        <v>0</v>
      </c>
      <c r="N22" s="55"/>
      <c r="O22" s="55">
        <v>0</v>
      </c>
      <c r="P22" s="55"/>
      <c r="Q22" s="55">
        <v>0</v>
      </c>
      <c r="R22" s="55"/>
      <c r="S22" s="55">
        <v>0</v>
      </c>
      <c r="T22" s="55"/>
      <c r="U22" s="55">
        <f t="shared" si="9"/>
        <v>0</v>
      </c>
      <c r="V22" s="54"/>
      <c r="W22" s="101" t="s">
        <v>134</v>
      </c>
      <c r="X22" s="54"/>
      <c r="Y22" s="55">
        <v>0</v>
      </c>
      <c r="Z22" s="51"/>
      <c r="AA22" s="55">
        <v>0</v>
      </c>
      <c r="AB22" s="51"/>
      <c r="AC22" s="55">
        <v>0</v>
      </c>
      <c r="AD22" s="51"/>
      <c r="AE22" s="56">
        <f t="shared" si="10"/>
        <v>0</v>
      </c>
      <c r="AF22" s="56"/>
      <c r="AG22" s="55">
        <v>0</v>
      </c>
      <c r="AH22" s="56"/>
      <c r="AI22" s="55">
        <v>0</v>
      </c>
      <c r="AJ22" s="51"/>
      <c r="AK22" s="55">
        <v>0</v>
      </c>
      <c r="AL22" s="51"/>
      <c r="AM22" s="51">
        <v>0</v>
      </c>
      <c r="AN22" s="51"/>
      <c r="AO22" s="56">
        <f t="shared" si="11"/>
        <v>0</v>
      </c>
      <c r="AP22" s="56"/>
      <c r="AQ22" s="51">
        <v>0</v>
      </c>
      <c r="AR22" s="51"/>
      <c r="AS22" s="51">
        <v>0</v>
      </c>
      <c r="AT22" s="51"/>
      <c r="AU22" s="51">
        <f t="shared" si="12"/>
        <v>0</v>
      </c>
      <c r="AV22" s="54"/>
      <c r="AW22" s="101" t="s">
        <v>134</v>
      </c>
      <c r="AX22" s="54"/>
      <c r="AY22" s="51">
        <v>0</v>
      </c>
      <c r="AZ22" s="51"/>
      <c r="BA22" s="51">
        <v>0</v>
      </c>
      <c r="BB22" s="51"/>
      <c r="BC22" s="51">
        <v>0</v>
      </c>
      <c r="BD22" s="51"/>
      <c r="BE22" s="51">
        <v>0</v>
      </c>
      <c r="BF22" s="51"/>
      <c r="BG22" s="51">
        <f t="shared" si="13"/>
        <v>0</v>
      </c>
      <c r="BH22" s="1"/>
    </row>
    <row r="23" spans="1:60" ht="12.75" hidden="1">
      <c r="A23" s="44" t="s">
        <v>22</v>
      </c>
      <c r="B23" s="54"/>
      <c r="C23" s="55">
        <f t="shared" si="6"/>
        <v>0</v>
      </c>
      <c r="D23" s="55"/>
      <c r="E23" s="55">
        <v>0</v>
      </c>
      <c r="F23" s="55"/>
      <c r="G23" s="55">
        <v>0</v>
      </c>
      <c r="H23" s="55"/>
      <c r="I23" s="55">
        <f t="shared" si="7"/>
        <v>0</v>
      </c>
      <c r="J23" s="55"/>
      <c r="K23" s="55">
        <f t="shared" si="8"/>
        <v>0</v>
      </c>
      <c r="L23" s="55"/>
      <c r="M23" s="55">
        <v>0</v>
      </c>
      <c r="N23" s="55"/>
      <c r="O23" s="55">
        <v>0</v>
      </c>
      <c r="P23" s="55"/>
      <c r="Q23" s="55">
        <v>0</v>
      </c>
      <c r="R23" s="55"/>
      <c r="S23" s="55">
        <v>0</v>
      </c>
      <c r="T23" s="55"/>
      <c r="U23" s="55">
        <f t="shared" si="9"/>
        <v>0</v>
      </c>
      <c r="V23" s="55"/>
      <c r="W23" s="101" t="s">
        <v>22</v>
      </c>
      <c r="X23" s="55"/>
      <c r="Y23" s="55">
        <v>0</v>
      </c>
      <c r="Z23" s="51"/>
      <c r="AA23" s="55">
        <v>0</v>
      </c>
      <c r="AB23" s="51"/>
      <c r="AC23" s="55">
        <v>0</v>
      </c>
      <c r="AD23" s="51"/>
      <c r="AE23" s="56">
        <f t="shared" si="10"/>
        <v>0</v>
      </c>
      <c r="AF23" s="56"/>
      <c r="AG23" s="55">
        <v>0</v>
      </c>
      <c r="AH23" s="56"/>
      <c r="AI23" s="55">
        <v>0</v>
      </c>
      <c r="AJ23" s="51"/>
      <c r="AK23" s="55">
        <v>0</v>
      </c>
      <c r="AL23" s="51"/>
      <c r="AM23" s="51">
        <v>0</v>
      </c>
      <c r="AN23" s="51"/>
      <c r="AO23" s="56">
        <f t="shared" si="11"/>
        <v>0</v>
      </c>
      <c r="AP23" s="56"/>
      <c r="AQ23" s="51">
        <v>0</v>
      </c>
      <c r="AR23" s="51"/>
      <c r="AS23" s="51">
        <v>0</v>
      </c>
      <c r="AT23" s="51"/>
      <c r="AU23" s="51">
        <f t="shared" si="12"/>
        <v>0</v>
      </c>
      <c r="AV23" s="51"/>
      <c r="AW23" s="101" t="s">
        <v>22</v>
      </c>
      <c r="AX23" s="51"/>
      <c r="AY23" s="51">
        <v>0</v>
      </c>
      <c r="AZ23" s="51"/>
      <c r="BA23" s="51">
        <v>0</v>
      </c>
      <c r="BB23" s="51"/>
      <c r="BC23" s="51">
        <v>0</v>
      </c>
      <c r="BD23" s="51"/>
      <c r="BE23" s="51">
        <v>0</v>
      </c>
      <c r="BF23" s="51"/>
      <c r="BG23" s="51">
        <f t="shared" si="13"/>
        <v>0</v>
      </c>
      <c r="BH23" s="1"/>
    </row>
    <row r="24" spans="1:60" ht="12.75" hidden="1">
      <c r="A24" s="44" t="s">
        <v>23</v>
      </c>
      <c r="B24" s="54"/>
      <c r="C24" s="55">
        <f t="shared" si="6"/>
        <v>0</v>
      </c>
      <c r="D24" s="55"/>
      <c r="E24" s="55">
        <v>0</v>
      </c>
      <c r="F24" s="55"/>
      <c r="G24" s="55">
        <v>0</v>
      </c>
      <c r="H24" s="55"/>
      <c r="I24" s="55">
        <f t="shared" si="7"/>
        <v>0</v>
      </c>
      <c r="J24" s="55"/>
      <c r="K24" s="55">
        <f t="shared" si="8"/>
        <v>0</v>
      </c>
      <c r="L24" s="55"/>
      <c r="M24" s="55">
        <v>0</v>
      </c>
      <c r="N24" s="55"/>
      <c r="O24" s="55">
        <v>0</v>
      </c>
      <c r="P24" s="55"/>
      <c r="Q24" s="55">
        <v>0</v>
      </c>
      <c r="R24" s="55"/>
      <c r="S24" s="55">
        <v>0</v>
      </c>
      <c r="T24" s="55"/>
      <c r="U24" s="55">
        <f t="shared" si="9"/>
        <v>0</v>
      </c>
      <c r="V24" s="55"/>
      <c r="W24" s="101" t="s">
        <v>23</v>
      </c>
      <c r="X24" s="55"/>
      <c r="Y24" s="55">
        <v>0</v>
      </c>
      <c r="Z24" s="51"/>
      <c r="AA24" s="55">
        <v>0</v>
      </c>
      <c r="AB24" s="51"/>
      <c r="AC24" s="55">
        <v>0</v>
      </c>
      <c r="AD24" s="51"/>
      <c r="AE24" s="56">
        <f t="shared" si="10"/>
        <v>0</v>
      </c>
      <c r="AF24" s="56"/>
      <c r="AG24" s="55">
        <v>0</v>
      </c>
      <c r="AH24" s="56"/>
      <c r="AI24" s="55">
        <v>0</v>
      </c>
      <c r="AJ24" s="51"/>
      <c r="AK24" s="55">
        <v>0</v>
      </c>
      <c r="AL24" s="51"/>
      <c r="AM24" s="51">
        <v>0</v>
      </c>
      <c r="AN24" s="51"/>
      <c r="AO24" s="56">
        <f t="shared" si="11"/>
        <v>0</v>
      </c>
      <c r="AP24" s="56"/>
      <c r="AQ24" s="51">
        <v>0</v>
      </c>
      <c r="AR24" s="51"/>
      <c r="AS24" s="51">
        <v>0</v>
      </c>
      <c r="AT24" s="51"/>
      <c r="AU24" s="51">
        <f t="shared" si="12"/>
        <v>0</v>
      </c>
      <c r="AV24" s="51"/>
      <c r="AW24" s="101" t="s">
        <v>23</v>
      </c>
      <c r="AX24" s="51"/>
      <c r="AY24" s="51">
        <v>0</v>
      </c>
      <c r="AZ24" s="51"/>
      <c r="BA24" s="51">
        <v>0</v>
      </c>
      <c r="BB24" s="51"/>
      <c r="BC24" s="51">
        <v>0</v>
      </c>
      <c r="BD24" s="51"/>
      <c r="BE24" s="51">
        <v>0</v>
      </c>
      <c r="BF24" s="51"/>
      <c r="BG24" s="51">
        <f t="shared" si="13"/>
        <v>0</v>
      </c>
      <c r="BH24" s="1"/>
    </row>
    <row r="25" spans="1:60" ht="12.75" hidden="1">
      <c r="A25" s="44" t="s">
        <v>24</v>
      </c>
      <c r="B25" s="54"/>
      <c r="C25" s="55">
        <f t="shared" si="6"/>
        <v>0</v>
      </c>
      <c r="D25" s="55"/>
      <c r="E25" s="55">
        <v>0</v>
      </c>
      <c r="F25" s="55"/>
      <c r="G25" s="55">
        <v>0</v>
      </c>
      <c r="H25" s="55"/>
      <c r="I25" s="55">
        <f t="shared" si="7"/>
        <v>0</v>
      </c>
      <c r="J25" s="55"/>
      <c r="K25" s="55">
        <f t="shared" si="8"/>
        <v>0</v>
      </c>
      <c r="L25" s="55"/>
      <c r="M25" s="55">
        <v>0</v>
      </c>
      <c r="N25" s="55"/>
      <c r="O25" s="55">
        <v>0</v>
      </c>
      <c r="P25" s="55"/>
      <c r="Q25" s="55">
        <v>0</v>
      </c>
      <c r="R25" s="55"/>
      <c r="S25" s="55">
        <v>0</v>
      </c>
      <c r="T25" s="55"/>
      <c r="U25" s="55">
        <f t="shared" si="9"/>
        <v>0</v>
      </c>
      <c r="V25" s="55"/>
      <c r="W25" s="101" t="s">
        <v>24</v>
      </c>
      <c r="X25" s="55"/>
      <c r="Y25" s="55">
        <v>0</v>
      </c>
      <c r="Z25" s="51"/>
      <c r="AA25" s="55">
        <v>0</v>
      </c>
      <c r="AB25" s="51"/>
      <c r="AC25" s="55">
        <v>0</v>
      </c>
      <c r="AD25" s="51"/>
      <c r="AE25" s="56">
        <f t="shared" si="10"/>
        <v>0</v>
      </c>
      <c r="AF25" s="56"/>
      <c r="AG25" s="55">
        <v>0</v>
      </c>
      <c r="AH25" s="56"/>
      <c r="AI25" s="55">
        <v>0</v>
      </c>
      <c r="AJ25" s="51"/>
      <c r="AK25" s="55">
        <v>0</v>
      </c>
      <c r="AL25" s="51"/>
      <c r="AM25" s="51">
        <v>0</v>
      </c>
      <c r="AN25" s="51"/>
      <c r="AO25" s="56">
        <f t="shared" si="11"/>
        <v>0</v>
      </c>
      <c r="AP25" s="56"/>
      <c r="AQ25" s="51">
        <v>0</v>
      </c>
      <c r="AR25" s="51"/>
      <c r="AS25" s="51">
        <v>0</v>
      </c>
      <c r="AT25" s="51"/>
      <c r="AU25" s="51">
        <f t="shared" si="12"/>
        <v>0</v>
      </c>
      <c r="AV25" s="51"/>
      <c r="AW25" s="101" t="s">
        <v>24</v>
      </c>
      <c r="AX25" s="51"/>
      <c r="AY25" s="51">
        <v>0</v>
      </c>
      <c r="AZ25" s="51"/>
      <c r="BA25" s="51">
        <v>0</v>
      </c>
      <c r="BB25" s="51"/>
      <c r="BC25" s="51">
        <v>0</v>
      </c>
      <c r="BD25" s="51"/>
      <c r="BE25" s="51">
        <v>0</v>
      </c>
      <c r="BF25" s="51"/>
      <c r="BG25" s="51">
        <f t="shared" si="13"/>
        <v>0</v>
      </c>
      <c r="BH25" s="1"/>
    </row>
    <row r="26" spans="1:60" ht="12.75">
      <c r="A26" s="44" t="s">
        <v>186</v>
      </c>
      <c r="B26" s="54"/>
      <c r="C26" s="55">
        <f t="shared" si="6"/>
        <v>245707</v>
      </c>
      <c r="D26" s="55"/>
      <c r="E26" s="55">
        <v>2229820</v>
      </c>
      <c r="F26" s="55"/>
      <c r="G26" s="55">
        <v>2475527</v>
      </c>
      <c r="H26" s="55"/>
      <c r="I26" s="55">
        <f t="shared" si="7"/>
        <v>853074</v>
      </c>
      <c r="J26" s="55"/>
      <c r="K26" s="55">
        <f t="shared" si="8"/>
        <v>4507454</v>
      </c>
      <c r="L26" s="55"/>
      <c r="M26" s="55">
        <v>5360528</v>
      </c>
      <c r="N26" s="55"/>
      <c r="O26" s="55">
        <v>-2051256</v>
      </c>
      <c r="P26" s="55"/>
      <c r="Q26" s="55">
        <v>0</v>
      </c>
      <c r="R26" s="55"/>
      <c r="S26" s="55">
        <v>-833745</v>
      </c>
      <c r="T26" s="55"/>
      <c r="U26" s="55">
        <f t="shared" si="9"/>
        <v>-2885001</v>
      </c>
      <c r="V26" s="55"/>
      <c r="W26" s="101" t="s">
        <v>186</v>
      </c>
      <c r="X26" s="55"/>
      <c r="Y26" s="55">
        <v>4032098</v>
      </c>
      <c r="Z26" s="51"/>
      <c r="AA26" s="55">
        <f>3390178-517978</f>
        <v>2872200</v>
      </c>
      <c r="AB26" s="51"/>
      <c r="AC26" s="55">
        <v>517978</v>
      </c>
      <c r="AD26" s="51"/>
      <c r="AE26" s="56">
        <f t="shared" si="10"/>
        <v>641920</v>
      </c>
      <c r="AF26" s="56"/>
      <c r="AG26" s="55">
        <v>0</v>
      </c>
      <c r="AH26" s="56"/>
      <c r="AI26" s="55">
        <v>502</v>
      </c>
      <c r="AJ26" s="51"/>
      <c r="AK26" s="55">
        <v>0</v>
      </c>
      <c r="AL26" s="51"/>
      <c r="AM26" s="51">
        <v>0</v>
      </c>
      <c r="AN26" s="51"/>
      <c r="AO26" s="56">
        <f t="shared" si="11"/>
        <v>642422</v>
      </c>
      <c r="AP26" s="56"/>
      <c r="AQ26" s="51">
        <v>0</v>
      </c>
      <c r="AR26" s="51"/>
      <c r="AS26" s="51">
        <v>0</v>
      </c>
      <c r="AT26" s="51"/>
      <c r="AU26" s="51">
        <f t="shared" si="12"/>
        <v>-607367</v>
      </c>
      <c r="AV26" s="51"/>
      <c r="AW26" s="101" t="s">
        <v>186</v>
      </c>
      <c r="AX26" s="51"/>
      <c r="AY26" s="51">
        <v>4307454</v>
      </c>
      <c r="AZ26" s="51"/>
      <c r="BA26" s="51">
        <v>0</v>
      </c>
      <c r="BB26" s="51"/>
      <c r="BC26" s="51">
        <v>0</v>
      </c>
      <c r="BD26" s="51"/>
      <c r="BE26" s="51">
        <v>200000</v>
      </c>
      <c r="BF26" s="51"/>
      <c r="BG26" s="51">
        <f t="shared" si="13"/>
        <v>4507454</v>
      </c>
      <c r="BH26" s="1"/>
    </row>
    <row r="27" spans="1:60" ht="12.75" hidden="1">
      <c r="A27" s="44" t="s">
        <v>25</v>
      </c>
      <c r="B27" s="54"/>
      <c r="C27" s="55">
        <f aca="true" t="shared" si="14" ref="C27:C51">G27-E27</f>
        <v>0</v>
      </c>
      <c r="D27" s="55"/>
      <c r="E27" s="55">
        <v>0</v>
      </c>
      <c r="F27" s="55"/>
      <c r="G27" s="55">
        <v>0</v>
      </c>
      <c r="H27" s="55"/>
      <c r="I27" s="55">
        <f t="shared" si="0"/>
        <v>0</v>
      </c>
      <c r="J27" s="55"/>
      <c r="K27" s="55">
        <f t="shared" si="1"/>
        <v>0</v>
      </c>
      <c r="L27" s="55"/>
      <c r="M27" s="55">
        <v>0</v>
      </c>
      <c r="N27" s="55"/>
      <c r="O27" s="55">
        <v>0</v>
      </c>
      <c r="P27" s="55"/>
      <c r="Q27" s="55">
        <v>0</v>
      </c>
      <c r="R27" s="55"/>
      <c r="S27" s="55">
        <v>0</v>
      </c>
      <c r="T27" s="55"/>
      <c r="U27" s="55">
        <f t="shared" si="2"/>
        <v>0</v>
      </c>
      <c r="V27" s="55"/>
      <c r="W27" s="101" t="s">
        <v>25</v>
      </c>
      <c r="X27" s="55"/>
      <c r="Y27" s="55">
        <v>0</v>
      </c>
      <c r="Z27" s="51"/>
      <c r="AA27" s="55">
        <v>0</v>
      </c>
      <c r="AB27" s="51"/>
      <c r="AC27" s="55">
        <v>0</v>
      </c>
      <c r="AD27" s="51"/>
      <c r="AE27" s="56">
        <f t="shared" si="3"/>
        <v>0</v>
      </c>
      <c r="AF27" s="56"/>
      <c r="AG27" s="55">
        <v>0</v>
      </c>
      <c r="AH27" s="56"/>
      <c r="AI27" s="55">
        <v>0</v>
      </c>
      <c r="AJ27" s="51"/>
      <c r="AK27" s="55">
        <v>0</v>
      </c>
      <c r="AL27" s="51"/>
      <c r="AM27" s="51">
        <v>0</v>
      </c>
      <c r="AN27" s="51"/>
      <c r="AO27" s="56">
        <f t="shared" si="4"/>
        <v>0</v>
      </c>
      <c r="AP27" s="56"/>
      <c r="AQ27" s="51">
        <v>0</v>
      </c>
      <c r="AR27" s="51"/>
      <c r="AS27" s="51">
        <v>0</v>
      </c>
      <c r="AT27" s="51"/>
      <c r="AU27" s="51">
        <f t="shared" si="5"/>
        <v>0</v>
      </c>
      <c r="AV27" s="51"/>
      <c r="AW27" s="101" t="s">
        <v>25</v>
      </c>
      <c r="AX27" s="51"/>
      <c r="AY27" s="51">
        <v>0</v>
      </c>
      <c r="AZ27" s="51"/>
      <c r="BA27" s="51">
        <v>0</v>
      </c>
      <c r="BB27" s="51"/>
      <c r="BC27" s="51">
        <v>0</v>
      </c>
      <c r="BD27" s="51"/>
      <c r="BE27" s="51">
        <v>0</v>
      </c>
      <c r="BF27" s="51"/>
      <c r="BG27" s="51">
        <f aca="true" t="shared" si="15" ref="BG27:BG76">SUM(AY27:BE27)</f>
        <v>0</v>
      </c>
      <c r="BH27" s="1"/>
    </row>
    <row r="28" spans="1:60" ht="12.75" hidden="1">
      <c r="A28" s="44" t="s">
        <v>26</v>
      </c>
      <c r="B28" s="54"/>
      <c r="C28" s="55">
        <f t="shared" si="14"/>
        <v>0</v>
      </c>
      <c r="D28" s="55"/>
      <c r="E28" s="55">
        <v>0</v>
      </c>
      <c r="F28" s="55"/>
      <c r="G28" s="55">
        <v>0</v>
      </c>
      <c r="H28" s="55"/>
      <c r="I28" s="55">
        <f t="shared" si="0"/>
        <v>0</v>
      </c>
      <c r="J28" s="55"/>
      <c r="K28" s="55">
        <f t="shared" si="1"/>
        <v>0</v>
      </c>
      <c r="L28" s="55"/>
      <c r="M28" s="55">
        <v>0</v>
      </c>
      <c r="N28" s="55"/>
      <c r="O28" s="55">
        <v>0</v>
      </c>
      <c r="P28" s="55"/>
      <c r="Q28" s="55">
        <v>0</v>
      </c>
      <c r="R28" s="55"/>
      <c r="S28" s="55">
        <v>0</v>
      </c>
      <c r="T28" s="55"/>
      <c r="U28" s="55">
        <f t="shared" si="2"/>
        <v>0</v>
      </c>
      <c r="V28" s="54"/>
      <c r="W28" s="101" t="s">
        <v>26</v>
      </c>
      <c r="X28" s="54"/>
      <c r="Y28" s="55">
        <v>0</v>
      </c>
      <c r="Z28" s="51"/>
      <c r="AA28" s="55">
        <v>0</v>
      </c>
      <c r="AB28" s="51"/>
      <c r="AC28" s="55">
        <v>0</v>
      </c>
      <c r="AD28" s="51"/>
      <c r="AE28" s="56">
        <f t="shared" si="3"/>
        <v>0</v>
      </c>
      <c r="AF28" s="56"/>
      <c r="AG28" s="55">
        <v>0</v>
      </c>
      <c r="AH28" s="56"/>
      <c r="AI28" s="55">
        <v>0</v>
      </c>
      <c r="AJ28" s="51"/>
      <c r="AK28" s="55">
        <v>0</v>
      </c>
      <c r="AL28" s="51"/>
      <c r="AM28" s="51">
        <v>0</v>
      </c>
      <c r="AN28" s="51"/>
      <c r="AO28" s="56">
        <f t="shared" si="4"/>
        <v>0</v>
      </c>
      <c r="AP28" s="56"/>
      <c r="AQ28" s="51">
        <v>0</v>
      </c>
      <c r="AR28" s="51"/>
      <c r="AS28" s="51">
        <v>0</v>
      </c>
      <c r="AT28" s="51"/>
      <c r="AU28" s="51">
        <f t="shared" si="5"/>
        <v>0</v>
      </c>
      <c r="AV28" s="54"/>
      <c r="AW28" s="101" t="s">
        <v>26</v>
      </c>
      <c r="AX28" s="54"/>
      <c r="AY28" s="51">
        <v>0</v>
      </c>
      <c r="AZ28" s="51"/>
      <c r="BA28" s="51">
        <v>0</v>
      </c>
      <c r="BB28" s="51"/>
      <c r="BC28" s="51">
        <v>0</v>
      </c>
      <c r="BD28" s="51"/>
      <c r="BE28" s="51">
        <v>0</v>
      </c>
      <c r="BF28" s="51"/>
      <c r="BG28" s="51">
        <f t="shared" si="15"/>
        <v>0</v>
      </c>
      <c r="BH28" s="1"/>
    </row>
    <row r="29" spans="1:60" ht="12.75">
      <c r="A29" s="44" t="s">
        <v>27</v>
      </c>
      <c r="B29" s="54"/>
      <c r="C29" s="55">
        <f t="shared" si="14"/>
        <v>8753167</v>
      </c>
      <c r="D29" s="55"/>
      <c r="E29" s="55">
        <v>6588645</v>
      </c>
      <c r="F29" s="55"/>
      <c r="G29" s="55">
        <v>15341812</v>
      </c>
      <c r="H29" s="55"/>
      <c r="I29" s="55">
        <f t="shared" si="0"/>
        <v>125395</v>
      </c>
      <c r="J29" s="55"/>
      <c r="K29" s="55">
        <f t="shared" si="1"/>
        <v>2828950</v>
      </c>
      <c r="L29" s="55"/>
      <c r="M29" s="55">
        <v>2954345</v>
      </c>
      <c r="N29" s="55"/>
      <c r="O29" s="55">
        <v>2310293</v>
      </c>
      <c r="P29" s="55"/>
      <c r="Q29" s="55">
        <v>1500770</v>
      </c>
      <c r="R29" s="55"/>
      <c r="S29" s="55">
        <v>8576404</v>
      </c>
      <c r="T29" s="55"/>
      <c r="U29" s="55">
        <f t="shared" si="2"/>
        <v>12387467</v>
      </c>
      <c r="V29" s="55"/>
      <c r="W29" s="101" t="s">
        <v>27</v>
      </c>
      <c r="X29" s="55"/>
      <c r="Y29" s="55">
        <v>2933248</v>
      </c>
      <c r="Z29" s="51"/>
      <c r="AA29" s="55">
        <f>2331931-247462</f>
        <v>2084469</v>
      </c>
      <c r="AB29" s="51"/>
      <c r="AC29" s="55">
        <v>247462</v>
      </c>
      <c r="AD29" s="51"/>
      <c r="AE29" s="56">
        <f t="shared" si="3"/>
        <v>601317</v>
      </c>
      <c r="AF29" s="56"/>
      <c r="AG29" s="55">
        <v>130953</v>
      </c>
      <c r="AH29" s="56"/>
      <c r="AI29" s="55">
        <v>0</v>
      </c>
      <c r="AJ29" s="51"/>
      <c r="AK29" s="55">
        <v>0</v>
      </c>
      <c r="AL29" s="51"/>
      <c r="AM29" s="51">
        <v>0</v>
      </c>
      <c r="AN29" s="51"/>
      <c r="AO29" s="56">
        <f t="shared" si="4"/>
        <v>732270</v>
      </c>
      <c r="AP29" s="56"/>
      <c r="AQ29" s="51">
        <v>0</v>
      </c>
      <c r="AR29" s="51"/>
      <c r="AS29" s="51">
        <v>0</v>
      </c>
      <c r="AT29" s="51"/>
      <c r="AU29" s="51">
        <f t="shared" si="5"/>
        <v>8627772</v>
      </c>
      <c r="AV29" s="51"/>
      <c r="AW29" s="101" t="s">
        <v>27</v>
      </c>
      <c r="AX29" s="51"/>
      <c r="AY29" s="51">
        <v>0</v>
      </c>
      <c r="AZ29" s="51"/>
      <c r="BA29" s="51">
        <v>0</v>
      </c>
      <c r="BB29" s="51"/>
      <c r="BC29" s="51">
        <v>0</v>
      </c>
      <c r="BD29" s="51"/>
      <c r="BE29" s="51">
        <f>2777582+51368</f>
        <v>2828950</v>
      </c>
      <c r="BF29" s="51"/>
      <c r="BG29" s="51">
        <f t="shared" si="15"/>
        <v>2828950</v>
      </c>
      <c r="BH29" s="1"/>
    </row>
    <row r="30" spans="1:60" ht="12.75" hidden="1">
      <c r="A30" s="44" t="s">
        <v>28</v>
      </c>
      <c r="B30" s="54"/>
      <c r="C30" s="55">
        <f t="shared" si="14"/>
        <v>0</v>
      </c>
      <c r="D30" s="55"/>
      <c r="E30" s="55">
        <v>0</v>
      </c>
      <c r="F30" s="55"/>
      <c r="G30" s="55">
        <v>0</v>
      </c>
      <c r="H30" s="55"/>
      <c r="I30" s="55">
        <f t="shared" si="0"/>
        <v>0</v>
      </c>
      <c r="J30" s="55"/>
      <c r="K30" s="55">
        <f t="shared" si="1"/>
        <v>0</v>
      </c>
      <c r="L30" s="55"/>
      <c r="M30" s="55">
        <v>0</v>
      </c>
      <c r="N30" s="55"/>
      <c r="O30" s="55">
        <v>0</v>
      </c>
      <c r="P30" s="55"/>
      <c r="Q30" s="55">
        <v>0</v>
      </c>
      <c r="R30" s="55"/>
      <c r="S30" s="55">
        <v>0</v>
      </c>
      <c r="T30" s="55"/>
      <c r="U30" s="55">
        <f t="shared" si="2"/>
        <v>0</v>
      </c>
      <c r="V30" s="54"/>
      <c r="W30" s="101" t="s">
        <v>28</v>
      </c>
      <c r="X30" s="54"/>
      <c r="Y30" s="55">
        <v>0</v>
      </c>
      <c r="Z30" s="51"/>
      <c r="AA30" s="55">
        <v>0</v>
      </c>
      <c r="AB30" s="51"/>
      <c r="AC30" s="55">
        <v>0</v>
      </c>
      <c r="AD30" s="51"/>
      <c r="AE30" s="56">
        <f t="shared" si="3"/>
        <v>0</v>
      </c>
      <c r="AF30" s="56"/>
      <c r="AG30" s="55">
        <v>0</v>
      </c>
      <c r="AH30" s="56"/>
      <c r="AI30" s="55">
        <v>0</v>
      </c>
      <c r="AJ30" s="51"/>
      <c r="AK30" s="55">
        <v>0</v>
      </c>
      <c r="AL30" s="51"/>
      <c r="AM30" s="51">
        <v>0</v>
      </c>
      <c r="AN30" s="51"/>
      <c r="AO30" s="56">
        <f t="shared" si="4"/>
        <v>0</v>
      </c>
      <c r="AP30" s="56"/>
      <c r="AQ30" s="51">
        <v>0</v>
      </c>
      <c r="AR30" s="51"/>
      <c r="AS30" s="51">
        <v>0</v>
      </c>
      <c r="AT30" s="51"/>
      <c r="AU30" s="51">
        <f t="shared" si="5"/>
        <v>0</v>
      </c>
      <c r="AV30" s="54"/>
      <c r="AW30" s="101" t="s">
        <v>28</v>
      </c>
      <c r="AX30" s="54"/>
      <c r="AY30" s="51">
        <v>0</v>
      </c>
      <c r="AZ30" s="51"/>
      <c r="BA30" s="51">
        <v>0</v>
      </c>
      <c r="BB30" s="51"/>
      <c r="BC30" s="51">
        <v>0</v>
      </c>
      <c r="BD30" s="51"/>
      <c r="BE30" s="51">
        <v>0</v>
      </c>
      <c r="BF30" s="51"/>
      <c r="BG30" s="51">
        <f t="shared" si="15"/>
        <v>0</v>
      </c>
      <c r="BH30" s="1"/>
    </row>
    <row r="31" spans="1:60" ht="12.75">
      <c r="A31" s="44" t="s">
        <v>29</v>
      </c>
      <c r="B31" s="54"/>
      <c r="C31" s="55">
        <f t="shared" si="14"/>
        <v>9146745</v>
      </c>
      <c r="D31" s="55"/>
      <c r="E31" s="55">
        <v>9996277</v>
      </c>
      <c r="F31" s="55"/>
      <c r="G31" s="55">
        <v>19143022</v>
      </c>
      <c r="H31" s="55"/>
      <c r="I31" s="55">
        <f t="shared" si="0"/>
        <v>7275220</v>
      </c>
      <c r="J31" s="55"/>
      <c r="K31" s="55">
        <f t="shared" si="1"/>
        <v>28244472</v>
      </c>
      <c r="L31" s="55"/>
      <c r="M31" s="55">
        <v>35519692</v>
      </c>
      <c r="N31" s="55"/>
      <c r="O31" s="55">
        <v>-12253150</v>
      </c>
      <c r="P31" s="55"/>
      <c r="Q31" s="55">
        <v>0</v>
      </c>
      <c r="R31" s="55"/>
      <c r="S31" s="55">
        <v>-4123520</v>
      </c>
      <c r="T31" s="55"/>
      <c r="U31" s="55">
        <f t="shared" si="2"/>
        <v>-16376670</v>
      </c>
      <c r="V31" s="55"/>
      <c r="W31" s="101" t="s">
        <v>29</v>
      </c>
      <c r="X31" s="55"/>
      <c r="Y31" s="55">
        <v>4188366</v>
      </c>
      <c r="Z31" s="51"/>
      <c r="AA31" s="55">
        <f>8779511-57744</f>
        <v>8721767</v>
      </c>
      <c r="AB31" s="51"/>
      <c r="AC31" s="55">
        <v>57744</v>
      </c>
      <c r="AD31" s="51"/>
      <c r="AE31" s="56">
        <f t="shared" si="3"/>
        <v>-4591145</v>
      </c>
      <c r="AF31" s="56"/>
      <c r="AG31" s="55">
        <v>-518058</v>
      </c>
      <c r="AH31" s="56"/>
      <c r="AI31" s="55">
        <v>2266</v>
      </c>
      <c r="AJ31" s="51"/>
      <c r="AK31" s="55">
        <v>-51910</v>
      </c>
      <c r="AL31" s="51"/>
      <c r="AM31" s="51">
        <v>0</v>
      </c>
      <c r="AN31" s="51"/>
      <c r="AO31" s="56">
        <f t="shared" si="4"/>
        <v>-5055027</v>
      </c>
      <c r="AP31" s="56"/>
      <c r="AQ31" s="51">
        <v>0</v>
      </c>
      <c r="AR31" s="51"/>
      <c r="AS31" s="51">
        <v>0</v>
      </c>
      <c r="AT31" s="51"/>
      <c r="AU31" s="51">
        <f t="shared" si="5"/>
        <v>1871525</v>
      </c>
      <c r="AV31" s="51"/>
      <c r="AW31" s="101" t="s">
        <v>29</v>
      </c>
      <c r="AX31" s="51"/>
      <c r="AY31" s="51">
        <v>16472008</v>
      </c>
      <c r="AZ31" s="51"/>
      <c r="BA31" s="51">
        <v>0</v>
      </c>
      <c r="BB31" s="51"/>
      <c r="BC31" s="51">
        <v>0</v>
      </c>
      <c r="BD31" s="51"/>
      <c r="BE31" s="51">
        <f>306854+11465610</f>
        <v>11772464</v>
      </c>
      <c r="BF31" s="51"/>
      <c r="BG31" s="51">
        <f t="shared" si="15"/>
        <v>28244472</v>
      </c>
      <c r="BH31" s="1"/>
    </row>
    <row r="32" spans="1:60" ht="12.75" hidden="1">
      <c r="A32" s="44" t="s">
        <v>30</v>
      </c>
      <c r="B32" s="54"/>
      <c r="C32" s="55">
        <f t="shared" si="14"/>
        <v>0</v>
      </c>
      <c r="D32" s="55"/>
      <c r="E32" s="55">
        <v>0</v>
      </c>
      <c r="F32" s="55"/>
      <c r="G32" s="55">
        <v>0</v>
      </c>
      <c r="H32" s="55"/>
      <c r="I32" s="55">
        <f t="shared" si="0"/>
        <v>0</v>
      </c>
      <c r="J32" s="55"/>
      <c r="K32" s="55">
        <f t="shared" si="1"/>
        <v>0</v>
      </c>
      <c r="L32" s="55"/>
      <c r="M32" s="55">
        <v>0</v>
      </c>
      <c r="N32" s="55"/>
      <c r="O32" s="55">
        <v>0</v>
      </c>
      <c r="P32" s="55"/>
      <c r="Q32" s="55">
        <v>0</v>
      </c>
      <c r="R32" s="55"/>
      <c r="S32" s="55">
        <v>0</v>
      </c>
      <c r="T32" s="55"/>
      <c r="U32" s="55">
        <f t="shared" si="2"/>
        <v>0</v>
      </c>
      <c r="V32" s="54"/>
      <c r="W32" s="101" t="s">
        <v>30</v>
      </c>
      <c r="X32" s="54"/>
      <c r="Y32" s="55">
        <v>0</v>
      </c>
      <c r="Z32" s="51"/>
      <c r="AA32" s="55">
        <v>0</v>
      </c>
      <c r="AB32" s="51"/>
      <c r="AC32" s="55">
        <v>0</v>
      </c>
      <c r="AD32" s="51"/>
      <c r="AE32" s="56">
        <f t="shared" si="3"/>
        <v>0</v>
      </c>
      <c r="AF32" s="56"/>
      <c r="AG32" s="55">
        <v>0</v>
      </c>
      <c r="AH32" s="56"/>
      <c r="AI32" s="55">
        <v>0</v>
      </c>
      <c r="AJ32" s="51"/>
      <c r="AK32" s="55">
        <v>0</v>
      </c>
      <c r="AL32" s="51"/>
      <c r="AM32" s="51">
        <v>0</v>
      </c>
      <c r="AN32" s="51"/>
      <c r="AO32" s="56">
        <f t="shared" si="4"/>
        <v>0</v>
      </c>
      <c r="AP32" s="56"/>
      <c r="AQ32" s="51">
        <v>0</v>
      </c>
      <c r="AR32" s="51"/>
      <c r="AS32" s="51">
        <v>0</v>
      </c>
      <c r="AT32" s="51"/>
      <c r="AU32" s="51">
        <f t="shared" si="5"/>
        <v>0</v>
      </c>
      <c r="AV32" s="54"/>
      <c r="AW32" s="101" t="s">
        <v>30</v>
      </c>
      <c r="AX32" s="54"/>
      <c r="AY32" s="51">
        <v>0</v>
      </c>
      <c r="AZ32" s="51"/>
      <c r="BA32" s="51">
        <v>0</v>
      </c>
      <c r="BB32" s="51"/>
      <c r="BC32" s="51">
        <v>0</v>
      </c>
      <c r="BD32" s="51"/>
      <c r="BE32" s="51">
        <v>0</v>
      </c>
      <c r="BF32" s="51"/>
      <c r="BG32" s="51">
        <f t="shared" si="15"/>
        <v>0</v>
      </c>
      <c r="BH32" s="1"/>
    </row>
    <row r="33" spans="1:60" ht="12.75" hidden="1">
      <c r="A33" s="44" t="s">
        <v>31</v>
      </c>
      <c r="B33" s="54"/>
      <c r="C33" s="55">
        <f t="shared" si="14"/>
        <v>0</v>
      </c>
      <c r="D33" s="55"/>
      <c r="E33" s="55">
        <v>0</v>
      </c>
      <c r="F33" s="55"/>
      <c r="G33" s="55">
        <v>0</v>
      </c>
      <c r="H33" s="55"/>
      <c r="I33" s="55">
        <f t="shared" si="0"/>
        <v>0</v>
      </c>
      <c r="J33" s="55"/>
      <c r="K33" s="55">
        <f t="shared" si="1"/>
        <v>0</v>
      </c>
      <c r="L33" s="55"/>
      <c r="M33" s="55">
        <v>0</v>
      </c>
      <c r="N33" s="55"/>
      <c r="O33" s="55">
        <v>0</v>
      </c>
      <c r="P33" s="55"/>
      <c r="Q33" s="55">
        <v>0</v>
      </c>
      <c r="R33" s="55"/>
      <c r="S33" s="55">
        <v>0</v>
      </c>
      <c r="T33" s="55"/>
      <c r="U33" s="55">
        <f t="shared" si="2"/>
        <v>0</v>
      </c>
      <c r="V33" s="54"/>
      <c r="W33" s="101" t="s">
        <v>31</v>
      </c>
      <c r="X33" s="54"/>
      <c r="Y33" s="55">
        <v>0</v>
      </c>
      <c r="Z33" s="51"/>
      <c r="AA33" s="55">
        <v>0</v>
      </c>
      <c r="AB33" s="51"/>
      <c r="AC33" s="55">
        <v>0</v>
      </c>
      <c r="AD33" s="51"/>
      <c r="AE33" s="56">
        <f t="shared" si="3"/>
        <v>0</v>
      </c>
      <c r="AF33" s="56"/>
      <c r="AG33" s="55">
        <v>0</v>
      </c>
      <c r="AH33" s="56"/>
      <c r="AI33" s="55">
        <v>0</v>
      </c>
      <c r="AJ33" s="51"/>
      <c r="AK33" s="55">
        <v>0</v>
      </c>
      <c r="AL33" s="51"/>
      <c r="AM33" s="51">
        <v>0</v>
      </c>
      <c r="AN33" s="51"/>
      <c r="AO33" s="56">
        <f t="shared" si="4"/>
        <v>0</v>
      </c>
      <c r="AP33" s="56"/>
      <c r="AQ33" s="51">
        <v>0</v>
      </c>
      <c r="AR33" s="51"/>
      <c r="AS33" s="51">
        <v>0</v>
      </c>
      <c r="AT33" s="51"/>
      <c r="AU33" s="51">
        <f t="shared" si="5"/>
        <v>0</v>
      </c>
      <c r="AV33" s="54"/>
      <c r="AW33" s="101" t="s">
        <v>31</v>
      </c>
      <c r="AX33" s="54"/>
      <c r="AY33" s="51">
        <v>0</v>
      </c>
      <c r="AZ33" s="51"/>
      <c r="BA33" s="51">
        <v>0</v>
      </c>
      <c r="BB33" s="51"/>
      <c r="BC33" s="51">
        <v>0</v>
      </c>
      <c r="BD33" s="51"/>
      <c r="BE33" s="51">
        <v>0</v>
      </c>
      <c r="BF33" s="51"/>
      <c r="BG33" s="51">
        <f t="shared" si="15"/>
        <v>0</v>
      </c>
      <c r="BH33" s="1"/>
    </row>
    <row r="34" spans="1:60" ht="12.75" hidden="1">
      <c r="A34" s="44" t="s">
        <v>32</v>
      </c>
      <c r="B34" s="54"/>
      <c r="C34" s="55">
        <f t="shared" si="14"/>
        <v>0</v>
      </c>
      <c r="D34" s="55"/>
      <c r="E34" s="55">
        <v>0</v>
      </c>
      <c r="F34" s="55"/>
      <c r="G34" s="55">
        <v>0</v>
      </c>
      <c r="H34" s="55"/>
      <c r="I34" s="55">
        <f t="shared" si="0"/>
        <v>0</v>
      </c>
      <c r="J34" s="55"/>
      <c r="K34" s="55">
        <f t="shared" si="1"/>
        <v>0</v>
      </c>
      <c r="L34" s="55"/>
      <c r="M34" s="55">
        <v>0</v>
      </c>
      <c r="N34" s="55"/>
      <c r="O34" s="55">
        <v>0</v>
      </c>
      <c r="P34" s="55"/>
      <c r="Q34" s="55">
        <v>0</v>
      </c>
      <c r="R34" s="55"/>
      <c r="S34" s="55">
        <v>0</v>
      </c>
      <c r="T34" s="55"/>
      <c r="U34" s="55">
        <f t="shared" si="2"/>
        <v>0</v>
      </c>
      <c r="V34" s="54"/>
      <c r="W34" s="101" t="s">
        <v>32</v>
      </c>
      <c r="X34" s="54"/>
      <c r="Y34" s="55">
        <v>0</v>
      </c>
      <c r="Z34" s="51"/>
      <c r="AA34" s="55">
        <v>0</v>
      </c>
      <c r="AB34" s="51"/>
      <c r="AC34" s="55">
        <v>0</v>
      </c>
      <c r="AD34" s="51"/>
      <c r="AE34" s="56">
        <f t="shared" si="3"/>
        <v>0</v>
      </c>
      <c r="AF34" s="56"/>
      <c r="AG34" s="55">
        <v>0</v>
      </c>
      <c r="AH34" s="56"/>
      <c r="AI34" s="55">
        <v>0</v>
      </c>
      <c r="AJ34" s="51"/>
      <c r="AK34" s="55">
        <v>0</v>
      </c>
      <c r="AL34" s="51"/>
      <c r="AM34" s="51">
        <v>0</v>
      </c>
      <c r="AN34" s="51"/>
      <c r="AO34" s="56">
        <f t="shared" si="4"/>
        <v>0</v>
      </c>
      <c r="AP34" s="56"/>
      <c r="AQ34" s="51">
        <v>0</v>
      </c>
      <c r="AR34" s="51"/>
      <c r="AS34" s="51">
        <v>0</v>
      </c>
      <c r="AT34" s="51"/>
      <c r="AU34" s="51">
        <f t="shared" si="5"/>
        <v>0</v>
      </c>
      <c r="AV34" s="54"/>
      <c r="AW34" s="101" t="s">
        <v>32</v>
      </c>
      <c r="AX34" s="54"/>
      <c r="AY34" s="51">
        <v>0</v>
      </c>
      <c r="AZ34" s="51"/>
      <c r="BA34" s="51">
        <v>0</v>
      </c>
      <c r="BB34" s="51"/>
      <c r="BC34" s="51">
        <v>0</v>
      </c>
      <c r="BD34" s="51"/>
      <c r="BE34" s="51">
        <v>0</v>
      </c>
      <c r="BF34" s="51"/>
      <c r="BG34" s="51">
        <f t="shared" si="15"/>
        <v>0</v>
      </c>
      <c r="BH34" s="1"/>
    </row>
    <row r="35" spans="1:60" ht="12.75" hidden="1">
      <c r="A35" s="44" t="s">
        <v>33</v>
      </c>
      <c r="B35" s="54"/>
      <c r="C35" s="55">
        <f t="shared" si="14"/>
        <v>0</v>
      </c>
      <c r="D35" s="55"/>
      <c r="E35" s="55">
        <v>0</v>
      </c>
      <c r="F35" s="55"/>
      <c r="G35" s="55">
        <v>0</v>
      </c>
      <c r="H35" s="55"/>
      <c r="I35" s="55">
        <f t="shared" si="0"/>
        <v>0</v>
      </c>
      <c r="J35" s="55"/>
      <c r="K35" s="55">
        <f t="shared" si="1"/>
        <v>0</v>
      </c>
      <c r="L35" s="55"/>
      <c r="M35" s="55">
        <v>0</v>
      </c>
      <c r="N35" s="55"/>
      <c r="O35" s="55">
        <v>0</v>
      </c>
      <c r="P35" s="55"/>
      <c r="Q35" s="55">
        <v>0</v>
      </c>
      <c r="R35" s="55"/>
      <c r="S35" s="55">
        <v>0</v>
      </c>
      <c r="T35" s="55"/>
      <c r="U35" s="55">
        <f t="shared" si="2"/>
        <v>0</v>
      </c>
      <c r="V35" s="55"/>
      <c r="W35" s="101" t="s">
        <v>33</v>
      </c>
      <c r="X35" s="55"/>
      <c r="Y35" s="55">
        <v>0</v>
      </c>
      <c r="Z35" s="51"/>
      <c r="AA35" s="55">
        <v>0</v>
      </c>
      <c r="AB35" s="51"/>
      <c r="AC35" s="55">
        <v>0</v>
      </c>
      <c r="AD35" s="51"/>
      <c r="AE35" s="56">
        <f t="shared" si="3"/>
        <v>0</v>
      </c>
      <c r="AF35" s="56"/>
      <c r="AG35" s="55">
        <v>0</v>
      </c>
      <c r="AH35" s="56"/>
      <c r="AI35" s="55">
        <v>0</v>
      </c>
      <c r="AJ35" s="51"/>
      <c r="AK35" s="55">
        <v>0</v>
      </c>
      <c r="AL35" s="51"/>
      <c r="AM35" s="51">
        <v>0</v>
      </c>
      <c r="AN35" s="51"/>
      <c r="AO35" s="56">
        <f t="shared" si="4"/>
        <v>0</v>
      </c>
      <c r="AP35" s="56"/>
      <c r="AQ35" s="51">
        <v>0</v>
      </c>
      <c r="AR35" s="51"/>
      <c r="AS35" s="51">
        <v>0</v>
      </c>
      <c r="AT35" s="51"/>
      <c r="AU35" s="51">
        <f t="shared" si="5"/>
        <v>0</v>
      </c>
      <c r="AV35" s="51"/>
      <c r="AW35" s="101" t="s">
        <v>33</v>
      </c>
      <c r="AX35" s="51"/>
      <c r="AY35" s="51">
        <v>0</v>
      </c>
      <c r="AZ35" s="51"/>
      <c r="BA35" s="51">
        <v>0</v>
      </c>
      <c r="BB35" s="51"/>
      <c r="BC35" s="51">
        <v>0</v>
      </c>
      <c r="BD35" s="51"/>
      <c r="BE35" s="51">
        <v>0</v>
      </c>
      <c r="BF35" s="51"/>
      <c r="BG35" s="51">
        <f t="shared" si="15"/>
        <v>0</v>
      </c>
      <c r="BH35" s="1"/>
    </row>
    <row r="36" spans="1:60" ht="12.75" hidden="1">
      <c r="A36" s="44" t="s">
        <v>34</v>
      </c>
      <c r="B36" s="54"/>
      <c r="C36" s="55">
        <f t="shared" si="14"/>
        <v>0</v>
      </c>
      <c r="D36" s="55"/>
      <c r="E36" s="55">
        <v>0</v>
      </c>
      <c r="F36" s="55"/>
      <c r="G36" s="55">
        <v>0</v>
      </c>
      <c r="H36" s="55"/>
      <c r="I36" s="55">
        <f t="shared" si="0"/>
        <v>0</v>
      </c>
      <c r="J36" s="55"/>
      <c r="K36" s="55">
        <f t="shared" si="1"/>
        <v>0</v>
      </c>
      <c r="L36" s="55"/>
      <c r="M36" s="55">
        <v>0</v>
      </c>
      <c r="N36" s="55"/>
      <c r="O36" s="55">
        <v>0</v>
      </c>
      <c r="P36" s="55"/>
      <c r="Q36" s="55">
        <v>0</v>
      </c>
      <c r="R36" s="55"/>
      <c r="S36" s="55">
        <v>0</v>
      </c>
      <c r="T36" s="55"/>
      <c r="U36" s="55">
        <f t="shared" si="2"/>
        <v>0</v>
      </c>
      <c r="V36" s="55"/>
      <c r="W36" s="101" t="s">
        <v>34</v>
      </c>
      <c r="X36" s="55"/>
      <c r="Y36" s="55">
        <v>0</v>
      </c>
      <c r="Z36" s="51"/>
      <c r="AA36" s="55">
        <v>0</v>
      </c>
      <c r="AB36" s="51"/>
      <c r="AC36" s="55">
        <v>0</v>
      </c>
      <c r="AD36" s="51"/>
      <c r="AE36" s="56">
        <f t="shared" si="3"/>
        <v>0</v>
      </c>
      <c r="AF36" s="56"/>
      <c r="AG36" s="55">
        <v>0</v>
      </c>
      <c r="AH36" s="56"/>
      <c r="AI36" s="55">
        <v>0</v>
      </c>
      <c r="AJ36" s="51"/>
      <c r="AK36" s="55">
        <v>0</v>
      </c>
      <c r="AL36" s="51"/>
      <c r="AM36" s="51">
        <v>0</v>
      </c>
      <c r="AN36" s="51"/>
      <c r="AO36" s="56">
        <f t="shared" si="4"/>
        <v>0</v>
      </c>
      <c r="AP36" s="56"/>
      <c r="AQ36" s="51">
        <v>0</v>
      </c>
      <c r="AR36" s="51"/>
      <c r="AS36" s="51">
        <v>0</v>
      </c>
      <c r="AT36" s="51"/>
      <c r="AU36" s="51">
        <f t="shared" si="5"/>
        <v>0</v>
      </c>
      <c r="AV36" s="51"/>
      <c r="AW36" s="101" t="s">
        <v>34</v>
      </c>
      <c r="AX36" s="51"/>
      <c r="AY36" s="51">
        <v>0</v>
      </c>
      <c r="AZ36" s="51"/>
      <c r="BA36" s="51">
        <v>0</v>
      </c>
      <c r="BB36" s="51"/>
      <c r="BC36" s="51">
        <v>0</v>
      </c>
      <c r="BD36" s="51"/>
      <c r="BE36" s="51">
        <v>0</v>
      </c>
      <c r="BF36" s="51"/>
      <c r="BG36" s="51">
        <f t="shared" si="15"/>
        <v>0</v>
      </c>
      <c r="BH36" s="1"/>
    </row>
    <row r="37" spans="1:60" ht="12.75" hidden="1">
      <c r="A37" s="44" t="s">
        <v>35</v>
      </c>
      <c r="B37" s="54"/>
      <c r="C37" s="55">
        <f t="shared" si="14"/>
        <v>0</v>
      </c>
      <c r="D37" s="55"/>
      <c r="E37" s="55">
        <v>0</v>
      </c>
      <c r="F37" s="55"/>
      <c r="G37" s="55">
        <v>0</v>
      </c>
      <c r="H37" s="55"/>
      <c r="I37" s="55">
        <f t="shared" si="0"/>
        <v>0</v>
      </c>
      <c r="J37" s="55"/>
      <c r="K37" s="55">
        <f t="shared" si="1"/>
        <v>0</v>
      </c>
      <c r="L37" s="55"/>
      <c r="M37" s="55">
        <v>0</v>
      </c>
      <c r="N37" s="55"/>
      <c r="O37" s="55">
        <v>0</v>
      </c>
      <c r="P37" s="55"/>
      <c r="Q37" s="55">
        <v>0</v>
      </c>
      <c r="R37" s="55"/>
      <c r="S37" s="55">
        <v>0</v>
      </c>
      <c r="T37" s="55"/>
      <c r="U37" s="55">
        <f t="shared" si="2"/>
        <v>0</v>
      </c>
      <c r="V37" s="54"/>
      <c r="W37" s="101" t="s">
        <v>35</v>
      </c>
      <c r="X37" s="54"/>
      <c r="Y37" s="55">
        <v>0</v>
      </c>
      <c r="Z37" s="51"/>
      <c r="AA37" s="55">
        <v>0</v>
      </c>
      <c r="AB37" s="51"/>
      <c r="AC37" s="55">
        <v>0</v>
      </c>
      <c r="AD37" s="51"/>
      <c r="AE37" s="56">
        <f t="shared" si="3"/>
        <v>0</v>
      </c>
      <c r="AF37" s="56"/>
      <c r="AG37" s="55">
        <v>0</v>
      </c>
      <c r="AH37" s="56"/>
      <c r="AI37" s="55">
        <v>0</v>
      </c>
      <c r="AJ37" s="51"/>
      <c r="AK37" s="55">
        <v>0</v>
      </c>
      <c r="AL37" s="51"/>
      <c r="AM37" s="51">
        <v>0</v>
      </c>
      <c r="AN37" s="51"/>
      <c r="AO37" s="56">
        <f t="shared" si="4"/>
        <v>0</v>
      </c>
      <c r="AP37" s="56"/>
      <c r="AQ37" s="51">
        <v>0</v>
      </c>
      <c r="AR37" s="51"/>
      <c r="AS37" s="51">
        <v>0</v>
      </c>
      <c r="AT37" s="51"/>
      <c r="AU37" s="51">
        <f t="shared" si="5"/>
        <v>0</v>
      </c>
      <c r="AV37" s="54"/>
      <c r="AW37" s="101" t="s">
        <v>35</v>
      </c>
      <c r="AX37" s="54"/>
      <c r="AY37" s="51">
        <v>0</v>
      </c>
      <c r="AZ37" s="51"/>
      <c r="BA37" s="51">
        <v>0</v>
      </c>
      <c r="BB37" s="51"/>
      <c r="BC37" s="51">
        <v>0</v>
      </c>
      <c r="BD37" s="51"/>
      <c r="BE37" s="51">
        <v>0</v>
      </c>
      <c r="BF37" s="51"/>
      <c r="BG37" s="51">
        <f t="shared" si="15"/>
        <v>0</v>
      </c>
      <c r="BH37" s="1"/>
    </row>
    <row r="38" spans="1:60" ht="12.75" hidden="1">
      <c r="A38" s="44" t="s">
        <v>135</v>
      </c>
      <c r="B38" s="54"/>
      <c r="C38" s="55">
        <f t="shared" si="14"/>
        <v>0</v>
      </c>
      <c r="D38" s="55"/>
      <c r="E38" s="55">
        <v>0</v>
      </c>
      <c r="F38" s="55"/>
      <c r="G38" s="55">
        <v>0</v>
      </c>
      <c r="H38" s="55"/>
      <c r="I38" s="55">
        <f t="shared" si="0"/>
        <v>0</v>
      </c>
      <c r="J38" s="55"/>
      <c r="K38" s="55">
        <f t="shared" si="1"/>
        <v>0</v>
      </c>
      <c r="L38" s="55"/>
      <c r="M38" s="55">
        <v>0</v>
      </c>
      <c r="N38" s="55"/>
      <c r="O38" s="55">
        <v>0</v>
      </c>
      <c r="P38" s="55"/>
      <c r="Q38" s="55">
        <v>0</v>
      </c>
      <c r="R38" s="55"/>
      <c r="S38" s="55">
        <v>0</v>
      </c>
      <c r="T38" s="55"/>
      <c r="U38" s="55">
        <f t="shared" si="2"/>
        <v>0</v>
      </c>
      <c r="V38" s="54"/>
      <c r="W38" s="101" t="s">
        <v>135</v>
      </c>
      <c r="X38" s="54"/>
      <c r="Y38" s="55">
        <v>0</v>
      </c>
      <c r="Z38" s="51"/>
      <c r="AA38" s="55">
        <v>0</v>
      </c>
      <c r="AB38" s="51"/>
      <c r="AC38" s="55">
        <v>0</v>
      </c>
      <c r="AD38" s="51"/>
      <c r="AE38" s="56">
        <f t="shared" si="3"/>
        <v>0</v>
      </c>
      <c r="AF38" s="56"/>
      <c r="AG38" s="55">
        <v>0</v>
      </c>
      <c r="AH38" s="56"/>
      <c r="AI38" s="55">
        <v>0</v>
      </c>
      <c r="AJ38" s="51"/>
      <c r="AK38" s="55">
        <v>0</v>
      </c>
      <c r="AL38" s="51"/>
      <c r="AM38" s="51">
        <v>0</v>
      </c>
      <c r="AN38" s="51"/>
      <c r="AO38" s="56">
        <f t="shared" si="4"/>
        <v>0</v>
      </c>
      <c r="AP38" s="56"/>
      <c r="AQ38" s="51">
        <v>0</v>
      </c>
      <c r="AR38" s="51"/>
      <c r="AS38" s="51">
        <v>0</v>
      </c>
      <c r="AT38" s="51"/>
      <c r="AU38" s="51">
        <f t="shared" si="5"/>
        <v>0</v>
      </c>
      <c r="AV38" s="54"/>
      <c r="AW38" s="101" t="s">
        <v>135</v>
      </c>
      <c r="AX38" s="54"/>
      <c r="AY38" s="51">
        <v>0</v>
      </c>
      <c r="AZ38" s="51"/>
      <c r="BA38" s="51">
        <v>0</v>
      </c>
      <c r="BB38" s="51"/>
      <c r="BC38" s="51">
        <v>0</v>
      </c>
      <c r="BD38" s="51"/>
      <c r="BE38" s="51">
        <v>0</v>
      </c>
      <c r="BF38" s="51"/>
      <c r="BG38" s="51">
        <f t="shared" si="15"/>
        <v>0</v>
      </c>
      <c r="BH38" s="1"/>
    </row>
    <row r="39" spans="1:60" ht="12.75" hidden="1">
      <c r="A39" s="44" t="s">
        <v>36</v>
      </c>
      <c r="B39" s="54"/>
      <c r="C39" s="55">
        <f t="shared" si="14"/>
        <v>0</v>
      </c>
      <c r="D39" s="55"/>
      <c r="E39" s="55">
        <v>0</v>
      </c>
      <c r="F39" s="55"/>
      <c r="G39" s="55">
        <v>0</v>
      </c>
      <c r="H39" s="55"/>
      <c r="I39" s="55">
        <f t="shared" si="0"/>
        <v>0</v>
      </c>
      <c r="J39" s="55"/>
      <c r="K39" s="55">
        <f t="shared" si="1"/>
        <v>0</v>
      </c>
      <c r="L39" s="55"/>
      <c r="M39" s="55">
        <v>0</v>
      </c>
      <c r="N39" s="55"/>
      <c r="O39" s="55">
        <v>0</v>
      </c>
      <c r="P39" s="55"/>
      <c r="Q39" s="55">
        <v>0</v>
      </c>
      <c r="R39" s="55"/>
      <c r="S39" s="55">
        <v>0</v>
      </c>
      <c r="T39" s="55"/>
      <c r="U39" s="55">
        <f t="shared" si="2"/>
        <v>0</v>
      </c>
      <c r="V39" s="54"/>
      <c r="W39" s="101" t="s">
        <v>36</v>
      </c>
      <c r="X39" s="54"/>
      <c r="Y39" s="55">
        <v>0</v>
      </c>
      <c r="Z39" s="51"/>
      <c r="AA39" s="55">
        <v>0</v>
      </c>
      <c r="AB39" s="51"/>
      <c r="AC39" s="55">
        <v>0</v>
      </c>
      <c r="AD39" s="51"/>
      <c r="AE39" s="56">
        <f t="shared" si="3"/>
        <v>0</v>
      </c>
      <c r="AF39" s="56"/>
      <c r="AG39" s="55">
        <v>0</v>
      </c>
      <c r="AH39" s="56"/>
      <c r="AI39" s="55">
        <v>0</v>
      </c>
      <c r="AJ39" s="51"/>
      <c r="AK39" s="55">
        <v>0</v>
      </c>
      <c r="AL39" s="51"/>
      <c r="AM39" s="51">
        <v>0</v>
      </c>
      <c r="AN39" s="51"/>
      <c r="AO39" s="56">
        <f t="shared" si="4"/>
        <v>0</v>
      </c>
      <c r="AP39" s="56"/>
      <c r="AQ39" s="51">
        <v>0</v>
      </c>
      <c r="AR39" s="51"/>
      <c r="AS39" s="51">
        <v>0</v>
      </c>
      <c r="AT39" s="51"/>
      <c r="AU39" s="51">
        <f t="shared" si="5"/>
        <v>0</v>
      </c>
      <c r="AV39" s="54"/>
      <c r="AW39" s="101" t="s">
        <v>36</v>
      </c>
      <c r="AX39" s="54"/>
      <c r="AY39" s="51">
        <v>0</v>
      </c>
      <c r="AZ39" s="51"/>
      <c r="BA39" s="51">
        <v>0</v>
      </c>
      <c r="BB39" s="51"/>
      <c r="BC39" s="51">
        <v>0</v>
      </c>
      <c r="BD39" s="51"/>
      <c r="BE39" s="51">
        <v>0</v>
      </c>
      <c r="BF39" s="51"/>
      <c r="BG39" s="51">
        <f t="shared" si="15"/>
        <v>0</v>
      </c>
      <c r="BH39" s="1"/>
    </row>
    <row r="40" spans="1:60" ht="12.75" hidden="1">
      <c r="A40" s="44" t="s">
        <v>37</v>
      </c>
      <c r="B40" s="54"/>
      <c r="C40" s="55">
        <f t="shared" si="14"/>
        <v>0</v>
      </c>
      <c r="D40" s="55"/>
      <c r="E40" s="55">
        <v>0</v>
      </c>
      <c r="F40" s="55"/>
      <c r="G40" s="55">
        <v>0</v>
      </c>
      <c r="H40" s="55"/>
      <c r="I40" s="55">
        <f t="shared" si="0"/>
        <v>0</v>
      </c>
      <c r="J40" s="55"/>
      <c r="K40" s="55">
        <f t="shared" si="1"/>
        <v>0</v>
      </c>
      <c r="L40" s="55"/>
      <c r="M40" s="55">
        <v>0</v>
      </c>
      <c r="N40" s="55"/>
      <c r="O40" s="55">
        <v>0</v>
      </c>
      <c r="P40" s="55"/>
      <c r="Q40" s="55">
        <v>0</v>
      </c>
      <c r="R40" s="55"/>
      <c r="S40" s="55">
        <v>0</v>
      </c>
      <c r="T40" s="55"/>
      <c r="U40" s="55">
        <f t="shared" si="2"/>
        <v>0</v>
      </c>
      <c r="V40" s="54"/>
      <c r="W40" s="101" t="s">
        <v>37</v>
      </c>
      <c r="X40" s="54"/>
      <c r="Y40" s="55">
        <v>0</v>
      </c>
      <c r="Z40" s="51"/>
      <c r="AA40" s="55">
        <v>0</v>
      </c>
      <c r="AB40" s="51"/>
      <c r="AC40" s="55">
        <v>0</v>
      </c>
      <c r="AD40" s="51"/>
      <c r="AE40" s="56">
        <f t="shared" si="3"/>
        <v>0</v>
      </c>
      <c r="AF40" s="56"/>
      <c r="AG40" s="55">
        <v>0</v>
      </c>
      <c r="AH40" s="56"/>
      <c r="AI40" s="55">
        <v>0</v>
      </c>
      <c r="AJ40" s="51"/>
      <c r="AK40" s="55">
        <v>0</v>
      </c>
      <c r="AL40" s="51"/>
      <c r="AM40" s="51">
        <v>0</v>
      </c>
      <c r="AN40" s="51"/>
      <c r="AO40" s="56">
        <f t="shared" si="4"/>
        <v>0</v>
      </c>
      <c r="AP40" s="56"/>
      <c r="AQ40" s="51">
        <v>0</v>
      </c>
      <c r="AR40" s="51"/>
      <c r="AS40" s="51">
        <v>0</v>
      </c>
      <c r="AT40" s="51"/>
      <c r="AU40" s="51">
        <f t="shared" si="5"/>
        <v>0</v>
      </c>
      <c r="AV40" s="54"/>
      <c r="AW40" s="101" t="s">
        <v>37</v>
      </c>
      <c r="AX40" s="54"/>
      <c r="AY40" s="51">
        <v>0</v>
      </c>
      <c r="AZ40" s="51"/>
      <c r="BA40" s="51">
        <v>0</v>
      </c>
      <c r="BB40" s="51"/>
      <c r="BC40" s="51">
        <v>0</v>
      </c>
      <c r="BD40" s="51"/>
      <c r="BE40" s="51">
        <v>0</v>
      </c>
      <c r="BF40" s="51"/>
      <c r="BG40" s="51">
        <f t="shared" si="15"/>
        <v>0</v>
      </c>
      <c r="BH40" s="1"/>
    </row>
    <row r="41" spans="1:60" ht="12.75">
      <c r="A41" s="44" t="s">
        <v>38</v>
      </c>
      <c r="B41" s="54"/>
      <c r="C41" s="55">
        <f t="shared" si="14"/>
        <v>2384458</v>
      </c>
      <c r="D41" s="55"/>
      <c r="E41" s="55">
        <v>6368180</v>
      </c>
      <c r="F41" s="55"/>
      <c r="G41" s="55">
        <v>8752638</v>
      </c>
      <c r="H41" s="55"/>
      <c r="I41" s="55">
        <f t="shared" si="0"/>
        <v>830757</v>
      </c>
      <c r="J41" s="55"/>
      <c r="K41" s="55">
        <f t="shared" si="1"/>
        <v>2051161</v>
      </c>
      <c r="L41" s="55"/>
      <c r="M41" s="55">
        <v>2881918</v>
      </c>
      <c r="N41" s="55"/>
      <c r="O41" s="55">
        <v>1389048</v>
      </c>
      <c r="P41" s="55"/>
      <c r="Q41" s="55">
        <v>0</v>
      </c>
      <c r="R41" s="55"/>
      <c r="S41" s="55">
        <v>4481672</v>
      </c>
      <c r="T41" s="55"/>
      <c r="U41" s="55">
        <f t="shared" si="2"/>
        <v>5870720</v>
      </c>
      <c r="V41" s="55"/>
      <c r="W41" s="101" t="s">
        <v>38</v>
      </c>
      <c r="X41" s="55"/>
      <c r="Y41" s="55">
        <v>3740181</v>
      </c>
      <c r="Z41" s="51"/>
      <c r="AA41" s="55">
        <f>3985294-161374</f>
        <v>3823920</v>
      </c>
      <c r="AB41" s="51"/>
      <c r="AC41" s="55">
        <v>161374</v>
      </c>
      <c r="AD41" s="51"/>
      <c r="AE41" s="56">
        <f t="shared" si="3"/>
        <v>-245113</v>
      </c>
      <c r="AF41" s="56"/>
      <c r="AG41" s="55">
        <v>83117</v>
      </c>
      <c r="AH41" s="56"/>
      <c r="AI41" s="55">
        <v>0</v>
      </c>
      <c r="AJ41" s="51"/>
      <c r="AK41" s="55">
        <v>0</v>
      </c>
      <c r="AL41" s="51"/>
      <c r="AM41" s="51">
        <v>0</v>
      </c>
      <c r="AN41" s="51"/>
      <c r="AO41" s="56">
        <f t="shared" si="4"/>
        <v>-161996</v>
      </c>
      <c r="AP41" s="56"/>
      <c r="AQ41" s="51">
        <v>0</v>
      </c>
      <c r="AR41" s="51"/>
      <c r="AS41" s="51">
        <v>0</v>
      </c>
      <c r="AT41" s="51"/>
      <c r="AU41" s="51">
        <f t="shared" si="5"/>
        <v>1553701</v>
      </c>
      <c r="AV41" s="51"/>
      <c r="AW41" s="101" t="s">
        <v>38</v>
      </c>
      <c r="AX41" s="51"/>
      <c r="AY41" s="51">
        <v>130000</v>
      </c>
      <c r="AZ41" s="51"/>
      <c r="BA41" s="51">
        <v>0</v>
      </c>
      <c r="BB41" s="51"/>
      <c r="BC41" s="51">
        <v>0</v>
      </c>
      <c r="BD41" s="51"/>
      <c r="BE41" s="51">
        <f>1801104+120057</f>
        <v>1921161</v>
      </c>
      <c r="BF41" s="51"/>
      <c r="BG41" s="51">
        <f t="shared" si="15"/>
        <v>2051161</v>
      </c>
      <c r="BH41" s="1"/>
    </row>
    <row r="42" spans="1:60" ht="12.75" hidden="1">
      <c r="A42" s="44" t="s">
        <v>172</v>
      </c>
      <c r="B42" s="54"/>
      <c r="C42" s="55">
        <f t="shared" si="14"/>
        <v>0</v>
      </c>
      <c r="D42" s="55"/>
      <c r="E42" s="55">
        <v>0</v>
      </c>
      <c r="F42" s="55"/>
      <c r="G42" s="55">
        <v>0</v>
      </c>
      <c r="H42" s="55"/>
      <c r="I42" s="55">
        <f t="shared" si="0"/>
        <v>0</v>
      </c>
      <c r="J42" s="55"/>
      <c r="K42" s="55">
        <f t="shared" si="1"/>
        <v>0</v>
      </c>
      <c r="L42" s="55"/>
      <c r="M42" s="55">
        <v>0</v>
      </c>
      <c r="N42" s="55"/>
      <c r="O42" s="55">
        <v>0</v>
      </c>
      <c r="P42" s="55"/>
      <c r="Q42" s="55">
        <v>0</v>
      </c>
      <c r="R42" s="55"/>
      <c r="S42" s="55">
        <v>0</v>
      </c>
      <c r="T42" s="55"/>
      <c r="U42" s="55">
        <f t="shared" si="2"/>
        <v>0</v>
      </c>
      <c r="V42" s="54"/>
      <c r="W42" s="101" t="s">
        <v>172</v>
      </c>
      <c r="X42" s="54"/>
      <c r="Y42" s="55">
        <v>0</v>
      </c>
      <c r="Z42" s="51"/>
      <c r="AA42" s="55">
        <v>0</v>
      </c>
      <c r="AB42" s="51"/>
      <c r="AC42" s="55">
        <v>0</v>
      </c>
      <c r="AD42" s="51"/>
      <c r="AE42" s="56">
        <f t="shared" si="3"/>
        <v>0</v>
      </c>
      <c r="AF42" s="56"/>
      <c r="AG42" s="55">
        <v>0</v>
      </c>
      <c r="AH42" s="56"/>
      <c r="AI42" s="55">
        <v>0</v>
      </c>
      <c r="AJ42" s="51"/>
      <c r="AK42" s="55">
        <v>0</v>
      </c>
      <c r="AL42" s="51"/>
      <c r="AM42" s="51">
        <v>0</v>
      </c>
      <c r="AN42" s="51"/>
      <c r="AO42" s="56">
        <f t="shared" si="4"/>
        <v>0</v>
      </c>
      <c r="AP42" s="56"/>
      <c r="AQ42" s="51">
        <v>0</v>
      </c>
      <c r="AR42" s="51"/>
      <c r="AS42" s="51">
        <v>0</v>
      </c>
      <c r="AT42" s="51"/>
      <c r="AU42" s="51">
        <f t="shared" si="5"/>
        <v>0</v>
      </c>
      <c r="AV42" s="54"/>
      <c r="AW42" s="101" t="s">
        <v>172</v>
      </c>
      <c r="AX42" s="54"/>
      <c r="AY42" s="51">
        <v>0</v>
      </c>
      <c r="AZ42" s="51"/>
      <c r="BA42" s="51">
        <v>0</v>
      </c>
      <c r="BB42" s="51"/>
      <c r="BC42" s="51">
        <v>0</v>
      </c>
      <c r="BD42" s="51"/>
      <c r="BE42" s="51">
        <v>0</v>
      </c>
      <c r="BF42" s="51"/>
      <c r="BG42" s="51">
        <f t="shared" si="15"/>
        <v>0</v>
      </c>
      <c r="BH42" s="1"/>
    </row>
    <row r="43" spans="1:60" ht="12.75" hidden="1">
      <c r="A43" s="44" t="s">
        <v>39</v>
      </c>
      <c r="B43" s="54"/>
      <c r="C43" s="55">
        <f t="shared" si="14"/>
        <v>0</v>
      </c>
      <c r="D43" s="55"/>
      <c r="E43" s="55">
        <v>0</v>
      </c>
      <c r="F43" s="55"/>
      <c r="G43" s="55">
        <v>0</v>
      </c>
      <c r="H43" s="55"/>
      <c r="I43" s="55">
        <f t="shared" si="0"/>
        <v>0</v>
      </c>
      <c r="J43" s="55"/>
      <c r="K43" s="55">
        <f t="shared" si="1"/>
        <v>0</v>
      </c>
      <c r="L43" s="55"/>
      <c r="M43" s="55">
        <v>0</v>
      </c>
      <c r="N43" s="55"/>
      <c r="O43" s="55">
        <v>0</v>
      </c>
      <c r="P43" s="55"/>
      <c r="Q43" s="55">
        <v>0</v>
      </c>
      <c r="R43" s="55"/>
      <c r="S43" s="55">
        <v>0</v>
      </c>
      <c r="T43" s="55"/>
      <c r="U43" s="55">
        <f t="shared" si="2"/>
        <v>0</v>
      </c>
      <c r="V43" s="54"/>
      <c r="W43" s="101" t="s">
        <v>39</v>
      </c>
      <c r="X43" s="54"/>
      <c r="Y43" s="55">
        <v>0</v>
      </c>
      <c r="Z43" s="51"/>
      <c r="AA43" s="55">
        <v>0</v>
      </c>
      <c r="AB43" s="51"/>
      <c r="AC43" s="55">
        <v>0</v>
      </c>
      <c r="AD43" s="51"/>
      <c r="AE43" s="56">
        <f t="shared" si="3"/>
        <v>0</v>
      </c>
      <c r="AF43" s="56"/>
      <c r="AG43" s="55">
        <v>0</v>
      </c>
      <c r="AH43" s="56"/>
      <c r="AI43" s="55">
        <v>0</v>
      </c>
      <c r="AJ43" s="51"/>
      <c r="AK43" s="55">
        <v>0</v>
      </c>
      <c r="AL43" s="51"/>
      <c r="AM43" s="51">
        <v>0</v>
      </c>
      <c r="AN43" s="51"/>
      <c r="AO43" s="56">
        <f t="shared" si="4"/>
        <v>0</v>
      </c>
      <c r="AP43" s="56"/>
      <c r="AQ43" s="51">
        <v>0</v>
      </c>
      <c r="AR43" s="51"/>
      <c r="AS43" s="51">
        <v>0</v>
      </c>
      <c r="AT43" s="51"/>
      <c r="AU43" s="51">
        <f t="shared" si="5"/>
        <v>0</v>
      </c>
      <c r="AV43" s="54"/>
      <c r="AW43" s="101" t="s">
        <v>39</v>
      </c>
      <c r="AX43" s="54"/>
      <c r="AY43" s="51">
        <v>0</v>
      </c>
      <c r="AZ43" s="51"/>
      <c r="BA43" s="51">
        <v>0</v>
      </c>
      <c r="BB43" s="51"/>
      <c r="BC43" s="51">
        <v>0</v>
      </c>
      <c r="BD43" s="51"/>
      <c r="BE43" s="51">
        <v>0</v>
      </c>
      <c r="BF43" s="51"/>
      <c r="BG43" s="51">
        <f t="shared" si="15"/>
        <v>0</v>
      </c>
      <c r="BH43" s="1"/>
    </row>
    <row r="44" spans="1:60" ht="12.75">
      <c r="A44" s="44" t="s">
        <v>40</v>
      </c>
      <c r="B44" s="54"/>
      <c r="C44" s="55">
        <f t="shared" si="14"/>
        <v>1713767</v>
      </c>
      <c r="D44" s="55"/>
      <c r="E44" s="55">
        <v>468793</v>
      </c>
      <c r="F44" s="55"/>
      <c r="G44" s="55">
        <v>2182560</v>
      </c>
      <c r="H44" s="55"/>
      <c r="I44" s="55">
        <f t="shared" si="0"/>
        <v>539518</v>
      </c>
      <c r="J44" s="55"/>
      <c r="K44" s="55">
        <f t="shared" si="1"/>
        <v>2222728</v>
      </c>
      <c r="L44" s="55"/>
      <c r="M44" s="55">
        <v>2762246</v>
      </c>
      <c r="N44" s="55"/>
      <c r="O44" s="55">
        <v>468793</v>
      </c>
      <c r="P44" s="55"/>
      <c r="Q44" s="55">
        <v>0</v>
      </c>
      <c r="R44" s="55"/>
      <c r="S44" s="55">
        <v>-1048479</v>
      </c>
      <c r="T44" s="55"/>
      <c r="U44" s="55">
        <f t="shared" si="2"/>
        <v>-579686</v>
      </c>
      <c r="V44" s="55"/>
      <c r="W44" s="101" t="s">
        <v>40</v>
      </c>
      <c r="X44" s="55"/>
      <c r="Y44" s="55">
        <v>1087302</v>
      </c>
      <c r="Z44" s="51"/>
      <c r="AA44" s="55">
        <f>1162464-27262</f>
        <v>1135202</v>
      </c>
      <c r="AB44" s="51"/>
      <c r="AC44" s="55">
        <v>27262</v>
      </c>
      <c r="AD44" s="51"/>
      <c r="AE44" s="56">
        <f t="shared" si="3"/>
        <v>-75162</v>
      </c>
      <c r="AF44" s="56"/>
      <c r="AG44" s="55">
        <v>22585</v>
      </c>
      <c r="AH44" s="56"/>
      <c r="AI44" s="55">
        <v>0</v>
      </c>
      <c r="AJ44" s="51"/>
      <c r="AK44" s="55">
        <v>7129</v>
      </c>
      <c r="AL44" s="51"/>
      <c r="AM44" s="51">
        <v>0</v>
      </c>
      <c r="AN44" s="51"/>
      <c r="AO44" s="56">
        <f t="shared" si="4"/>
        <v>-59706</v>
      </c>
      <c r="AP44" s="56"/>
      <c r="AQ44" s="51">
        <v>0</v>
      </c>
      <c r="AR44" s="51"/>
      <c r="AS44" s="51">
        <v>0</v>
      </c>
      <c r="AT44" s="51"/>
      <c r="AU44" s="51">
        <f t="shared" si="5"/>
        <v>1174249</v>
      </c>
      <c r="AV44" s="51"/>
      <c r="AW44" s="101" t="s">
        <v>40</v>
      </c>
      <c r="AX44" s="51"/>
      <c r="AY44" s="51">
        <v>0</v>
      </c>
      <c r="AZ44" s="51"/>
      <c r="BA44" s="51">
        <v>0</v>
      </c>
      <c r="BB44" s="51"/>
      <c r="BC44" s="51">
        <v>0</v>
      </c>
      <c r="BD44" s="51"/>
      <c r="BE44" s="51">
        <f>16955+2205773</f>
        <v>2222728</v>
      </c>
      <c r="BF44" s="51"/>
      <c r="BG44" s="51">
        <f t="shared" si="15"/>
        <v>2222728</v>
      </c>
      <c r="BH44" s="1"/>
    </row>
    <row r="45" spans="1:60" ht="12.75" hidden="1">
      <c r="A45" s="44" t="s">
        <v>41</v>
      </c>
      <c r="B45" s="54"/>
      <c r="C45" s="55">
        <f t="shared" si="14"/>
        <v>0</v>
      </c>
      <c r="D45" s="55"/>
      <c r="E45" s="55">
        <v>0</v>
      </c>
      <c r="F45" s="55"/>
      <c r="G45" s="55">
        <v>0</v>
      </c>
      <c r="H45" s="55"/>
      <c r="I45" s="55">
        <f t="shared" si="0"/>
        <v>0</v>
      </c>
      <c r="J45" s="55"/>
      <c r="K45" s="55">
        <f t="shared" si="1"/>
        <v>0</v>
      </c>
      <c r="L45" s="55"/>
      <c r="M45" s="55">
        <v>0</v>
      </c>
      <c r="N45" s="55"/>
      <c r="O45" s="55">
        <v>0</v>
      </c>
      <c r="P45" s="55"/>
      <c r="Q45" s="55">
        <v>0</v>
      </c>
      <c r="R45" s="55"/>
      <c r="S45" s="55">
        <v>0</v>
      </c>
      <c r="T45" s="55"/>
      <c r="U45" s="55">
        <f t="shared" si="2"/>
        <v>0</v>
      </c>
      <c r="V45" s="54"/>
      <c r="W45" s="101" t="s">
        <v>41</v>
      </c>
      <c r="X45" s="54"/>
      <c r="Y45" s="55">
        <v>0</v>
      </c>
      <c r="Z45" s="51"/>
      <c r="AA45" s="55">
        <v>0</v>
      </c>
      <c r="AB45" s="51"/>
      <c r="AC45" s="55">
        <v>0</v>
      </c>
      <c r="AD45" s="51"/>
      <c r="AE45" s="56">
        <f t="shared" si="3"/>
        <v>0</v>
      </c>
      <c r="AF45" s="56"/>
      <c r="AG45" s="55">
        <v>0</v>
      </c>
      <c r="AH45" s="56"/>
      <c r="AI45" s="55">
        <v>0</v>
      </c>
      <c r="AJ45" s="51"/>
      <c r="AK45" s="55">
        <v>0</v>
      </c>
      <c r="AL45" s="51"/>
      <c r="AM45" s="51">
        <v>0</v>
      </c>
      <c r="AN45" s="51"/>
      <c r="AO45" s="56">
        <f t="shared" si="4"/>
        <v>0</v>
      </c>
      <c r="AP45" s="56"/>
      <c r="AQ45" s="51">
        <v>0</v>
      </c>
      <c r="AR45" s="51"/>
      <c r="AS45" s="51">
        <v>0</v>
      </c>
      <c r="AT45" s="51"/>
      <c r="AU45" s="51">
        <f t="shared" si="5"/>
        <v>0</v>
      </c>
      <c r="AV45" s="54"/>
      <c r="AW45" s="101" t="s">
        <v>41</v>
      </c>
      <c r="AX45" s="54"/>
      <c r="AY45" s="51">
        <v>0</v>
      </c>
      <c r="AZ45" s="51"/>
      <c r="BA45" s="51">
        <v>0</v>
      </c>
      <c r="BB45" s="51"/>
      <c r="BC45" s="51">
        <v>0</v>
      </c>
      <c r="BD45" s="51"/>
      <c r="BE45" s="51">
        <v>0</v>
      </c>
      <c r="BF45" s="51"/>
      <c r="BG45" s="51">
        <f t="shared" si="15"/>
        <v>0</v>
      </c>
      <c r="BH45" s="1"/>
    </row>
    <row r="46" spans="1:60" ht="12.75" hidden="1">
      <c r="A46" s="44" t="s">
        <v>42</v>
      </c>
      <c r="B46" s="54"/>
      <c r="C46" s="55">
        <f t="shared" si="14"/>
        <v>0</v>
      </c>
      <c r="D46" s="55"/>
      <c r="E46" s="55">
        <v>0</v>
      </c>
      <c r="F46" s="55"/>
      <c r="G46" s="55">
        <v>0</v>
      </c>
      <c r="H46" s="55"/>
      <c r="I46" s="55">
        <f t="shared" si="0"/>
        <v>0</v>
      </c>
      <c r="J46" s="55"/>
      <c r="K46" s="55">
        <f t="shared" si="1"/>
        <v>0</v>
      </c>
      <c r="L46" s="55"/>
      <c r="M46" s="55">
        <v>0</v>
      </c>
      <c r="N46" s="55"/>
      <c r="O46" s="55">
        <v>0</v>
      </c>
      <c r="P46" s="55"/>
      <c r="Q46" s="55">
        <v>0</v>
      </c>
      <c r="R46" s="55"/>
      <c r="S46" s="55">
        <v>0</v>
      </c>
      <c r="T46" s="55"/>
      <c r="U46" s="55">
        <f t="shared" si="2"/>
        <v>0</v>
      </c>
      <c r="V46" s="55"/>
      <c r="W46" s="101" t="s">
        <v>42</v>
      </c>
      <c r="X46" s="55"/>
      <c r="Y46" s="55">
        <v>0</v>
      </c>
      <c r="Z46" s="51"/>
      <c r="AA46" s="55">
        <v>0</v>
      </c>
      <c r="AB46" s="51"/>
      <c r="AC46" s="55">
        <v>0</v>
      </c>
      <c r="AD46" s="51"/>
      <c r="AE46" s="56">
        <f t="shared" si="3"/>
        <v>0</v>
      </c>
      <c r="AF46" s="56"/>
      <c r="AG46" s="55">
        <v>0</v>
      </c>
      <c r="AH46" s="56"/>
      <c r="AI46" s="55">
        <v>0</v>
      </c>
      <c r="AJ46" s="51"/>
      <c r="AK46" s="55">
        <v>0</v>
      </c>
      <c r="AL46" s="51"/>
      <c r="AM46" s="51">
        <v>0</v>
      </c>
      <c r="AN46" s="51"/>
      <c r="AO46" s="56">
        <f t="shared" si="4"/>
        <v>0</v>
      </c>
      <c r="AP46" s="56"/>
      <c r="AQ46" s="51">
        <v>0</v>
      </c>
      <c r="AR46" s="51"/>
      <c r="AS46" s="51">
        <v>0</v>
      </c>
      <c r="AT46" s="51"/>
      <c r="AU46" s="51">
        <f t="shared" si="5"/>
        <v>0</v>
      </c>
      <c r="AV46" s="51"/>
      <c r="AW46" s="101" t="s">
        <v>42</v>
      </c>
      <c r="AX46" s="51"/>
      <c r="AY46" s="51">
        <v>0</v>
      </c>
      <c r="AZ46" s="51"/>
      <c r="BA46" s="51">
        <v>0</v>
      </c>
      <c r="BB46" s="51"/>
      <c r="BC46" s="51">
        <v>0</v>
      </c>
      <c r="BD46" s="51"/>
      <c r="BE46" s="51">
        <v>0</v>
      </c>
      <c r="BF46" s="51"/>
      <c r="BG46" s="51">
        <f t="shared" si="15"/>
        <v>0</v>
      </c>
      <c r="BH46" s="1"/>
    </row>
    <row r="47" spans="1:60" ht="12.75" hidden="1">
      <c r="A47" s="44" t="s">
        <v>43</v>
      </c>
      <c r="B47" s="54"/>
      <c r="C47" s="55">
        <f t="shared" si="14"/>
        <v>0</v>
      </c>
      <c r="D47" s="55"/>
      <c r="E47" s="55">
        <v>0</v>
      </c>
      <c r="F47" s="55"/>
      <c r="G47" s="55">
        <v>0</v>
      </c>
      <c r="H47" s="55"/>
      <c r="I47" s="55">
        <f t="shared" si="0"/>
        <v>0</v>
      </c>
      <c r="J47" s="55"/>
      <c r="K47" s="55">
        <f t="shared" si="1"/>
        <v>0</v>
      </c>
      <c r="L47" s="55"/>
      <c r="M47" s="55">
        <v>0</v>
      </c>
      <c r="N47" s="55"/>
      <c r="O47" s="55">
        <v>0</v>
      </c>
      <c r="P47" s="55"/>
      <c r="Q47" s="55">
        <v>0</v>
      </c>
      <c r="R47" s="55"/>
      <c r="S47" s="55">
        <v>0</v>
      </c>
      <c r="T47" s="55"/>
      <c r="U47" s="55">
        <f t="shared" si="2"/>
        <v>0</v>
      </c>
      <c r="V47" s="55"/>
      <c r="W47" s="101" t="s">
        <v>43</v>
      </c>
      <c r="X47" s="55"/>
      <c r="Y47" s="55">
        <v>0</v>
      </c>
      <c r="Z47" s="51"/>
      <c r="AA47" s="55">
        <v>0</v>
      </c>
      <c r="AB47" s="51"/>
      <c r="AC47" s="55">
        <v>0</v>
      </c>
      <c r="AD47" s="51"/>
      <c r="AE47" s="56">
        <f t="shared" si="3"/>
        <v>0</v>
      </c>
      <c r="AF47" s="56"/>
      <c r="AG47" s="55">
        <v>0</v>
      </c>
      <c r="AH47" s="56"/>
      <c r="AI47" s="55">
        <v>0</v>
      </c>
      <c r="AJ47" s="51"/>
      <c r="AK47" s="55">
        <v>0</v>
      </c>
      <c r="AL47" s="51"/>
      <c r="AM47" s="51">
        <v>0</v>
      </c>
      <c r="AN47" s="51"/>
      <c r="AO47" s="56">
        <f t="shared" si="4"/>
        <v>0</v>
      </c>
      <c r="AP47" s="56"/>
      <c r="AQ47" s="51">
        <v>0</v>
      </c>
      <c r="AR47" s="51"/>
      <c r="AS47" s="51">
        <v>0</v>
      </c>
      <c r="AT47" s="51"/>
      <c r="AU47" s="51">
        <f t="shared" si="5"/>
        <v>0</v>
      </c>
      <c r="AV47" s="51"/>
      <c r="AW47" s="101" t="s">
        <v>43</v>
      </c>
      <c r="AX47" s="51"/>
      <c r="AY47" s="51">
        <v>0</v>
      </c>
      <c r="AZ47" s="51"/>
      <c r="BA47" s="51">
        <v>0</v>
      </c>
      <c r="BB47" s="51"/>
      <c r="BC47" s="51">
        <v>0</v>
      </c>
      <c r="BD47" s="51"/>
      <c r="BE47" s="51">
        <v>0</v>
      </c>
      <c r="BF47" s="51"/>
      <c r="BG47" s="51">
        <f t="shared" si="15"/>
        <v>0</v>
      </c>
      <c r="BH47" s="1"/>
    </row>
    <row r="48" spans="1:60" ht="12.75">
      <c r="A48" s="44" t="s">
        <v>44</v>
      </c>
      <c r="B48" s="54"/>
      <c r="C48" s="55">
        <f t="shared" si="14"/>
        <v>731490</v>
      </c>
      <c r="D48" s="55"/>
      <c r="E48" s="55">
        <v>2939239</v>
      </c>
      <c r="F48" s="55"/>
      <c r="G48" s="55">
        <v>3670729</v>
      </c>
      <c r="H48" s="55"/>
      <c r="I48" s="55">
        <f t="shared" si="0"/>
        <v>479552</v>
      </c>
      <c r="J48" s="55"/>
      <c r="K48" s="55">
        <f t="shared" si="1"/>
        <v>3827168</v>
      </c>
      <c r="L48" s="55"/>
      <c r="M48" s="55">
        <v>4306720</v>
      </c>
      <c r="N48" s="55"/>
      <c r="O48" s="55">
        <v>1775965</v>
      </c>
      <c r="P48" s="55"/>
      <c r="Q48" s="55">
        <v>0</v>
      </c>
      <c r="R48" s="55"/>
      <c r="S48" s="55">
        <v>-2411956</v>
      </c>
      <c r="T48" s="55"/>
      <c r="U48" s="55">
        <f t="shared" si="2"/>
        <v>-635991</v>
      </c>
      <c r="V48" s="55"/>
      <c r="W48" s="101" t="s">
        <v>44</v>
      </c>
      <c r="X48" s="55"/>
      <c r="Y48" s="55">
        <v>2296515</v>
      </c>
      <c r="Z48" s="51"/>
      <c r="AA48" s="55">
        <f>2325100-141530</f>
        <v>2183570</v>
      </c>
      <c r="AB48" s="51"/>
      <c r="AC48" s="55">
        <v>141530</v>
      </c>
      <c r="AD48" s="51"/>
      <c r="AE48" s="56">
        <f t="shared" si="3"/>
        <v>-28585</v>
      </c>
      <c r="AF48" s="56"/>
      <c r="AG48" s="55">
        <v>-101192</v>
      </c>
      <c r="AH48" s="56"/>
      <c r="AI48" s="55">
        <v>177662</v>
      </c>
      <c r="AJ48" s="51"/>
      <c r="AK48" s="55">
        <v>0</v>
      </c>
      <c r="AL48" s="51"/>
      <c r="AM48" s="51">
        <v>0</v>
      </c>
      <c r="AN48" s="51"/>
      <c r="AO48" s="56">
        <f t="shared" si="4"/>
        <v>47885</v>
      </c>
      <c r="AP48" s="56"/>
      <c r="AQ48" s="51">
        <v>0</v>
      </c>
      <c r="AR48" s="51"/>
      <c r="AS48" s="51">
        <v>0</v>
      </c>
      <c r="AT48" s="51"/>
      <c r="AU48" s="51">
        <f t="shared" si="5"/>
        <v>251938</v>
      </c>
      <c r="AV48" s="51"/>
      <c r="AW48" s="101" t="s">
        <v>44</v>
      </c>
      <c r="AX48" s="51"/>
      <c r="AY48" s="51">
        <v>838220</v>
      </c>
      <c r="AZ48" s="51"/>
      <c r="BA48" s="51">
        <v>0</v>
      </c>
      <c r="BB48" s="51"/>
      <c r="BC48" s="51">
        <v>0</v>
      </c>
      <c r="BD48" s="51"/>
      <c r="BE48" s="51">
        <f>25482+2963466</f>
        <v>2988948</v>
      </c>
      <c r="BF48" s="51"/>
      <c r="BG48" s="51">
        <f t="shared" si="15"/>
        <v>3827168</v>
      </c>
      <c r="BH48" s="1"/>
    </row>
    <row r="49" spans="1:60" ht="12.75" hidden="1">
      <c r="A49" s="44" t="s">
        <v>45</v>
      </c>
      <c r="B49" s="54"/>
      <c r="C49" s="55">
        <f t="shared" si="14"/>
        <v>0</v>
      </c>
      <c r="D49" s="55"/>
      <c r="E49" s="55">
        <v>0</v>
      </c>
      <c r="F49" s="55"/>
      <c r="G49" s="55">
        <v>0</v>
      </c>
      <c r="H49" s="55"/>
      <c r="I49" s="55">
        <f t="shared" si="0"/>
        <v>0</v>
      </c>
      <c r="J49" s="55"/>
      <c r="K49" s="55">
        <f t="shared" si="1"/>
        <v>0</v>
      </c>
      <c r="L49" s="55"/>
      <c r="M49" s="55">
        <v>0</v>
      </c>
      <c r="N49" s="55"/>
      <c r="O49" s="55">
        <v>0</v>
      </c>
      <c r="P49" s="55"/>
      <c r="Q49" s="55">
        <v>0</v>
      </c>
      <c r="R49" s="55"/>
      <c r="S49" s="55">
        <v>0</v>
      </c>
      <c r="T49" s="55"/>
      <c r="U49" s="55">
        <f t="shared" si="2"/>
        <v>0</v>
      </c>
      <c r="V49" s="54"/>
      <c r="W49" s="101" t="s">
        <v>45</v>
      </c>
      <c r="X49" s="54"/>
      <c r="Y49" s="55">
        <v>0</v>
      </c>
      <c r="Z49" s="51"/>
      <c r="AA49" s="55">
        <v>0</v>
      </c>
      <c r="AB49" s="51"/>
      <c r="AC49" s="55">
        <v>0</v>
      </c>
      <c r="AD49" s="51"/>
      <c r="AE49" s="56">
        <f t="shared" si="3"/>
        <v>0</v>
      </c>
      <c r="AF49" s="56"/>
      <c r="AG49" s="55">
        <v>0</v>
      </c>
      <c r="AH49" s="56"/>
      <c r="AI49" s="55">
        <v>0</v>
      </c>
      <c r="AJ49" s="51"/>
      <c r="AK49" s="55">
        <v>0</v>
      </c>
      <c r="AL49" s="51"/>
      <c r="AM49" s="51">
        <v>0</v>
      </c>
      <c r="AN49" s="51"/>
      <c r="AO49" s="56">
        <f t="shared" si="4"/>
        <v>0</v>
      </c>
      <c r="AP49" s="56"/>
      <c r="AQ49" s="51">
        <v>0</v>
      </c>
      <c r="AR49" s="51"/>
      <c r="AS49" s="51">
        <v>0</v>
      </c>
      <c r="AT49" s="51"/>
      <c r="AU49" s="51">
        <f t="shared" si="5"/>
        <v>0</v>
      </c>
      <c r="AV49" s="54"/>
      <c r="AW49" s="101" t="s">
        <v>45</v>
      </c>
      <c r="AX49" s="54"/>
      <c r="AY49" s="51">
        <v>0</v>
      </c>
      <c r="AZ49" s="51"/>
      <c r="BA49" s="51">
        <v>0</v>
      </c>
      <c r="BB49" s="51"/>
      <c r="BC49" s="51">
        <v>0</v>
      </c>
      <c r="BD49" s="51"/>
      <c r="BE49" s="51">
        <v>0</v>
      </c>
      <c r="BF49" s="51"/>
      <c r="BG49" s="51">
        <f t="shared" si="15"/>
        <v>0</v>
      </c>
      <c r="BH49" s="1"/>
    </row>
    <row r="50" spans="1:60" ht="12.75" hidden="1">
      <c r="A50" s="44" t="s">
        <v>46</v>
      </c>
      <c r="B50" s="54"/>
      <c r="C50" s="55">
        <f t="shared" si="14"/>
        <v>0</v>
      </c>
      <c r="D50" s="55"/>
      <c r="E50" s="55">
        <v>0</v>
      </c>
      <c r="F50" s="55"/>
      <c r="G50" s="55">
        <v>0</v>
      </c>
      <c r="H50" s="55"/>
      <c r="I50" s="55">
        <f t="shared" si="0"/>
        <v>0</v>
      </c>
      <c r="J50" s="55"/>
      <c r="K50" s="55">
        <f t="shared" si="1"/>
        <v>0</v>
      </c>
      <c r="L50" s="55"/>
      <c r="M50" s="55">
        <v>0</v>
      </c>
      <c r="N50" s="55"/>
      <c r="O50" s="55">
        <v>0</v>
      </c>
      <c r="P50" s="55"/>
      <c r="Q50" s="55">
        <v>0</v>
      </c>
      <c r="R50" s="55"/>
      <c r="S50" s="55">
        <v>0</v>
      </c>
      <c r="T50" s="55"/>
      <c r="U50" s="55">
        <f t="shared" si="2"/>
        <v>0</v>
      </c>
      <c r="V50" s="54"/>
      <c r="W50" s="101" t="s">
        <v>46</v>
      </c>
      <c r="X50" s="54"/>
      <c r="Y50" s="55">
        <v>0</v>
      </c>
      <c r="Z50" s="51"/>
      <c r="AA50" s="55">
        <v>0</v>
      </c>
      <c r="AB50" s="51"/>
      <c r="AC50" s="55">
        <v>0</v>
      </c>
      <c r="AD50" s="51"/>
      <c r="AE50" s="56">
        <f t="shared" si="3"/>
        <v>0</v>
      </c>
      <c r="AF50" s="56"/>
      <c r="AG50" s="55">
        <v>0</v>
      </c>
      <c r="AH50" s="56"/>
      <c r="AI50" s="55">
        <v>0</v>
      </c>
      <c r="AJ50" s="51"/>
      <c r="AK50" s="55">
        <v>0</v>
      </c>
      <c r="AL50" s="51"/>
      <c r="AM50" s="51">
        <v>0</v>
      </c>
      <c r="AN50" s="51"/>
      <c r="AO50" s="56">
        <f t="shared" si="4"/>
        <v>0</v>
      </c>
      <c r="AP50" s="56"/>
      <c r="AQ50" s="51">
        <v>0</v>
      </c>
      <c r="AR50" s="51"/>
      <c r="AS50" s="51">
        <v>0</v>
      </c>
      <c r="AT50" s="51"/>
      <c r="AU50" s="51">
        <f t="shared" si="5"/>
        <v>0</v>
      </c>
      <c r="AV50" s="54"/>
      <c r="AW50" s="101" t="s">
        <v>46</v>
      </c>
      <c r="AX50" s="54"/>
      <c r="AY50" s="51">
        <v>0</v>
      </c>
      <c r="AZ50" s="51"/>
      <c r="BA50" s="51">
        <v>0</v>
      </c>
      <c r="BB50" s="51"/>
      <c r="BC50" s="51">
        <v>0</v>
      </c>
      <c r="BD50" s="51"/>
      <c r="BE50" s="51">
        <v>0</v>
      </c>
      <c r="BF50" s="51"/>
      <c r="BG50" s="51">
        <f t="shared" si="15"/>
        <v>0</v>
      </c>
      <c r="BH50" s="1"/>
    </row>
    <row r="51" spans="1:60" ht="12.75">
      <c r="A51" s="44" t="s">
        <v>47</v>
      </c>
      <c r="B51" s="54"/>
      <c r="C51" s="55">
        <f t="shared" si="14"/>
        <v>75940</v>
      </c>
      <c r="D51" s="55"/>
      <c r="E51" s="55">
        <v>143164</v>
      </c>
      <c r="F51" s="55"/>
      <c r="G51" s="55">
        <v>219104</v>
      </c>
      <c r="H51" s="55"/>
      <c r="I51" s="55">
        <f t="shared" si="0"/>
        <v>-1520150</v>
      </c>
      <c r="J51" s="55"/>
      <c r="K51" s="55">
        <f t="shared" si="1"/>
        <v>1651318</v>
      </c>
      <c r="L51" s="55"/>
      <c r="M51" s="55">
        <v>131168</v>
      </c>
      <c r="N51" s="55"/>
      <c r="O51" s="55">
        <v>143164</v>
      </c>
      <c r="P51" s="55"/>
      <c r="Q51" s="55">
        <v>0</v>
      </c>
      <c r="R51" s="55"/>
      <c r="S51" s="55">
        <v>-1661381</v>
      </c>
      <c r="T51" s="55"/>
      <c r="U51" s="55">
        <f t="shared" si="2"/>
        <v>-1518217</v>
      </c>
      <c r="V51" s="55"/>
      <c r="W51" s="101" t="s">
        <v>47</v>
      </c>
      <c r="X51" s="55"/>
      <c r="Y51" s="55">
        <v>0</v>
      </c>
      <c r="Z51" s="51"/>
      <c r="AA51" s="55">
        <v>0</v>
      </c>
      <c r="AB51" s="51"/>
      <c r="AC51" s="55">
        <v>0</v>
      </c>
      <c r="AD51" s="51"/>
      <c r="AE51" s="56">
        <f t="shared" si="3"/>
        <v>0</v>
      </c>
      <c r="AF51" s="56"/>
      <c r="AG51" s="55">
        <v>0</v>
      </c>
      <c r="AH51" s="56"/>
      <c r="AI51" s="55">
        <v>124101</v>
      </c>
      <c r="AJ51" s="51"/>
      <c r="AK51" s="55">
        <v>0</v>
      </c>
      <c r="AL51" s="51"/>
      <c r="AM51" s="51">
        <v>0</v>
      </c>
      <c r="AN51" s="51"/>
      <c r="AO51" s="56">
        <f t="shared" si="4"/>
        <v>124101</v>
      </c>
      <c r="AP51" s="56"/>
      <c r="AQ51" s="51">
        <v>0</v>
      </c>
      <c r="AR51" s="51"/>
      <c r="AS51" s="51">
        <v>0</v>
      </c>
      <c r="AT51" s="51"/>
      <c r="AU51" s="51">
        <f t="shared" si="5"/>
        <v>1596090</v>
      </c>
      <c r="AV51" s="51"/>
      <c r="AW51" s="101" t="s">
        <v>47</v>
      </c>
      <c r="AX51" s="51"/>
      <c r="AY51" s="51">
        <v>0</v>
      </c>
      <c r="AZ51" s="51"/>
      <c r="BA51" s="51">
        <v>0</v>
      </c>
      <c r="BB51" s="51"/>
      <c r="BC51" s="51">
        <v>0</v>
      </c>
      <c r="BD51" s="51"/>
      <c r="BE51" s="51">
        <v>1651318</v>
      </c>
      <c r="BF51" s="51"/>
      <c r="BG51" s="51">
        <f t="shared" si="15"/>
        <v>1651318</v>
      </c>
      <c r="BH51" s="1"/>
    </row>
    <row r="52" spans="1:60" ht="12.75" hidden="1">
      <c r="A52" s="44" t="s">
        <v>48</v>
      </c>
      <c r="B52" s="54"/>
      <c r="C52" s="55">
        <f aca="true" t="shared" si="16" ref="C52:C75">G52-E52</f>
        <v>0</v>
      </c>
      <c r="D52" s="55"/>
      <c r="E52" s="55">
        <v>0</v>
      </c>
      <c r="F52" s="55"/>
      <c r="G52" s="55">
        <v>0</v>
      </c>
      <c r="H52" s="55"/>
      <c r="I52" s="55">
        <v>0</v>
      </c>
      <c r="J52" s="55"/>
      <c r="K52" s="55">
        <f t="shared" si="1"/>
        <v>0</v>
      </c>
      <c r="L52" s="55"/>
      <c r="M52" s="55">
        <v>0</v>
      </c>
      <c r="N52" s="55"/>
      <c r="O52" s="55">
        <v>0</v>
      </c>
      <c r="P52" s="55"/>
      <c r="Q52" s="55">
        <v>0</v>
      </c>
      <c r="R52" s="55"/>
      <c r="S52" s="55">
        <v>0</v>
      </c>
      <c r="T52" s="55"/>
      <c r="U52" s="55">
        <f t="shared" si="2"/>
        <v>0</v>
      </c>
      <c r="V52" s="54"/>
      <c r="W52" s="101" t="s">
        <v>48</v>
      </c>
      <c r="X52" s="54"/>
      <c r="Y52" s="55">
        <v>0</v>
      </c>
      <c r="Z52" s="51"/>
      <c r="AA52" s="55">
        <v>0</v>
      </c>
      <c r="AB52" s="51"/>
      <c r="AC52" s="55">
        <v>0</v>
      </c>
      <c r="AD52" s="51"/>
      <c r="AE52" s="56">
        <f t="shared" si="3"/>
        <v>0</v>
      </c>
      <c r="AF52" s="56"/>
      <c r="AG52" s="55">
        <v>0</v>
      </c>
      <c r="AH52" s="56"/>
      <c r="AI52" s="55">
        <v>0</v>
      </c>
      <c r="AJ52" s="51"/>
      <c r="AK52" s="55">
        <v>0</v>
      </c>
      <c r="AL52" s="51"/>
      <c r="AM52" s="51">
        <v>0</v>
      </c>
      <c r="AN52" s="51"/>
      <c r="AO52" s="56">
        <f t="shared" si="4"/>
        <v>0</v>
      </c>
      <c r="AP52" s="56"/>
      <c r="AQ52" s="51">
        <v>0</v>
      </c>
      <c r="AR52" s="51"/>
      <c r="AS52" s="51">
        <v>0</v>
      </c>
      <c r="AT52" s="51"/>
      <c r="AU52" s="51">
        <f t="shared" si="5"/>
        <v>0</v>
      </c>
      <c r="AV52" s="54"/>
      <c r="AW52" s="101" t="s">
        <v>48</v>
      </c>
      <c r="AX52" s="54"/>
      <c r="AY52" s="51">
        <v>0</v>
      </c>
      <c r="AZ52" s="51"/>
      <c r="BA52" s="51">
        <v>0</v>
      </c>
      <c r="BB52" s="51"/>
      <c r="BC52" s="51">
        <v>0</v>
      </c>
      <c r="BD52" s="51"/>
      <c r="BE52" s="51">
        <v>0</v>
      </c>
      <c r="BF52" s="51"/>
      <c r="BG52" s="51">
        <f t="shared" si="15"/>
        <v>0</v>
      </c>
      <c r="BH52" s="1"/>
    </row>
    <row r="53" spans="1:60" ht="12.75" hidden="1">
      <c r="A53" s="44" t="s">
        <v>234</v>
      </c>
      <c r="B53" s="54"/>
      <c r="C53" s="55">
        <f t="shared" si="16"/>
        <v>0</v>
      </c>
      <c r="D53" s="55"/>
      <c r="E53" s="55">
        <v>0</v>
      </c>
      <c r="F53" s="55"/>
      <c r="G53" s="55">
        <v>0</v>
      </c>
      <c r="H53" s="55"/>
      <c r="I53" s="55">
        <f t="shared" si="0"/>
        <v>0</v>
      </c>
      <c r="J53" s="55"/>
      <c r="K53" s="55">
        <f t="shared" si="1"/>
        <v>0</v>
      </c>
      <c r="L53" s="55"/>
      <c r="M53" s="55">
        <v>0</v>
      </c>
      <c r="N53" s="55"/>
      <c r="O53" s="55">
        <v>0</v>
      </c>
      <c r="P53" s="55"/>
      <c r="Q53" s="55">
        <v>0</v>
      </c>
      <c r="R53" s="55"/>
      <c r="S53" s="55">
        <v>0</v>
      </c>
      <c r="T53" s="55"/>
      <c r="U53" s="55">
        <f t="shared" si="2"/>
        <v>0</v>
      </c>
      <c r="V53" s="54"/>
      <c r="W53" s="101" t="s">
        <v>174</v>
      </c>
      <c r="X53" s="54"/>
      <c r="Y53" s="55">
        <v>0</v>
      </c>
      <c r="Z53" s="51"/>
      <c r="AA53" s="55">
        <v>0</v>
      </c>
      <c r="AB53" s="51"/>
      <c r="AC53" s="55">
        <v>0</v>
      </c>
      <c r="AD53" s="51"/>
      <c r="AE53" s="56">
        <f t="shared" si="3"/>
        <v>0</v>
      </c>
      <c r="AF53" s="56"/>
      <c r="AG53" s="55">
        <v>0</v>
      </c>
      <c r="AH53" s="56"/>
      <c r="AI53" s="55">
        <v>0</v>
      </c>
      <c r="AJ53" s="51"/>
      <c r="AK53" s="55">
        <v>0</v>
      </c>
      <c r="AL53" s="51"/>
      <c r="AM53" s="51">
        <v>0</v>
      </c>
      <c r="AN53" s="51"/>
      <c r="AO53" s="56">
        <f t="shared" si="4"/>
        <v>0</v>
      </c>
      <c r="AP53" s="56"/>
      <c r="AQ53" s="51">
        <v>0</v>
      </c>
      <c r="AR53" s="51"/>
      <c r="AS53" s="51">
        <v>0</v>
      </c>
      <c r="AT53" s="51"/>
      <c r="AU53" s="51">
        <f t="shared" si="5"/>
        <v>0</v>
      </c>
      <c r="AV53" s="54"/>
      <c r="AW53" s="101" t="s">
        <v>174</v>
      </c>
      <c r="AX53" s="54"/>
      <c r="AY53" s="51">
        <v>0</v>
      </c>
      <c r="AZ53" s="51"/>
      <c r="BA53" s="51">
        <v>0</v>
      </c>
      <c r="BB53" s="51"/>
      <c r="BC53" s="51">
        <v>0</v>
      </c>
      <c r="BD53" s="51"/>
      <c r="BE53" s="51">
        <v>0</v>
      </c>
      <c r="BF53" s="51"/>
      <c r="BG53" s="51">
        <f t="shared" si="15"/>
        <v>0</v>
      </c>
      <c r="BH53" s="1"/>
    </row>
    <row r="54" spans="1:60" ht="12.75" hidden="1">
      <c r="A54" s="44" t="s">
        <v>49</v>
      </c>
      <c r="B54" s="54"/>
      <c r="C54" s="55">
        <f t="shared" si="16"/>
        <v>0</v>
      </c>
      <c r="D54" s="55"/>
      <c r="E54" s="55">
        <v>0</v>
      </c>
      <c r="F54" s="55"/>
      <c r="G54" s="55">
        <v>0</v>
      </c>
      <c r="H54" s="55"/>
      <c r="I54" s="55">
        <f t="shared" si="0"/>
        <v>0</v>
      </c>
      <c r="J54" s="55"/>
      <c r="K54" s="55">
        <f t="shared" si="1"/>
        <v>0</v>
      </c>
      <c r="L54" s="55"/>
      <c r="M54" s="55">
        <v>0</v>
      </c>
      <c r="N54" s="55"/>
      <c r="O54" s="55">
        <v>0</v>
      </c>
      <c r="P54" s="55"/>
      <c r="Q54" s="55">
        <v>0</v>
      </c>
      <c r="R54" s="55"/>
      <c r="S54" s="55">
        <v>0</v>
      </c>
      <c r="T54" s="55"/>
      <c r="U54" s="55">
        <f t="shared" si="2"/>
        <v>0</v>
      </c>
      <c r="V54" s="54"/>
      <c r="W54" s="101" t="s">
        <v>49</v>
      </c>
      <c r="X54" s="54"/>
      <c r="Y54" s="55">
        <v>0</v>
      </c>
      <c r="Z54" s="51"/>
      <c r="AA54" s="55">
        <v>0</v>
      </c>
      <c r="AB54" s="51"/>
      <c r="AC54" s="55">
        <v>0</v>
      </c>
      <c r="AD54" s="51"/>
      <c r="AE54" s="56">
        <f t="shared" si="3"/>
        <v>0</v>
      </c>
      <c r="AF54" s="56"/>
      <c r="AG54" s="55">
        <v>0</v>
      </c>
      <c r="AH54" s="56"/>
      <c r="AI54" s="55">
        <v>0</v>
      </c>
      <c r="AJ54" s="51"/>
      <c r="AK54" s="55">
        <v>0</v>
      </c>
      <c r="AL54" s="51"/>
      <c r="AM54" s="51">
        <v>0</v>
      </c>
      <c r="AN54" s="51"/>
      <c r="AO54" s="56">
        <f t="shared" si="4"/>
        <v>0</v>
      </c>
      <c r="AP54" s="56"/>
      <c r="AQ54" s="51">
        <v>0</v>
      </c>
      <c r="AR54" s="51"/>
      <c r="AS54" s="51">
        <v>0</v>
      </c>
      <c r="AT54" s="51"/>
      <c r="AU54" s="51">
        <f t="shared" si="5"/>
        <v>0</v>
      </c>
      <c r="AV54" s="54"/>
      <c r="AW54" s="101" t="s">
        <v>49</v>
      </c>
      <c r="AX54" s="54"/>
      <c r="AY54" s="51">
        <v>0</v>
      </c>
      <c r="AZ54" s="51"/>
      <c r="BA54" s="51">
        <v>0</v>
      </c>
      <c r="BB54" s="51"/>
      <c r="BC54" s="51">
        <v>0</v>
      </c>
      <c r="BD54" s="51"/>
      <c r="BE54" s="51">
        <v>0</v>
      </c>
      <c r="BF54" s="51"/>
      <c r="BG54" s="51">
        <f t="shared" si="15"/>
        <v>0</v>
      </c>
      <c r="BH54" s="1"/>
    </row>
    <row r="55" spans="1:60" ht="12.75" hidden="1">
      <c r="A55" s="44" t="s">
        <v>50</v>
      </c>
      <c r="B55" s="54"/>
      <c r="C55" s="55">
        <f t="shared" si="16"/>
        <v>0</v>
      </c>
      <c r="D55" s="55"/>
      <c r="E55" s="55">
        <v>0</v>
      </c>
      <c r="F55" s="55"/>
      <c r="G55" s="55">
        <v>0</v>
      </c>
      <c r="H55" s="55"/>
      <c r="I55" s="55">
        <f t="shared" si="0"/>
        <v>0</v>
      </c>
      <c r="J55" s="55"/>
      <c r="K55" s="55">
        <f t="shared" si="1"/>
        <v>0</v>
      </c>
      <c r="L55" s="55"/>
      <c r="M55" s="55">
        <v>0</v>
      </c>
      <c r="N55" s="55"/>
      <c r="O55" s="55">
        <v>0</v>
      </c>
      <c r="P55" s="55"/>
      <c r="Q55" s="55">
        <v>0</v>
      </c>
      <c r="R55" s="55"/>
      <c r="S55" s="55">
        <v>0</v>
      </c>
      <c r="T55" s="55"/>
      <c r="U55" s="55">
        <f t="shared" si="2"/>
        <v>0</v>
      </c>
      <c r="V55" s="54"/>
      <c r="W55" s="101" t="s">
        <v>50</v>
      </c>
      <c r="X55" s="54"/>
      <c r="Y55" s="55">
        <v>0</v>
      </c>
      <c r="Z55" s="51"/>
      <c r="AA55" s="55">
        <v>0</v>
      </c>
      <c r="AB55" s="51"/>
      <c r="AC55" s="55">
        <v>0</v>
      </c>
      <c r="AD55" s="51"/>
      <c r="AE55" s="56">
        <f t="shared" si="3"/>
        <v>0</v>
      </c>
      <c r="AF55" s="56"/>
      <c r="AG55" s="55">
        <v>0</v>
      </c>
      <c r="AH55" s="56"/>
      <c r="AI55" s="55">
        <v>0</v>
      </c>
      <c r="AJ55" s="51"/>
      <c r="AK55" s="55">
        <v>0</v>
      </c>
      <c r="AL55" s="51"/>
      <c r="AM55" s="51">
        <v>0</v>
      </c>
      <c r="AN55" s="51"/>
      <c r="AO55" s="56">
        <f t="shared" si="4"/>
        <v>0</v>
      </c>
      <c r="AP55" s="56"/>
      <c r="AQ55" s="51">
        <v>0</v>
      </c>
      <c r="AR55" s="51"/>
      <c r="AS55" s="51">
        <v>0</v>
      </c>
      <c r="AT55" s="51"/>
      <c r="AU55" s="51">
        <f t="shared" si="5"/>
        <v>0</v>
      </c>
      <c r="AV55" s="54"/>
      <c r="AW55" s="101" t="s">
        <v>50</v>
      </c>
      <c r="AX55" s="54"/>
      <c r="AY55" s="51">
        <v>0</v>
      </c>
      <c r="AZ55" s="51"/>
      <c r="BA55" s="51">
        <v>0</v>
      </c>
      <c r="BB55" s="51"/>
      <c r="BC55" s="51">
        <v>0</v>
      </c>
      <c r="BD55" s="51"/>
      <c r="BE55" s="51">
        <v>0</v>
      </c>
      <c r="BF55" s="51"/>
      <c r="BG55" s="51">
        <f t="shared" si="15"/>
        <v>0</v>
      </c>
      <c r="BH55" s="1"/>
    </row>
    <row r="56" spans="1:60" ht="12.75" hidden="1">
      <c r="A56" s="44" t="s">
        <v>51</v>
      </c>
      <c r="B56" s="54"/>
      <c r="C56" s="55">
        <f t="shared" si="16"/>
        <v>0</v>
      </c>
      <c r="D56" s="55"/>
      <c r="E56" s="55">
        <v>0</v>
      </c>
      <c r="F56" s="55"/>
      <c r="G56" s="55">
        <v>0</v>
      </c>
      <c r="H56" s="55"/>
      <c r="I56" s="55">
        <f t="shared" si="0"/>
        <v>0</v>
      </c>
      <c r="J56" s="55"/>
      <c r="K56" s="55">
        <f t="shared" si="1"/>
        <v>0</v>
      </c>
      <c r="L56" s="55"/>
      <c r="M56" s="55">
        <v>0</v>
      </c>
      <c r="N56" s="55"/>
      <c r="O56" s="55">
        <v>0</v>
      </c>
      <c r="P56" s="55"/>
      <c r="Q56" s="55">
        <v>0</v>
      </c>
      <c r="R56" s="55"/>
      <c r="S56" s="55">
        <v>0</v>
      </c>
      <c r="T56" s="55"/>
      <c r="U56" s="55">
        <f t="shared" si="2"/>
        <v>0</v>
      </c>
      <c r="V56" s="55"/>
      <c r="W56" s="101" t="s">
        <v>51</v>
      </c>
      <c r="X56" s="55"/>
      <c r="Y56" s="55">
        <v>0</v>
      </c>
      <c r="Z56" s="51"/>
      <c r="AA56" s="55">
        <v>0</v>
      </c>
      <c r="AB56" s="51"/>
      <c r="AC56" s="55">
        <v>0</v>
      </c>
      <c r="AD56" s="51"/>
      <c r="AE56" s="56">
        <f t="shared" si="3"/>
        <v>0</v>
      </c>
      <c r="AF56" s="56"/>
      <c r="AG56" s="55">
        <v>0</v>
      </c>
      <c r="AH56" s="56"/>
      <c r="AI56" s="55">
        <v>0</v>
      </c>
      <c r="AJ56" s="51"/>
      <c r="AK56" s="55">
        <v>0</v>
      </c>
      <c r="AL56" s="51"/>
      <c r="AM56" s="51">
        <v>0</v>
      </c>
      <c r="AN56" s="51"/>
      <c r="AO56" s="56">
        <f t="shared" si="4"/>
        <v>0</v>
      </c>
      <c r="AP56" s="56"/>
      <c r="AQ56" s="51">
        <v>0</v>
      </c>
      <c r="AR56" s="51"/>
      <c r="AS56" s="51">
        <v>0</v>
      </c>
      <c r="AT56" s="51"/>
      <c r="AU56" s="51">
        <f t="shared" si="5"/>
        <v>0</v>
      </c>
      <c r="AV56" s="51"/>
      <c r="AW56" s="101" t="s">
        <v>51</v>
      </c>
      <c r="AX56" s="51"/>
      <c r="AY56" s="51">
        <v>0</v>
      </c>
      <c r="AZ56" s="51"/>
      <c r="BA56" s="51">
        <v>0</v>
      </c>
      <c r="BB56" s="51"/>
      <c r="BC56" s="51">
        <v>0</v>
      </c>
      <c r="BD56" s="51"/>
      <c r="BE56" s="51">
        <v>0</v>
      </c>
      <c r="BF56" s="51"/>
      <c r="BG56" s="51">
        <f t="shared" si="15"/>
        <v>0</v>
      </c>
      <c r="BH56" s="1"/>
    </row>
    <row r="57" spans="1:60" ht="12.75" hidden="1">
      <c r="A57" s="44" t="s">
        <v>137</v>
      </c>
      <c r="B57" s="54"/>
      <c r="C57" s="55">
        <f t="shared" si="16"/>
        <v>0</v>
      </c>
      <c r="D57" s="55"/>
      <c r="E57" s="55">
        <v>0</v>
      </c>
      <c r="F57" s="55"/>
      <c r="G57" s="55">
        <v>0</v>
      </c>
      <c r="H57" s="55"/>
      <c r="I57" s="55">
        <f t="shared" si="0"/>
        <v>0</v>
      </c>
      <c r="J57" s="55"/>
      <c r="K57" s="55">
        <f t="shared" si="1"/>
        <v>0</v>
      </c>
      <c r="L57" s="55"/>
      <c r="M57" s="55">
        <v>0</v>
      </c>
      <c r="N57" s="55"/>
      <c r="O57" s="55">
        <v>0</v>
      </c>
      <c r="P57" s="55"/>
      <c r="Q57" s="55">
        <v>0</v>
      </c>
      <c r="R57" s="55"/>
      <c r="S57" s="55">
        <v>0</v>
      </c>
      <c r="T57" s="55"/>
      <c r="U57" s="55">
        <f t="shared" si="2"/>
        <v>0</v>
      </c>
      <c r="V57" s="55"/>
      <c r="W57" s="101" t="s">
        <v>137</v>
      </c>
      <c r="X57" s="55"/>
      <c r="Y57" s="55">
        <v>0</v>
      </c>
      <c r="Z57" s="51"/>
      <c r="AA57" s="55">
        <v>0</v>
      </c>
      <c r="AB57" s="51"/>
      <c r="AC57" s="55">
        <v>0</v>
      </c>
      <c r="AD57" s="51"/>
      <c r="AE57" s="56">
        <f t="shared" si="3"/>
        <v>0</v>
      </c>
      <c r="AF57" s="56"/>
      <c r="AG57" s="55">
        <v>0</v>
      </c>
      <c r="AH57" s="56"/>
      <c r="AI57" s="55">
        <v>0</v>
      </c>
      <c r="AJ57" s="51"/>
      <c r="AK57" s="55">
        <v>0</v>
      </c>
      <c r="AL57" s="51"/>
      <c r="AM57" s="51">
        <v>0</v>
      </c>
      <c r="AN57" s="51"/>
      <c r="AO57" s="56">
        <f t="shared" si="4"/>
        <v>0</v>
      </c>
      <c r="AP57" s="56"/>
      <c r="AQ57" s="51">
        <v>0</v>
      </c>
      <c r="AR57" s="51"/>
      <c r="AS57" s="51">
        <v>0</v>
      </c>
      <c r="AT57" s="51"/>
      <c r="AU57" s="51">
        <f t="shared" si="5"/>
        <v>0</v>
      </c>
      <c r="AV57" s="51"/>
      <c r="AW57" s="101" t="s">
        <v>137</v>
      </c>
      <c r="AX57" s="51"/>
      <c r="AY57" s="51">
        <v>0</v>
      </c>
      <c r="AZ57" s="51"/>
      <c r="BA57" s="51">
        <v>0</v>
      </c>
      <c r="BB57" s="51"/>
      <c r="BC57" s="51">
        <v>0</v>
      </c>
      <c r="BD57" s="51"/>
      <c r="BE57" s="51">
        <v>0</v>
      </c>
      <c r="BF57" s="51"/>
      <c r="BG57" s="51">
        <f t="shared" si="15"/>
        <v>0</v>
      </c>
      <c r="BH57" s="1"/>
    </row>
    <row r="58" spans="1:60" ht="12.75" hidden="1">
      <c r="A58" s="44" t="s">
        <v>52</v>
      </c>
      <c r="B58" s="54"/>
      <c r="C58" s="55">
        <f t="shared" si="16"/>
        <v>0</v>
      </c>
      <c r="D58" s="55"/>
      <c r="E58" s="55">
        <v>0</v>
      </c>
      <c r="F58" s="55"/>
      <c r="G58" s="55">
        <v>0</v>
      </c>
      <c r="H58" s="55"/>
      <c r="I58" s="55">
        <f t="shared" si="0"/>
        <v>0</v>
      </c>
      <c r="J58" s="55"/>
      <c r="K58" s="55">
        <f t="shared" si="1"/>
        <v>0</v>
      </c>
      <c r="L58" s="55"/>
      <c r="M58" s="55">
        <v>0</v>
      </c>
      <c r="N58" s="55"/>
      <c r="O58" s="55">
        <v>0</v>
      </c>
      <c r="P58" s="55"/>
      <c r="Q58" s="55">
        <v>0</v>
      </c>
      <c r="R58" s="55"/>
      <c r="S58" s="55">
        <v>0</v>
      </c>
      <c r="T58" s="55"/>
      <c r="U58" s="55">
        <f t="shared" si="2"/>
        <v>0</v>
      </c>
      <c r="V58" s="54"/>
      <c r="W58" s="101" t="s">
        <v>52</v>
      </c>
      <c r="X58" s="54"/>
      <c r="Y58" s="55">
        <v>0</v>
      </c>
      <c r="Z58" s="51"/>
      <c r="AA58" s="55">
        <v>0</v>
      </c>
      <c r="AB58" s="51"/>
      <c r="AC58" s="55">
        <v>0</v>
      </c>
      <c r="AD58" s="51"/>
      <c r="AE58" s="56">
        <f t="shared" si="3"/>
        <v>0</v>
      </c>
      <c r="AF58" s="56"/>
      <c r="AG58" s="55">
        <v>0</v>
      </c>
      <c r="AH58" s="56"/>
      <c r="AI58" s="55">
        <v>0</v>
      </c>
      <c r="AJ58" s="51"/>
      <c r="AK58" s="55">
        <v>0</v>
      </c>
      <c r="AL58" s="51"/>
      <c r="AM58" s="51">
        <v>0</v>
      </c>
      <c r="AN58" s="51"/>
      <c r="AO58" s="56">
        <f t="shared" si="4"/>
        <v>0</v>
      </c>
      <c r="AP58" s="56"/>
      <c r="AQ58" s="51">
        <v>0</v>
      </c>
      <c r="AR58" s="51"/>
      <c r="AS58" s="51">
        <v>0</v>
      </c>
      <c r="AT58" s="51"/>
      <c r="AU58" s="51">
        <f t="shared" si="5"/>
        <v>0</v>
      </c>
      <c r="AV58" s="54"/>
      <c r="AW58" s="101" t="s">
        <v>52</v>
      </c>
      <c r="AX58" s="54"/>
      <c r="AY58" s="51">
        <v>0</v>
      </c>
      <c r="AZ58" s="51"/>
      <c r="BA58" s="51">
        <v>0</v>
      </c>
      <c r="BB58" s="51"/>
      <c r="BC58" s="51">
        <v>0</v>
      </c>
      <c r="BD58" s="51"/>
      <c r="BE58" s="51">
        <v>0</v>
      </c>
      <c r="BF58" s="51"/>
      <c r="BG58" s="51">
        <f t="shared" si="15"/>
        <v>0</v>
      </c>
      <c r="BH58" s="1"/>
    </row>
    <row r="59" spans="1:60" ht="12.75" hidden="1">
      <c r="A59" s="44" t="s">
        <v>53</v>
      </c>
      <c r="B59" s="54"/>
      <c r="C59" s="55">
        <f t="shared" si="16"/>
        <v>0</v>
      </c>
      <c r="D59" s="55"/>
      <c r="E59" s="55">
        <v>0</v>
      </c>
      <c r="F59" s="55"/>
      <c r="G59" s="55">
        <v>0</v>
      </c>
      <c r="H59" s="55"/>
      <c r="I59" s="55">
        <f t="shared" si="0"/>
        <v>0</v>
      </c>
      <c r="J59" s="55"/>
      <c r="K59" s="55">
        <f t="shared" si="1"/>
        <v>0</v>
      </c>
      <c r="L59" s="55"/>
      <c r="M59" s="55">
        <v>0</v>
      </c>
      <c r="N59" s="55"/>
      <c r="O59" s="55">
        <v>0</v>
      </c>
      <c r="P59" s="55"/>
      <c r="Q59" s="55">
        <v>0</v>
      </c>
      <c r="R59" s="55"/>
      <c r="S59" s="55">
        <v>0</v>
      </c>
      <c r="T59" s="55"/>
      <c r="U59" s="55">
        <f t="shared" si="2"/>
        <v>0</v>
      </c>
      <c r="V59" s="55"/>
      <c r="W59" s="101" t="s">
        <v>53</v>
      </c>
      <c r="X59" s="55"/>
      <c r="Y59" s="55">
        <v>0</v>
      </c>
      <c r="Z59" s="51"/>
      <c r="AA59" s="55">
        <v>0</v>
      </c>
      <c r="AB59" s="51"/>
      <c r="AC59" s="55">
        <v>0</v>
      </c>
      <c r="AD59" s="51"/>
      <c r="AE59" s="56">
        <f t="shared" si="3"/>
        <v>0</v>
      </c>
      <c r="AF59" s="56"/>
      <c r="AG59" s="55">
        <v>0</v>
      </c>
      <c r="AH59" s="56"/>
      <c r="AI59" s="55">
        <v>0</v>
      </c>
      <c r="AJ59" s="51"/>
      <c r="AK59" s="55">
        <v>0</v>
      </c>
      <c r="AL59" s="51"/>
      <c r="AM59" s="51">
        <v>0</v>
      </c>
      <c r="AN59" s="51"/>
      <c r="AO59" s="56">
        <f t="shared" si="4"/>
        <v>0</v>
      </c>
      <c r="AP59" s="56"/>
      <c r="AQ59" s="51">
        <v>0</v>
      </c>
      <c r="AR59" s="51"/>
      <c r="AS59" s="51">
        <v>0</v>
      </c>
      <c r="AT59" s="51"/>
      <c r="AU59" s="51">
        <f t="shared" si="5"/>
        <v>0</v>
      </c>
      <c r="AV59" s="51"/>
      <c r="AW59" s="101" t="s">
        <v>53</v>
      </c>
      <c r="AX59" s="51"/>
      <c r="AY59" s="51">
        <v>0</v>
      </c>
      <c r="AZ59" s="51"/>
      <c r="BA59" s="51">
        <v>0</v>
      </c>
      <c r="BB59" s="51"/>
      <c r="BC59" s="51">
        <v>0</v>
      </c>
      <c r="BD59" s="51"/>
      <c r="BE59" s="51">
        <v>0</v>
      </c>
      <c r="BF59" s="51"/>
      <c r="BG59" s="51">
        <f t="shared" si="15"/>
        <v>0</v>
      </c>
      <c r="BH59" s="1"/>
    </row>
    <row r="60" spans="1:60" ht="12.75" hidden="1">
      <c r="A60" s="44" t="s">
        <v>54</v>
      </c>
      <c r="B60" s="54"/>
      <c r="C60" s="55">
        <f t="shared" si="16"/>
        <v>0</v>
      </c>
      <c r="D60" s="55"/>
      <c r="E60" s="55">
        <v>0</v>
      </c>
      <c r="F60" s="55"/>
      <c r="G60" s="55">
        <v>0</v>
      </c>
      <c r="H60" s="55"/>
      <c r="I60" s="55">
        <f t="shared" si="0"/>
        <v>0</v>
      </c>
      <c r="J60" s="55"/>
      <c r="K60" s="55">
        <f t="shared" si="1"/>
        <v>0</v>
      </c>
      <c r="L60" s="55"/>
      <c r="M60" s="55">
        <v>0</v>
      </c>
      <c r="N60" s="55"/>
      <c r="O60" s="55">
        <v>0</v>
      </c>
      <c r="P60" s="55"/>
      <c r="Q60" s="55">
        <v>0</v>
      </c>
      <c r="R60" s="55"/>
      <c r="S60" s="55">
        <v>0</v>
      </c>
      <c r="T60" s="55"/>
      <c r="U60" s="55">
        <f t="shared" si="2"/>
        <v>0</v>
      </c>
      <c r="V60" s="55"/>
      <c r="W60" s="101" t="s">
        <v>54</v>
      </c>
      <c r="X60" s="55"/>
      <c r="Y60" s="55">
        <v>0</v>
      </c>
      <c r="Z60" s="51"/>
      <c r="AA60" s="55">
        <v>0</v>
      </c>
      <c r="AB60" s="51"/>
      <c r="AC60" s="55">
        <v>0</v>
      </c>
      <c r="AD60" s="51"/>
      <c r="AE60" s="56">
        <f t="shared" si="3"/>
        <v>0</v>
      </c>
      <c r="AF60" s="56"/>
      <c r="AG60" s="55">
        <v>0</v>
      </c>
      <c r="AH60" s="56"/>
      <c r="AI60" s="55">
        <v>0</v>
      </c>
      <c r="AJ60" s="51"/>
      <c r="AK60" s="55">
        <v>0</v>
      </c>
      <c r="AL60" s="51"/>
      <c r="AM60" s="51">
        <v>0</v>
      </c>
      <c r="AN60" s="51"/>
      <c r="AO60" s="56">
        <f t="shared" si="4"/>
        <v>0</v>
      </c>
      <c r="AP60" s="56"/>
      <c r="AQ60" s="51">
        <v>0</v>
      </c>
      <c r="AR60" s="51"/>
      <c r="AS60" s="51">
        <v>0</v>
      </c>
      <c r="AT60" s="51"/>
      <c r="AU60" s="51">
        <f t="shared" si="5"/>
        <v>0</v>
      </c>
      <c r="AV60" s="51"/>
      <c r="AW60" s="101" t="s">
        <v>54</v>
      </c>
      <c r="AX60" s="51"/>
      <c r="AY60" s="51">
        <v>0</v>
      </c>
      <c r="AZ60" s="51"/>
      <c r="BA60" s="51">
        <v>0</v>
      </c>
      <c r="BB60" s="51"/>
      <c r="BC60" s="51">
        <v>0</v>
      </c>
      <c r="BD60" s="51"/>
      <c r="BE60" s="51">
        <v>0</v>
      </c>
      <c r="BF60" s="51"/>
      <c r="BG60" s="51">
        <f t="shared" si="15"/>
        <v>0</v>
      </c>
      <c r="BH60" s="1"/>
    </row>
    <row r="61" spans="1:60" ht="12.75" hidden="1">
      <c r="A61" s="44" t="s">
        <v>55</v>
      </c>
      <c r="B61" s="54"/>
      <c r="C61" s="55">
        <f t="shared" si="16"/>
        <v>0</v>
      </c>
      <c r="D61" s="55"/>
      <c r="E61" s="55">
        <v>0</v>
      </c>
      <c r="F61" s="55"/>
      <c r="G61" s="55">
        <v>0</v>
      </c>
      <c r="H61" s="55"/>
      <c r="I61" s="55">
        <v>0</v>
      </c>
      <c r="J61" s="55"/>
      <c r="K61" s="55">
        <f t="shared" si="1"/>
        <v>0</v>
      </c>
      <c r="L61" s="55"/>
      <c r="M61" s="55">
        <v>0</v>
      </c>
      <c r="N61" s="55"/>
      <c r="O61" s="55">
        <v>0</v>
      </c>
      <c r="P61" s="55"/>
      <c r="Q61" s="55">
        <v>0</v>
      </c>
      <c r="R61" s="55"/>
      <c r="S61" s="55">
        <v>0</v>
      </c>
      <c r="T61" s="55"/>
      <c r="U61" s="55">
        <f t="shared" si="2"/>
        <v>0</v>
      </c>
      <c r="V61" s="55"/>
      <c r="W61" s="101" t="s">
        <v>55</v>
      </c>
      <c r="X61" s="55"/>
      <c r="Y61" s="55">
        <v>0</v>
      </c>
      <c r="Z61" s="51"/>
      <c r="AA61" s="55">
        <v>0</v>
      </c>
      <c r="AB61" s="51"/>
      <c r="AC61" s="55">
        <v>0</v>
      </c>
      <c r="AD61" s="51"/>
      <c r="AE61" s="56">
        <f t="shared" si="3"/>
        <v>0</v>
      </c>
      <c r="AF61" s="56"/>
      <c r="AG61" s="55">
        <v>0</v>
      </c>
      <c r="AH61" s="56"/>
      <c r="AI61" s="55">
        <v>0</v>
      </c>
      <c r="AJ61" s="51"/>
      <c r="AK61" s="55">
        <v>0</v>
      </c>
      <c r="AL61" s="51"/>
      <c r="AM61" s="51">
        <v>0</v>
      </c>
      <c r="AN61" s="51"/>
      <c r="AO61" s="56">
        <f t="shared" si="4"/>
        <v>0</v>
      </c>
      <c r="AP61" s="56"/>
      <c r="AQ61" s="51">
        <v>0</v>
      </c>
      <c r="AR61" s="51"/>
      <c r="AS61" s="51">
        <v>0</v>
      </c>
      <c r="AT61" s="51"/>
      <c r="AU61" s="51">
        <f t="shared" si="5"/>
        <v>0</v>
      </c>
      <c r="AV61" s="51"/>
      <c r="AW61" s="101" t="s">
        <v>55</v>
      </c>
      <c r="AX61" s="51"/>
      <c r="AY61" s="51">
        <v>0</v>
      </c>
      <c r="AZ61" s="51"/>
      <c r="BA61" s="51">
        <v>0</v>
      </c>
      <c r="BB61" s="51"/>
      <c r="BC61" s="51">
        <v>0</v>
      </c>
      <c r="BD61" s="51"/>
      <c r="BE61" s="51">
        <v>0</v>
      </c>
      <c r="BF61" s="51"/>
      <c r="BG61" s="51">
        <f t="shared" si="15"/>
        <v>0</v>
      </c>
      <c r="BH61" s="1"/>
    </row>
    <row r="62" spans="1:60" ht="12.75" hidden="1">
      <c r="A62" s="32" t="s">
        <v>175</v>
      </c>
      <c r="B62" s="54"/>
      <c r="C62" s="55">
        <f t="shared" si="16"/>
        <v>0</v>
      </c>
      <c r="D62" s="55"/>
      <c r="E62" s="55">
        <v>0</v>
      </c>
      <c r="F62" s="55"/>
      <c r="G62" s="55">
        <v>0</v>
      </c>
      <c r="H62" s="55"/>
      <c r="I62" s="55">
        <f t="shared" si="0"/>
        <v>0</v>
      </c>
      <c r="J62" s="55"/>
      <c r="K62" s="55">
        <f t="shared" si="1"/>
        <v>0</v>
      </c>
      <c r="L62" s="55"/>
      <c r="M62" s="55">
        <v>0</v>
      </c>
      <c r="N62" s="55"/>
      <c r="O62" s="55">
        <v>0</v>
      </c>
      <c r="P62" s="55"/>
      <c r="Q62" s="55">
        <v>0</v>
      </c>
      <c r="R62" s="55"/>
      <c r="S62" s="55">
        <v>0</v>
      </c>
      <c r="T62" s="55"/>
      <c r="U62" s="55">
        <f t="shared" si="2"/>
        <v>0</v>
      </c>
      <c r="V62" s="54"/>
      <c r="W62" s="23" t="s">
        <v>175</v>
      </c>
      <c r="X62" s="54"/>
      <c r="Y62" s="55">
        <v>0</v>
      </c>
      <c r="Z62" s="51"/>
      <c r="AA62" s="55">
        <v>0</v>
      </c>
      <c r="AB62" s="51"/>
      <c r="AC62" s="55">
        <v>0</v>
      </c>
      <c r="AD62" s="51"/>
      <c r="AE62" s="56">
        <f t="shared" si="3"/>
        <v>0</v>
      </c>
      <c r="AF62" s="56"/>
      <c r="AG62" s="55">
        <v>0</v>
      </c>
      <c r="AH62" s="56"/>
      <c r="AI62" s="55">
        <v>0</v>
      </c>
      <c r="AJ62" s="51"/>
      <c r="AK62" s="55">
        <v>0</v>
      </c>
      <c r="AL62" s="51"/>
      <c r="AM62" s="51">
        <v>0</v>
      </c>
      <c r="AN62" s="51"/>
      <c r="AO62" s="56">
        <f t="shared" si="4"/>
        <v>0</v>
      </c>
      <c r="AP62" s="56"/>
      <c r="AQ62" s="51">
        <v>0</v>
      </c>
      <c r="AR62" s="51"/>
      <c r="AS62" s="51">
        <v>0</v>
      </c>
      <c r="AT62" s="51"/>
      <c r="AU62" s="51">
        <f t="shared" si="5"/>
        <v>0</v>
      </c>
      <c r="AV62" s="54"/>
      <c r="AW62" s="23" t="s">
        <v>175</v>
      </c>
      <c r="AX62" s="54"/>
      <c r="AY62" s="51">
        <v>0</v>
      </c>
      <c r="AZ62" s="51"/>
      <c r="BA62" s="51">
        <v>0</v>
      </c>
      <c r="BB62" s="51"/>
      <c r="BC62" s="51">
        <v>0</v>
      </c>
      <c r="BD62" s="51"/>
      <c r="BE62" s="51">
        <v>0</v>
      </c>
      <c r="BF62" s="51"/>
      <c r="BG62" s="51">
        <f t="shared" si="15"/>
        <v>0</v>
      </c>
      <c r="BH62" s="1"/>
    </row>
    <row r="63" spans="1:60" ht="12.75" hidden="1">
      <c r="A63" s="44" t="s">
        <v>56</v>
      </c>
      <c r="B63" s="54"/>
      <c r="C63" s="55">
        <f t="shared" si="16"/>
        <v>0</v>
      </c>
      <c r="D63" s="55"/>
      <c r="E63" s="55">
        <v>0</v>
      </c>
      <c r="F63" s="55"/>
      <c r="G63" s="55">
        <v>0</v>
      </c>
      <c r="H63" s="55"/>
      <c r="I63" s="55">
        <f t="shared" si="0"/>
        <v>0</v>
      </c>
      <c r="J63" s="55"/>
      <c r="K63" s="55">
        <f t="shared" si="1"/>
        <v>0</v>
      </c>
      <c r="L63" s="55"/>
      <c r="M63" s="55">
        <v>0</v>
      </c>
      <c r="N63" s="55"/>
      <c r="O63" s="55">
        <v>0</v>
      </c>
      <c r="P63" s="55"/>
      <c r="Q63" s="55">
        <v>0</v>
      </c>
      <c r="R63" s="55"/>
      <c r="S63" s="55">
        <v>0</v>
      </c>
      <c r="T63" s="55"/>
      <c r="U63" s="55">
        <f t="shared" si="2"/>
        <v>0</v>
      </c>
      <c r="V63" s="54"/>
      <c r="W63" s="101" t="s">
        <v>56</v>
      </c>
      <c r="X63" s="54"/>
      <c r="Y63" s="55">
        <v>0</v>
      </c>
      <c r="Z63" s="51"/>
      <c r="AA63" s="55">
        <v>0</v>
      </c>
      <c r="AB63" s="51"/>
      <c r="AC63" s="55">
        <v>0</v>
      </c>
      <c r="AD63" s="51"/>
      <c r="AE63" s="56">
        <f t="shared" si="3"/>
        <v>0</v>
      </c>
      <c r="AF63" s="56"/>
      <c r="AG63" s="55">
        <v>0</v>
      </c>
      <c r="AH63" s="56"/>
      <c r="AI63" s="55">
        <v>0</v>
      </c>
      <c r="AJ63" s="51"/>
      <c r="AK63" s="55">
        <v>0</v>
      </c>
      <c r="AL63" s="51"/>
      <c r="AM63" s="51">
        <v>0</v>
      </c>
      <c r="AN63" s="51"/>
      <c r="AO63" s="56">
        <f t="shared" si="4"/>
        <v>0</v>
      </c>
      <c r="AP63" s="56"/>
      <c r="AQ63" s="51">
        <v>0</v>
      </c>
      <c r="AR63" s="51"/>
      <c r="AS63" s="51">
        <v>0</v>
      </c>
      <c r="AT63" s="51"/>
      <c r="AU63" s="51">
        <f t="shared" si="5"/>
        <v>0</v>
      </c>
      <c r="AV63" s="54"/>
      <c r="AW63" s="101" t="s">
        <v>56</v>
      </c>
      <c r="AX63" s="54"/>
      <c r="AY63" s="51">
        <v>0</v>
      </c>
      <c r="AZ63" s="51"/>
      <c r="BA63" s="51">
        <v>0</v>
      </c>
      <c r="BB63" s="51"/>
      <c r="BC63" s="51">
        <v>0</v>
      </c>
      <c r="BD63" s="51"/>
      <c r="BE63" s="51">
        <v>0</v>
      </c>
      <c r="BF63" s="51"/>
      <c r="BG63" s="51">
        <f t="shared" si="15"/>
        <v>0</v>
      </c>
      <c r="BH63" s="1"/>
    </row>
    <row r="64" spans="1:60" ht="12.75" hidden="1">
      <c r="A64" s="44" t="s">
        <v>57</v>
      </c>
      <c r="B64" s="54"/>
      <c r="C64" s="55">
        <f t="shared" si="16"/>
        <v>0</v>
      </c>
      <c r="D64" s="55"/>
      <c r="E64" s="55">
        <v>0</v>
      </c>
      <c r="F64" s="55"/>
      <c r="G64" s="55">
        <v>0</v>
      </c>
      <c r="H64" s="55"/>
      <c r="I64" s="55">
        <f t="shared" si="0"/>
        <v>0</v>
      </c>
      <c r="J64" s="55"/>
      <c r="K64" s="55">
        <f t="shared" si="1"/>
        <v>0</v>
      </c>
      <c r="L64" s="55"/>
      <c r="M64" s="55">
        <v>0</v>
      </c>
      <c r="N64" s="55"/>
      <c r="O64" s="55">
        <v>0</v>
      </c>
      <c r="P64" s="55"/>
      <c r="Q64" s="55">
        <v>0</v>
      </c>
      <c r="R64" s="55"/>
      <c r="S64" s="55">
        <v>0</v>
      </c>
      <c r="T64" s="55"/>
      <c r="U64" s="55">
        <f t="shared" si="2"/>
        <v>0</v>
      </c>
      <c r="V64" s="55"/>
      <c r="W64" s="101" t="s">
        <v>57</v>
      </c>
      <c r="X64" s="55"/>
      <c r="Y64" s="55">
        <v>0</v>
      </c>
      <c r="Z64" s="51"/>
      <c r="AA64" s="55">
        <v>0</v>
      </c>
      <c r="AB64" s="51"/>
      <c r="AC64" s="55">
        <v>0</v>
      </c>
      <c r="AD64" s="51"/>
      <c r="AE64" s="56">
        <f t="shared" si="3"/>
        <v>0</v>
      </c>
      <c r="AF64" s="56"/>
      <c r="AG64" s="55">
        <v>0</v>
      </c>
      <c r="AH64" s="56"/>
      <c r="AI64" s="55">
        <v>0</v>
      </c>
      <c r="AJ64" s="51"/>
      <c r="AK64" s="55">
        <v>0</v>
      </c>
      <c r="AL64" s="51"/>
      <c r="AM64" s="51">
        <v>0</v>
      </c>
      <c r="AN64" s="51"/>
      <c r="AO64" s="56">
        <f t="shared" si="4"/>
        <v>0</v>
      </c>
      <c r="AP64" s="56"/>
      <c r="AQ64" s="51">
        <v>0</v>
      </c>
      <c r="AR64" s="51"/>
      <c r="AS64" s="51">
        <v>0</v>
      </c>
      <c r="AT64" s="51"/>
      <c r="AU64" s="51">
        <f t="shared" si="5"/>
        <v>0</v>
      </c>
      <c r="AV64" s="51"/>
      <c r="AW64" s="101" t="s">
        <v>57</v>
      </c>
      <c r="AX64" s="51"/>
      <c r="AY64" s="51">
        <v>0</v>
      </c>
      <c r="AZ64" s="51"/>
      <c r="BA64" s="51">
        <v>0</v>
      </c>
      <c r="BB64" s="51"/>
      <c r="BC64" s="51">
        <v>0</v>
      </c>
      <c r="BD64" s="51"/>
      <c r="BE64" s="51">
        <v>0</v>
      </c>
      <c r="BF64" s="51"/>
      <c r="BG64" s="51">
        <f t="shared" si="15"/>
        <v>0</v>
      </c>
      <c r="BH64" s="1"/>
    </row>
    <row r="65" spans="1:60" ht="12.75" hidden="1">
      <c r="A65" s="44" t="s">
        <v>58</v>
      </c>
      <c r="B65" s="54"/>
      <c r="C65" s="55">
        <f t="shared" si="16"/>
        <v>0</v>
      </c>
      <c r="D65" s="55"/>
      <c r="E65" s="55">
        <v>0</v>
      </c>
      <c r="F65" s="55"/>
      <c r="G65" s="55">
        <v>0</v>
      </c>
      <c r="H65" s="55"/>
      <c r="I65" s="55">
        <f t="shared" si="0"/>
        <v>0</v>
      </c>
      <c r="J65" s="55"/>
      <c r="K65" s="55">
        <f t="shared" si="1"/>
        <v>0</v>
      </c>
      <c r="L65" s="55"/>
      <c r="M65" s="55">
        <v>0</v>
      </c>
      <c r="N65" s="55"/>
      <c r="O65" s="55">
        <v>0</v>
      </c>
      <c r="P65" s="55"/>
      <c r="Q65" s="55">
        <v>0</v>
      </c>
      <c r="R65" s="55"/>
      <c r="S65" s="55">
        <v>0</v>
      </c>
      <c r="T65" s="55"/>
      <c r="U65" s="55">
        <f t="shared" si="2"/>
        <v>0</v>
      </c>
      <c r="V65" s="55"/>
      <c r="W65" s="101" t="s">
        <v>58</v>
      </c>
      <c r="X65" s="55"/>
      <c r="Y65" s="55">
        <v>0</v>
      </c>
      <c r="Z65" s="51"/>
      <c r="AA65" s="55">
        <v>0</v>
      </c>
      <c r="AB65" s="51"/>
      <c r="AC65" s="55">
        <v>0</v>
      </c>
      <c r="AD65" s="51"/>
      <c r="AE65" s="56">
        <f t="shared" si="3"/>
        <v>0</v>
      </c>
      <c r="AF65" s="56"/>
      <c r="AG65" s="55">
        <v>0</v>
      </c>
      <c r="AH65" s="56"/>
      <c r="AI65" s="55">
        <v>0</v>
      </c>
      <c r="AJ65" s="51"/>
      <c r="AK65" s="55">
        <v>0</v>
      </c>
      <c r="AL65" s="51"/>
      <c r="AM65" s="51">
        <v>0</v>
      </c>
      <c r="AN65" s="51"/>
      <c r="AO65" s="56">
        <f t="shared" si="4"/>
        <v>0</v>
      </c>
      <c r="AP65" s="56"/>
      <c r="AQ65" s="51">
        <v>0</v>
      </c>
      <c r="AR65" s="51"/>
      <c r="AS65" s="51">
        <v>0</v>
      </c>
      <c r="AT65" s="51"/>
      <c r="AU65" s="51">
        <f t="shared" si="5"/>
        <v>0</v>
      </c>
      <c r="AV65" s="51"/>
      <c r="AW65" s="101" t="s">
        <v>58</v>
      </c>
      <c r="AX65" s="51"/>
      <c r="AY65" s="51">
        <v>0</v>
      </c>
      <c r="AZ65" s="51"/>
      <c r="BA65" s="51">
        <v>0</v>
      </c>
      <c r="BB65" s="51"/>
      <c r="BC65" s="51">
        <v>0</v>
      </c>
      <c r="BD65" s="51"/>
      <c r="BE65" s="51">
        <v>0</v>
      </c>
      <c r="BF65" s="51"/>
      <c r="BG65" s="51">
        <f t="shared" si="15"/>
        <v>0</v>
      </c>
      <c r="BH65" s="1"/>
    </row>
    <row r="66" spans="1:60" ht="12.75" hidden="1">
      <c r="A66" s="44" t="s">
        <v>59</v>
      </c>
      <c r="B66" s="54"/>
      <c r="C66" s="55">
        <f t="shared" si="16"/>
        <v>0</v>
      </c>
      <c r="D66" s="55"/>
      <c r="E66" s="55">
        <v>0</v>
      </c>
      <c r="F66" s="55"/>
      <c r="G66" s="55">
        <v>0</v>
      </c>
      <c r="H66" s="55"/>
      <c r="I66" s="55">
        <f t="shared" si="0"/>
        <v>0</v>
      </c>
      <c r="J66" s="55"/>
      <c r="K66" s="55">
        <f t="shared" si="1"/>
        <v>0</v>
      </c>
      <c r="L66" s="55"/>
      <c r="M66" s="55">
        <v>0</v>
      </c>
      <c r="N66" s="55"/>
      <c r="O66" s="55">
        <v>0</v>
      </c>
      <c r="P66" s="55"/>
      <c r="Q66" s="55">
        <v>0</v>
      </c>
      <c r="R66" s="55"/>
      <c r="S66" s="55">
        <v>0</v>
      </c>
      <c r="T66" s="55"/>
      <c r="U66" s="55">
        <f t="shared" si="2"/>
        <v>0</v>
      </c>
      <c r="V66" s="55"/>
      <c r="W66" s="101" t="s">
        <v>59</v>
      </c>
      <c r="X66" s="55"/>
      <c r="Y66" s="55">
        <v>0</v>
      </c>
      <c r="Z66" s="51"/>
      <c r="AA66" s="55">
        <v>0</v>
      </c>
      <c r="AB66" s="51"/>
      <c r="AC66" s="55">
        <v>0</v>
      </c>
      <c r="AD66" s="51"/>
      <c r="AE66" s="56">
        <f t="shared" si="3"/>
        <v>0</v>
      </c>
      <c r="AF66" s="56"/>
      <c r="AG66" s="55">
        <v>0</v>
      </c>
      <c r="AH66" s="56"/>
      <c r="AI66" s="55">
        <v>0</v>
      </c>
      <c r="AJ66" s="51"/>
      <c r="AK66" s="55">
        <v>0</v>
      </c>
      <c r="AL66" s="51"/>
      <c r="AM66" s="51">
        <v>0</v>
      </c>
      <c r="AN66" s="51"/>
      <c r="AO66" s="56">
        <f t="shared" si="4"/>
        <v>0</v>
      </c>
      <c r="AP66" s="56"/>
      <c r="AQ66" s="51">
        <v>0</v>
      </c>
      <c r="AR66" s="51"/>
      <c r="AS66" s="51">
        <v>0</v>
      </c>
      <c r="AT66" s="51"/>
      <c r="AU66" s="51">
        <f t="shared" si="5"/>
        <v>0</v>
      </c>
      <c r="AV66" s="51"/>
      <c r="AW66" s="101" t="s">
        <v>59</v>
      </c>
      <c r="AX66" s="51"/>
      <c r="AY66" s="51">
        <v>0</v>
      </c>
      <c r="AZ66" s="51"/>
      <c r="BA66" s="51">
        <v>0</v>
      </c>
      <c r="BB66" s="51"/>
      <c r="BC66" s="51">
        <v>0</v>
      </c>
      <c r="BD66" s="51"/>
      <c r="BE66" s="121">
        <v>0</v>
      </c>
      <c r="BF66" s="51"/>
      <c r="BG66" s="51">
        <f t="shared" si="15"/>
        <v>0</v>
      </c>
      <c r="BH66" s="1"/>
    </row>
    <row r="67" spans="1:60" ht="12.75" hidden="1">
      <c r="A67" s="44" t="s">
        <v>60</v>
      </c>
      <c r="B67" s="54"/>
      <c r="C67" s="55">
        <f t="shared" si="16"/>
        <v>0</v>
      </c>
      <c r="D67" s="55"/>
      <c r="E67" s="55">
        <v>0</v>
      </c>
      <c r="F67" s="55"/>
      <c r="G67" s="55">
        <v>0</v>
      </c>
      <c r="H67" s="55"/>
      <c r="I67" s="55">
        <f t="shared" si="0"/>
        <v>0</v>
      </c>
      <c r="J67" s="55"/>
      <c r="K67" s="55">
        <f t="shared" si="1"/>
        <v>0</v>
      </c>
      <c r="L67" s="55"/>
      <c r="M67" s="55">
        <v>0</v>
      </c>
      <c r="N67" s="55"/>
      <c r="O67" s="55">
        <v>0</v>
      </c>
      <c r="P67" s="55"/>
      <c r="Q67" s="55">
        <v>0</v>
      </c>
      <c r="R67" s="55"/>
      <c r="S67" s="55">
        <v>0</v>
      </c>
      <c r="T67" s="55"/>
      <c r="U67" s="55">
        <f t="shared" si="2"/>
        <v>0</v>
      </c>
      <c r="V67" s="55"/>
      <c r="W67" s="101" t="s">
        <v>60</v>
      </c>
      <c r="X67" s="55"/>
      <c r="Y67" s="55">
        <v>0</v>
      </c>
      <c r="Z67" s="51"/>
      <c r="AA67" s="55">
        <v>0</v>
      </c>
      <c r="AB67" s="51"/>
      <c r="AC67" s="55">
        <v>0</v>
      </c>
      <c r="AD67" s="51"/>
      <c r="AE67" s="56">
        <f t="shared" si="3"/>
        <v>0</v>
      </c>
      <c r="AF67" s="56"/>
      <c r="AG67" s="55">
        <v>0</v>
      </c>
      <c r="AH67" s="56"/>
      <c r="AI67" s="55">
        <v>0</v>
      </c>
      <c r="AJ67" s="51"/>
      <c r="AK67" s="55">
        <v>0</v>
      </c>
      <c r="AL67" s="51"/>
      <c r="AM67" s="51">
        <v>0</v>
      </c>
      <c r="AN67" s="51"/>
      <c r="AO67" s="56">
        <f t="shared" si="4"/>
        <v>0</v>
      </c>
      <c r="AP67" s="56"/>
      <c r="AQ67" s="51">
        <v>0</v>
      </c>
      <c r="AR67" s="51"/>
      <c r="AS67" s="51">
        <v>0</v>
      </c>
      <c r="AT67" s="51"/>
      <c r="AU67" s="51">
        <f t="shared" si="5"/>
        <v>0</v>
      </c>
      <c r="AV67" s="51"/>
      <c r="AW67" s="101" t="s">
        <v>60</v>
      </c>
      <c r="AX67" s="51"/>
      <c r="AY67" s="51">
        <v>0</v>
      </c>
      <c r="AZ67" s="51"/>
      <c r="BA67" s="51">
        <v>0</v>
      </c>
      <c r="BB67" s="51"/>
      <c r="BC67" s="51">
        <v>0</v>
      </c>
      <c r="BD67" s="51"/>
      <c r="BE67" s="51">
        <v>0</v>
      </c>
      <c r="BF67" s="51"/>
      <c r="BG67" s="51">
        <f t="shared" si="15"/>
        <v>0</v>
      </c>
      <c r="BH67" s="1"/>
    </row>
    <row r="68" spans="1:60" ht="12.75" hidden="1">
      <c r="A68" s="44" t="s">
        <v>97</v>
      </c>
      <c r="B68" s="54"/>
      <c r="C68" s="55">
        <f t="shared" si="16"/>
        <v>0</v>
      </c>
      <c r="D68" s="55"/>
      <c r="E68" s="55">
        <v>0</v>
      </c>
      <c r="F68" s="55"/>
      <c r="G68" s="55">
        <v>0</v>
      </c>
      <c r="H68" s="55"/>
      <c r="I68" s="55">
        <f t="shared" si="0"/>
        <v>0</v>
      </c>
      <c r="J68" s="55"/>
      <c r="K68" s="55">
        <f t="shared" si="1"/>
        <v>0</v>
      </c>
      <c r="L68" s="55"/>
      <c r="M68" s="55">
        <v>0</v>
      </c>
      <c r="N68" s="55"/>
      <c r="O68" s="55">
        <v>0</v>
      </c>
      <c r="P68" s="55"/>
      <c r="Q68" s="55">
        <v>0</v>
      </c>
      <c r="R68" s="55"/>
      <c r="S68" s="55">
        <v>0</v>
      </c>
      <c r="T68" s="55"/>
      <c r="U68" s="55">
        <f t="shared" si="2"/>
        <v>0</v>
      </c>
      <c r="V68" s="55"/>
      <c r="W68" s="101" t="s">
        <v>97</v>
      </c>
      <c r="X68" s="55"/>
      <c r="Y68" s="55">
        <v>0</v>
      </c>
      <c r="Z68" s="51"/>
      <c r="AA68" s="55">
        <v>0</v>
      </c>
      <c r="AB68" s="51"/>
      <c r="AC68" s="55">
        <v>0</v>
      </c>
      <c r="AD68" s="51"/>
      <c r="AE68" s="56">
        <f t="shared" si="3"/>
        <v>0</v>
      </c>
      <c r="AF68" s="56"/>
      <c r="AG68" s="55">
        <v>0</v>
      </c>
      <c r="AH68" s="56"/>
      <c r="AI68" s="55">
        <v>0</v>
      </c>
      <c r="AJ68" s="51"/>
      <c r="AK68" s="55">
        <v>0</v>
      </c>
      <c r="AL68" s="51"/>
      <c r="AM68" s="51">
        <v>0</v>
      </c>
      <c r="AN68" s="51"/>
      <c r="AO68" s="56">
        <f t="shared" si="4"/>
        <v>0</v>
      </c>
      <c r="AP68" s="56"/>
      <c r="AQ68" s="51">
        <v>0</v>
      </c>
      <c r="AR68" s="51"/>
      <c r="AS68" s="51">
        <v>0</v>
      </c>
      <c r="AT68" s="51"/>
      <c r="AU68" s="51">
        <f t="shared" si="5"/>
        <v>0</v>
      </c>
      <c r="AV68" s="51"/>
      <c r="AW68" s="101" t="s">
        <v>97</v>
      </c>
      <c r="AX68" s="51"/>
      <c r="AY68" s="51">
        <v>0</v>
      </c>
      <c r="AZ68" s="51"/>
      <c r="BA68" s="51">
        <v>0</v>
      </c>
      <c r="BB68" s="51"/>
      <c r="BC68" s="51">
        <v>0</v>
      </c>
      <c r="BD68" s="51"/>
      <c r="BE68" s="51">
        <v>0</v>
      </c>
      <c r="BF68" s="51"/>
      <c r="BG68" s="51">
        <f t="shared" si="15"/>
        <v>0</v>
      </c>
      <c r="BH68" s="1"/>
    </row>
    <row r="69" spans="1:60" ht="12.75" hidden="1">
      <c r="A69" s="44" t="s">
        <v>61</v>
      </c>
      <c r="B69" s="54"/>
      <c r="C69" s="55">
        <f t="shared" si="16"/>
        <v>0</v>
      </c>
      <c r="D69" s="55"/>
      <c r="E69" s="55">
        <v>0</v>
      </c>
      <c r="F69" s="55"/>
      <c r="G69" s="55">
        <v>0</v>
      </c>
      <c r="H69" s="55"/>
      <c r="I69" s="55">
        <f t="shared" si="0"/>
        <v>0</v>
      </c>
      <c r="J69" s="55"/>
      <c r="K69" s="55">
        <f t="shared" si="1"/>
        <v>0</v>
      </c>
      <c r="L69" s="55"/>
      <c r="M69" s="55">
        <v>0</v>
      </c>
      <c r="N69" s="55"/>
      <c r="O69" s="55">
        <v>0</v>
      </c>
      <c r="P69" s="55"/>
      <c r="Q69" s="55">
        <v>0</v>
      </c>
      <c r="R69" s="55"/>
      <c r="S69" s="55">
        <v>0</v>
      </c>
      <c r="T69" s="55"/>
      <c r="U69" s="55">
        <f t="shared" si="2"/>
        <v>0</v>
      </c>
      <c r="V69" s="54"/>
      <c r="W69" s="101" t="s">
        <v>61</v>
      </c>
      <c r="X69" s="54"/>
      <c r="Y69" s="55">
        <v>0</v>
      </c>
      <c r="Z69" s="51"/>
      <c r="AA69" s="55">
        <v>0</v>
      </c>
      <c r="AB69" s="51"/>
      <c r="AC69" s="55">
        <v>0</v>
      </c>
      <c r="AD69" s="51"/>
      <c r="AE69" s="56">
        <f t="shared" si="3"/>
        <v>0</v>
      </c>
      <c r="AF69" s="56"/>
      <c r="AG69" s="55">
        <v>0</v>
      </c>
      <c r="AH69" s="56"/>
      <c r="AI69" s="55">
        <v>0</v>
      </c>
      <c r="AJ69" s="51"/>
      <c r="AK69" s="55">
        <v>0</v>
      </c>
      <c r="AL69" s="51"/>
      <c r="AM69" s="51">
        <v>0</v>
      </c>
      <c r="AN69" s="51"/>
      <c r="AO69" s="56">
        <f t="shared" si="4"/>
        <v>0</v>
      </c>
      <c r="AP69" s="56"/>
      <c r="AQ69" s="51">
        <v>0</v>
      </c>
      <c r="AR69" s="51"/>
      <c r="AS69" s="51">
        <v>0</v>
      </c>
      <c r="AT69" s="51"/>
      <c r="AU69" s="51">
        <f t="shared" si="5"/>
        <v>0</v>
      </c>
      <c r="AV69" s="54"/>
      <c r="AW69" s="101" t="s">
        <v>61</v>
      </c>
      <c r="AX69" s="54"/>
      <c r="AY69" s="51">
        <v>0</v>
      </c>
      <c r="AZ69" s="51"/>
      <c r="BA69" s="51">
        <v>0</v>
      </c>
      <c r="BB69" s="51"/>
      <c r="BC69" s="51">
        <v>0</v>
      </c>
      <c r="BD69" s="51"/>
      <c r="BE69" s="51">
        <v>0</v>
      </c>
      <c r="BF69" s="51"/>
      <c r="BG69" s="51">
        <f t="shared" si="15"/>
        <v>0</v>
      </c>
      <c r="BH69" s="1"/>
    </row>
    <row r="70" spans="1:60" ht="12.75" hidden="1">
      <c r="A70" s="44" t="s">
        <v>62</v>
      </c>
      <c r="B70" s="54"/>
      <c r="C70" s="55">
        <f t="shared" si="16"/>
        <v>0</v>
      </c>
      <c r="D70" s="55"/>
      <c r="E70" s="55">
        <v>0</v>
      </c>
      <c r="F70" s="55"/>
      <c r="G70" s="55">
        <v>0</v>
      </c>
      <c r="H70" s="55"/>
      <c r="I70" s="55">
        <f t="shared" si="0"/>
        <v>0</v>
      </c>
      <c r="J70" s="55"/>
      <c r="K70" s="55">
        <f t="shared" si="1"/>
        <v>0</v>
      </c>
      <c r="L70" s="55"/>
      <c r="M70" s="55">
        <v>0</v>
      </c>
      <c r="N70" s="55"/>
      <c r="O70" s="55">
        <v>0</v>
      </c>
      <c r="P70" s="55"/>
      <c r="Q70" s="55">
        <v>0</v>
      </c>
      <c r="R70" s="55"/>
      <c r="S70" s="55">
        <v>0</v>
      </c>
      <c r="T70" s="55"/>
      <c r="U70" s="55">
        <f t="shared" si="2"/>
        <v>0</v>
      </c>
      <c r="V70" s="54"/>
      <c r="W70" s="101" t="s">
        <v>62</v>
      </c>
      <c r="X70" s="54"/>
      <c r="Y70" s="55">
        <v>0</v>
      </c>
      <c r="Z70" s="51"/>
      <c r="AA70" s="55">
        <v>0</v>
      </c>
      <c r="AB70" s="51"/>
      <c r="AC70" s="55">
        <v>0</v>
      </c>
      <c r="AD70" s="51"/>
      <c r="AE70" s="56">
        <f t="shared" si="3"/>
        <v>0</v>
      </c>
      <c r="AF70" s="56"/>
      <c r="AG70" s="55">
        <v>0</v>
      </c>
      <c r="AH70" s="56"/>
      <c r="AI70" s="55">
        <v>0</v>
      </c>
      <c r="AJ70" s="51"/>
      <c r="AK70" s="55">
        <v>0</v>
      </c>
      <c r="AL70" s="51"/>
      <c r="AM70" s="51">
        <v>0</v>
      </c>
      <c r="AN70" s="51"/>
      <c r="AO70" s="56">
        <f t="shared" si="4"/>
        <v>0</v>
      </c>
      <c r="AP70" s="56"/>
      <c r="AQ70" s="51">
        <v>0</v>
      </c>
      <c r="AR70" s="51"/>
      <c r="AS70" s="51">
        <v>0</v>
      </c>
      <c r="AT70" s="51"/>
      <c r="AU70" s="51">
        <f t="shared" si="5"/>
        <v>0</v>
      </c>
      <c r="AV70" s="54"/>
      <c r="AW70" s="101" t="s">
        <v>62</v>
      </c>
      <c r="AX70" s="54"/>
      <c r="AY70" s="51">
        <v>0</v>
      </c>
      <c r="AZ70" s="51"/>
      <c r="BA70" s="51">
        <v>0</v>
      </c>
      <c r="BB70" s="51"/>
      <c r="BC70" s="51">
        <v>0</v>
      </c>
      <c r="BD70" s="51"/>
      <c r="BE70" s="51">
        <v>0</v>
      </c>
      <c r="BF70" s="51"/>
      <c r="BG70" s="51">
        <f t="shared" si="15"/>
        <v>0</v>
      </c>
      <c r="BH70" s="1"/>
    </row>
    <row r="71" spans="1:60" ht="12.75" hidden="1">
      <c r="A71" s="44" t="s">
        <v>63</v>
      </c>
      <c r="B71" s="54"/>
      <c r="C71" s="55">
        <f t="shared" si="16"/>
        <v>0</v>
      </c>
      <c r="D71" s="55"/>
      <c r="E71" s="55">
        <v>0</v>
      </c>
      <c r="F71" s="55"/>
      <c r="G71" s="55">
        <v>0</v>
      </c>
      <c r="H71" s="55"/>
      <c r="I71" s="55">
        <f t="shared" si="0"/>
        <v>0</v>
      </c>
      <c r="J71" s="55"/>
      <c r="K71" s="55">
        <f t="shared" si="1"/>
        <v>0</v>
      </c>
      <c r="L71" s="55"/>
      <c r="M71" s="55">
        <v>0</v>
      </c>
      <c r="N71" s="55"/>
      <c r="O71" s="55">
        <v>0</v>
      </c>
      <c r="P71" s="55"/>
      <c r="Q71" s="55">
        <v>0</v>
      </c>
      <c r="R71" s="55"/>
      <c r="S71" s="55">
        <v>0</v>
      </c>
      <c r="T71" s="55"/>
      <c r="U71" s="55">
        <f t="shared" si="2"/>
        <v>0</v>
      </c>
      <c r="V71" s="54"/>
      <c r="W71" s="101" t="s">
        <v>63</v>
      </c>
      <c r="X71" s="54"/>
      <c r="Y71" s="55">
        <v>0</v>
      </c>
      <c r="Z71" s="51"/>
      <c r="AA71" s="55">
        <v>0</v>
      </c>
      <c r="AB71" s="51"/>
      <c r="AC71" s="55">
        <v>0</v>
      </c>
      <c r="AD71" s="51"/>
      <c r="AE71" s="56">
        <f t="shared" si="3"/>
        <v>0</v>
      </c>
      <c r="AF71" s="56"/>
      <c r="AG71" s="55">
        <v>0</v>
      </c>
      <c r="AH71" s="56"/>
      <c r="AI71" s="55">
        <v>0</v>
      </c>
      <c r="AJ71" s="51"/>
      <c r="AK71" s="55">
        <v>0</v>
      </c>
      <c r="AL71" s="51"/>
      <c r="AM71" s="51">
        <v>0</v>
      </c>
      <c r="AN71" s="51"/>
      <c r="AO71" s="56">
        <f t="shared" si="4"/>
        <v>0</v>
      </c>
      <c r="AP71" s="56"/>
      <c r="AQ71" s="51">
        <v>0</v>
      </c>
      <c r="AR71" s="51"/>
      <c r="AS71" s="51">
        <v>0</v>
      </c>
      <c r="AT71" s="51"/>
      <c r="AU71" s="51">
        <f t="shared" si="5"/>
        <v>0</v>
      </c>
      <c r="AV71" s="54"/>
      <c r="AW71" s="101" t="s">
        <v>63</v>
      </c>
      <c r="AX71" s="54"/>
      <c r="AY71" s="51">
        <v>0</v>
      </c>
      <c r="AZ71" s="51"/>
      <c r="BA71" s="51">
        <v>0</v>
      </c>
      <c r="BB71" s="51"/>
      <c r="BC71" s="51">
        <v>0</v>
      </c>
      <c r="BD71" s="51"/>
      <c r="BE71" s="51">
        <v>0</v>
      </c>
      <c r="BF71" s="51"/>
      <c r="BG71" s="51">
        <f t="shared" si="15"/>
        <v>0</v>
      </c>
      <c r="BH71" s="1"/>
    </row>
    <row r="72" spans="1:60" ht="12.75" hidden="1">
      <c r="A72" s="44" t="s">
        <v>132</v>
      </c>
      <c r="B72" s="54"/>
      <c r="C72" s="55">
        <f t="shared" si="16"/>
        <v>0</v>
      </c>
      <c r="D72" s="55"/>
      <c r="E72" s="55">
        <v>0</v>
      </c>
      <c r="F72" s="55"/>
      <c r="G72" s="55">
        <v>0</v>
      </c>
      <c r="H72" s="55"/>
      <c r="I72" s="55">
        <f t="shared" si="0"/>
        <v>0</v>
      </c>
      <c r="J72" s="55"/>
      <c r="K72" s="55">
        <f t="shared" si="1"/>
        <v>0</v>
      </c>
      <c r="L72" s="55"/>
      <c r="M72" s="55">
        <v>0</v>
      </c>
      <c r="N72" s="55"/>
      <c r="O72" s="55">
        <v>0</v>
      </c>
      <c r="P72" s="55"/>
      <c r="Q72" s="55">
        <v>0</v>
      </c>
      <c r="R72" s="55"/>
      <c r="S72" s="55">
        <v>0</v>
      </c>
      <c r="T72" s="55"/>
      <c r="U72" s="55">
        <f t="shared" si="2"/>
        <v>0</v>
      </c>
      <c r="V72" s="54"/>
      <c r="W72" s="101" t="s">
        <v>132</v>
      </c>
      <c r="X72" s="54"/>
      <c r="Y72" s="55">
        <v>0</v>
      </c>
      <c r="Z72" s="51"/>
      <c r="AA72" s="55">
        <v>0</v>
      </c>
      <c r="AB72" s="51"/>
      <c r="AC72" s="55">
        <v>0</v>
      </c>
      <c r="AD72" s="51"/>
      <c r="AE72" s="56">
        <f t="shared" si="3"/>
        <v>0</v>
      </c>
      <c r="AF72" s="56"/>
      <c r="AG72" s="55">
        <v>0</v>
      </c>
      <c r="AH72" s="56"/>
      <c r="AI72" s="55">
        <v>0</v>
      </c>
      <c r="AJ72" s="51"/>
      <c r="AK72" s="55">
        <v>0</v>
      </c>
      <c r="AL72" s="51"/>
      <c r="AM72" s="51">
        <v>0</v>
      </c>
      <c r="AN72" s="51"/>
      <c r="AO72" s="56">
        <f t="shared" si="4"/>
        <v>0</v>
      </c>
      <c r="AP72" s="56"/>
      <c r="AQ72" s="51">
        <v>0</v>
      </c>
      <c r="AR72" s="51"/>
      <c r="AS72" s="51">
        <v>0</v>
      </c>
      <c r="AT72" s="51"/>
      <c r="AU72" s="51">
        <f t="shared" si="5"/>
        <v>0</v>
      </c>
      <c r="AV72" s="54"/>
      <c r="AW72" s="101" t="s">
        <v>132</v>
      </c>
      <c r="AX72" s="54"/>
      <c r="AY72" s="51">
        <v>0</v>
      </c>
      <c r="AZ72" s="51"/>
      <c r="BA72" s="51">
        <v>0</v>
      </c>
      <c r="BB72" s="51"/>
      <c r="BC72" s="51">
        <v>0</v>
      </c>
      <c r="BD72" s="51"/>
      <c r="BE72" s="51">
        <v>0</v>
      </c>
      <c r="BF72" s="51"/>
      <c r="BG72" s="51">
        <f t="shared" si="15"/>
        <v>0</v>
      </c>
      <c r="BH72" s="1"/>
    </row>
    <row r="73" spans="1:60" ht="12.75" hidden="1">
      <c r="A73" s="44" t="s">
        <v>64</v>
      </c>
      <c r="B73" s="54"/>
      <c r="C73" s="55">
        <f t="shared" si="16"/>
        <v>0</v>
      </c>
      <c r="D73" s="55"/>
      <c r="E73" s="55">
        <v>0</v>
      </c>
      <c r="F73" s="55"/>
      <c r="G73" s="55">
        <v>0</v>
      </c>
      <c r="H73" s="55"/>
      <c r="I73" s="55">
        <f t="shared" si="0"/>
        <v>0</v>
      </c>
      <c r="J73" s="55"/>
      <c r="K73" s="55">
        <f t="shared" si="1"/>
        <v>0</v>
      </c>
      <c r="L73" s="55"/>
      <c r="M73" s="55">
        <v>0</v>
      </c>
      <c r="N73" s="55"/>
      <c r="O73" s="55">
        <v>0</v>
      </c>
      <c r="P73" s="55"/>
      <c r="Q73" s="55">
        <v>0</v>
      </c>
      <c r="R73" s="55"/>
      <c r="S73" s="55">
        <v>0</v>
      </c>
      <c r="T73" s="55"/>
      <c r="U73" s="55">
        <f t="shared" si="2"/>
        <v>0</v>
      </c>
      <c r="V73" s="54"/>
      <c r="W73" s="101" t="s">
        <v>64</v>
      </c>
      <c r="X73" s="54"/>
      <c r="Y73" s="55">
        <v>0</v>
      </c>
      <c r="Z73" s="51"/>
      <c r="AA73" s="55">
        <v>0</v>
      </c>
      <c r="AB73" s="51"/>
      <c r="AC73" s="55">
        <v>0</v>
      </c>
      <c r="AD73" s="51"/>
      <c r="AE73" s="56">
        <f t="shared" si="3"/>
        <v>0</v>
      </c>
      <c r="AF73" s="56"/>
      <c r="AG73" s="55">
        <v>0</v>
      </c>
      <c r="AH73" s="56"/>
      <c r="AI73" s="55">
        <v>0</v>
      </c>
      <c r="AJ73" s="51"/>
      <c r="AK73" s="55">
        <v>0</v>
      </c>
      <c r="AL73" s="51"/>
      <c r="AM73" s="51">
        <v>0</v>
      </c>
      <c r="AN73" s="51"/>
      <c r="AO73" s="56">
        <f t="shared" si="4"/>
        <v>0</v>
      </c>
      <c r="AP73" s="56"/>
      <c r="AQ73" s="51">
        <v>0</v>
      </c>
      <c r="AR73" s="51"/>
      <c r="AS73" s="51">
        <v>0</v>
      </c>
      <c r="AT73" s="51"/>
      <c r="AU73" s="51">
        <f t="shared" si="5"/>
        <v>0</v>
      </c>
      <c r="AV73" s="54"/>
      <c r="AW73" s="101" t="s">
        <v>64</v>
      </c>
      <c r="AX73" s="54"/>
      <c r="AY73" s="51">
        <v>0</v>
      </c>
      <c r="AZ73" s="51"/>
      <c r="BA73" s="51">
        <v>0</v>
      </c>
      <c r="BB73" s="51"/>
      <c r="BC73" s="51">
        <v>0</v>
      </c>
      <c r="BD73" s="51"/>
      <c r="BE73" s="51">
        <v>0</v>
      </c>
      <c r="BF73" s="51"/>
      <c r="BG73" s="51">
        <f t="shared" si="15"/>
        <v>0</v>
      </c>
      <c r="BH73" s="1"/>
    </row>
    <row r="74" spans="1:60" ht="12.75" hidden="1">
      <c r="A74" s="44" t="s">
        <v>65</v>
      </c>
      <c r="B74" s="54"/>
      <c r="C74" s="55">
        <f t="shared" si="16"/>
        <v>0</v>
      </c>
      <c r="D74" s="55"/>
      <c r="E74" s="55">
        <v>0</v>
      </c>
      <c r="F74" s="55"/>
      <c r="G74" s="55">
        <v>0</v>
      </c>
      <c r="H74" s="55"/>
      <c r="I74" s="55">
        <f t="shared" si="0"/>
        <v>0</v>
      </c>
      <c r="J74" s="55"/>
      <c r="K74" s="55">
        <f t="shared" si="1"/>
        <v>0</v>
      </c>
      <c r="L74" s="55"/>
      <c r="M74" s="55">
        <v>0</v>
      </c>
      <c r="N74" s="55"/>
      <c r="O74" s="55">
        <v>0</v>
      </c>
      <c r="P74" s="55"/>
      <c r="Q74" s="55">
        <v>0</v>
      </c>
      <c r="R74" s="55"/>
      <c r="S74" s="55">
        <v>0</v>
      </c>
      <c r="T74" s="55"/>
      <c r="U74" s="55">
        <f t="shared" si="2"/>
        <v>0</v>
      </c>
      <c r="V74" s="54"/>
      <c r="W74" s="101" t="s">
        <v>65</v>
      </c>
      <c r="X74" s="54"/>
      <c r="Y74" s="55">
        <v>0</v>
      </c>
      <c r="Z74" s="51"/>
      <c r="AA74" s="55">
        <v>0</v>
      </c>
      <c r="AB74" s="51"/>
      <c r="AC74" s="55">
        <v>0</v>
      </c>
      <c r="AD74" s="51"/>
      <c r="AE74" s="56">
        <f t="shared" si="3"/>
        <v>0</v>
      </c>
      <c r="AF74" s="56"/>
      <c r="AG74" s="55">
        <v>0</v>
      </c>
      <c r="AH74" s="56"/>
      <c r="AI74" s="55">
        <v>0</v>
      </c>
      <c r="AJ74" s="51"/>
      <c r="AK74" s="55">
        <v>0</v>
      </c>
      <c r="AL74" s="51"/>
      <c r="AM74" s="51">
        <v>0</v>
      </c>
      <c r="AN74" s="51"/>
      <c r="AO74" s="56">
        <f t="shared" si="4"/>
        <v>0</v>
      </c>
      <c r="AP74" s="56"/>
      <c r="AQ74" s="51">
        <v>0</v>
      </c>
      <c r="AR74" s="51"/>
      <c r="AS74" s="51">
        <v>0</v>
      </c>
      <c r="AT74" s="51"/>
      <c r="AU74" s="51">
        <f t="shared" si="5"/>
        <v>0</v>
      </c>
      <c r="AV74" s="54"/>
      <c r="AW74" s="101" t="s">
        <v>65</v>
      </c>
      <c r="AX74" s="54"/>
      <c r="AY74" s="51">
        <v>0</v>
      </c>
      <c r="AZ74" s="51"/>
      <c r="BA74" s="51">
        <v>0</v>
      </c>
      <c r="BB74" s="51"/>
      <c r="BC74" s="51">
        <v>0</v>
      </c>
      <c r="BD74" s="51"/>
      <c r="BE74" s="51">
        <v>0</v>
      </c>
      <c r="BF74" s="51"/>
      <c r="BG74" s="51">
        <f t="shared" si="15"/>
        <v>0</v>
      </c>
      <c r="BH74" s="1"/>
    </row>
    <row r="75" spans="1:60" ht="12.75" hidden="1">
      <c r="A75" s="44" t="s">
        <v>66</v>
      </c>
      <c r="B75" s="54"/>
      <c r="C75" s="55">
        <f t="shared" si="16"/>
        <v>0</v>
      </c>
      <c r="D75" s="55"/>
      <c r="E75" s="55">
        <v>0</v>
      </c>
      <c r="F75" s="55"/>
      <c r="G75" s="55">
        <v>0</v>
      </c>
      <c r="H75" s="55"/>
      <c r="I75" s="55">
        <f aca="true" t="shared" si="17" ref="I75:I96">M75-K75</f>
        <v>0</v>
      </c>
      <c r="J75" s="55"/>
      <c r="K75" s="55">
        <f aca="true" t="shared" si="18" ref="K75:K96">SUM(BG75)</f>
        <v>0</v>
      </c>
      <c r="L75" s="55"/>
      <c r="M75" s="55">
        <v>0</v>
      </c>
      <c r="N75" s="55"/>
      <c r="O75" s="55">
        <v>0</v>
      </c>
      <c r="P75" s="55"/>
      <c r="Q75" s="55">
        <v>0</v>
      </c>
      <c r="R75" s="55"/>
      <c r="S75" s="55">
        <v>0</v>
      </c>
      <c r="T75" s="55"/>
      <c r="U75" s="55">
        <f aca="true" t="shared" si="19" ref="U75:U96">SUM(O75:S75)</f>
        <v>0</v>
      </c>
      <c r="V75" s="54"/>
      <c r="W75" s="101" t="s">
        <v>66</v>
      </c>
      <c r="X75" s="54"/>
      <c r="Y75" s="55">
        <v>0</v>
      </c>
      <c r="Z75" s="51"/>
      <c r="AA75" s="55">
        <v>0</v>
      </c>
      <c r="AB75" s="51"/>
      <c r="AC75" s="55">
        <v>0</v>
      </c>
      <c r="AD75" s="51"/>
      <c r="AE75" s="56">
        <f aca="true" t="shared" si="20" ref="AE75:AE96">+Y75-AA75-AC75</f>
        <v>0</v>
      </c>
      <c r="AF75" s="56"/>
      <c r="AG75" s="55">
        <v>0</v>
      </c>
      <c r="AH75" s="56"/>
      <c r="AI75" s="55">
        <v>0</v>
      </c>
      <c r="AJ75" s="51"/>
      <c r="AK75" s="55">
        <v>0</v>
      </c>
      <c r="AL75" s="51"/>
      <c r="AM75" s="51">
        <v>0</v>
      </c>
      <c r="AN75" s="51"/>
      <c r="AO75" s="56">
        <f aca="true" t="shared" si="21" ref="AO75:AO96">+AE75+AG75+AI75-AK75+AM75</f>
        <v>0</v>
      </c>
      <c r="AP75" s="56"/>
      <c r="AQ75" s="51">
        <v>0</v>
      </c>
      <c r="AR75" s="51"/>
      <c r="AS75" s="51">
        <v>0</v>
      </c>
      <c r="AT75" s="51"/>
      <c r="AU75" s="51">
        <f aca="true" t="shared" si="22" ref="AU75:AU96">+C75-I75</f>
        <v>0</v>
      </c>
      <c r="AV75" s="54"/>
      <c r="AW75" s="101" t="s">
        <v>66</v>
      </c>
      <c r="AX75" s="54"/>
      <c r="AY75" s="51">
        <v>0</v>
      </c>
      <c r="AZ75" s="51"/>
      <c r="BA75" s="51">
        <v>0</v>
      </c>
      <c r="BB75" s="51"/>
      <c r="BC75" s="51">
        <v>0</v>
      </c>
      <c r="BD75" s="51"/>
      <c r="BE75" s="51">
        <v>0</v>
      </c>
      <c r="BF75" s="51"/>
      <c r="BG75" s="51">
        <f t="shared" si="15"/>
        <v>0</v>
      </c>
      <c r="BH75" s="1"/>
    </row>
    <row r="76" spans="1:60" ht="12.75" hidden="1">
      <c r="A76" s="44" t="s">
        <v>181</v>
      </c>
      <c r="B76" s="54"/>
      <c r="C76" s="55">
        <f aca="true" t="shared" si="23" ref="C76:C97">G76-E76</f>
        <v>0</v>
      </c>
      <c r="D76" s="55"/>
      <c r="E76" s="55">
        <v>0</v>
      </c>
      <c r="F76" s="55"/>
      <c r="G76" s="55">
        <v>0</v>
      </c>
      <c r="H76" s="55"/>
      <c r="I76" s="55">
        <f t="shared" si="17"/>
        <v>0</v>
      </c>
      <c r="J76" s="55"/>
      <c r="K76" s="55">
        <f t="shared" si="18"/>
        <v>0</v>
      </c>
      <c r="L76" s="55"/>
      <c r="M76" s="55">
        <v>0</v>
      </c>
      <c r="N76" s="55"/>
      <c r="O76" s="55">
        <v>0</v>
      </c>
      <c r="P76" s="55"/>
      <c r="Q76" s="55">
        <v>0</v>
      </c>
      <c r="R76" s="55"/>
      <c r="S76" s="55">
        <v>0</v>
      </c>
      <c r="T76" s="55"/>
      <c r="U76" s="55">
        <f t="shared" si="19"/>
        <v>0</v>
      </c>
      <c r="V76" s="54"/>
      <c r="W76" s="101" t="s">
        <v>181</v>
      </c>
      <c r="X76" s="54"/>
      <c r="Y76" s="55">
        <v>0</v>
      </c>
      <c r="Z76" s="51"/>
      <c r="AA76" s="55">
        <v>0</v>
      </c>
      <c r="AB76" s="51"/>
      <c r="AC76" s="55">
        <v>0</v>
      </c>
      <c r="AD76" s="51"/>
      <c r="AE76" s="56">
        <f t="shared" si="20"/>
        <v>0</v>
      </c>
      <c r="AF76" s="56"/>
      <c r="AG76" s="55">
        <v>0</v>
      </c>
      <c r="AH76" s="56"/>
      <c r="AI76" s="55">
        <v>0</v>
      </c>
      <c r="AJ76" s="51"/>
      <c r="AK76" s="55">
        <v>0</v>
      </c>
      <c r="AL76" s="51"/>
      <c r="AM76" s="51">
        <v>0</v>
      </c>
      <c r="AN76" s="51"/>
      <c r="AO76" s="56">
        <f t="shared" si="21"/>
        <v>0</v>
      </c>
      <c r="AP76" s="56"/>
      <c r="AQ76" s="51">
        <v>0</v>
      </c>
      <c r="AR76" s="51"/>
      <c r="AS76" s="51">
        <v>0</v>
      </c>
      <c r="AT76" s="51"/>
      <c r="AU76" s="51">
        <f t="shared" si="22"/>
        <v>0</v>
      </c>
      <c r="AV76" s="54"/>
      <c r="AW76" s="101" t="s">
        <v>181</v>
      </c>
      <c r="AX76" s="54"/>
      <c r="AY76" s="51">
        <v>0</v>
      </c>
      <c r="AZ76" s="51"/>
      <c r="BA76" s="51">
        <v>0</v>
      </c>
      <c r="BB76" s="51"/>
      <c r="BC76" s="51">
        <v>0</v>
      </c>
      <c r="BD76" s="51"/>
      <c r="BE76" s="51">
        <v>0</v>
      </c>
      <c r="BF76" s="51"/>
      <c r="BG76" s="51">
        <f t="shared" si="15"/>
        <v>0</v>
      </c>
      <c r="BH76" s="1"/>
    </row>
    <row r="77" spans="1:60" ht="12.75">
      <c r="A77" s="44" t="s">
        <v>68</v>
      </c>
      <c r="B77" s="54"/>
      <c r="C77" s="55">
        <f t="shared" si="23"/>
        <v>2121323</v>
      </c>
      <c r="D77" s="55"/>
      <c r="E77" s="55">
        <v>2191234</v>
      </c>
      <c r="F77" s="55"/>
      <c r="G77" s="55">
        <v>4312557</v>
      </c>
      <c r="H77" s="55"/>
      <c r="I77" s="55">
        <f t="shared" si="17"/>
        <v>2946731</v>
      </c>
      <c r="J77" s="55"/>
      <c r="K77" s="55">
        <f t="shared" si="18"/>
        <v>3352210</v>
      </c>
      <c r="L77" s="55"/>
      <c r="M77" s="55">
        <v>6298941</v>
      </c>
      <c r="N77" s="55"/>
      <c r="O77" s="55">
        <v>1145550</v>
      </c>
      <c r="P77" s="55"/>
      <c r="Q77" s="55">
        <v>0</v>
      </c>
      <c r="R77" s="55"/>
      <c r="S77" s="55">
        <v>-3131934</v>
      </c>
      <c r="T77" s="55"/>
      <c r="U77" s="55">
        <f t="shared" si="19"/>
        <v>-1986384</v>
      </c>
      <c r="V77" s="55"/>
      <c r="W77" s="101" t="s">
        <v>68</v>
      </c>
      <c r="X77" s="55"/>
      <c r="Y77" s="55">
        <v>3377653</v>
      </c>
      <c r="Z77" s="51"/>
      <c r="AA77" s="55">
        <v>2605114</v>
      </c>
      <c r="AB77" s="51"/>
      <c r="AC77" s="55">
        <v>0</v>
      </c>
      <c r="AD77" s="51"/>
      <c r="AE77" s="56">
        <f t="shared" si="20"/>
        <v>772539</v>
      </c>
      <c r="AF77" s="56"/>
      <c r="AG77" s="55">
        <v>-101489</v>
      </c>
      <c r="AH77" s="56"/>
      <c r="AI77" s="55">
        <v>0</v>
      </c>
      <c r="AJ77" s="51"/>
      <c r="AK77" s="55">
        <v>0</v>
      </c>
      <c r="AL77" s="51"/>
      <c r="AM77" s="51">
        <v>0</v>
      </c>
      <c r="AN77" s="51"/>
      <c r="AO77" s="56">
        <f t="shared" si="21"/>
        <v>671050</v>
      </c>
      <c r="AP77" s="56"/>
      <c r="AQ77" s="51">
        <v>0</v>
      </c>
      <c r="AR77" s="51"/>
      <c r="AS77" s="51">
        <v>0</v>
      </c>
      <c r="AT77" s="51"/>
      <c r="AU77" s="51">
        <f t="shared" si="22"/>
        <v>-825408</v>
      </c>
      <c r="AV77" s="51"/>
      <c r="AW77" s="101" t="s">
        <v>68</v>
      </c>
      <c r="AX77" s="51"/>
      <c r="AY77" s="51">
        <v>3002775</v>
      </c>
      <c r="AZ77" s="51"/>
      <c r="BA77" s="51">
        <v>0</v>
      </c>
      <c r="BB77" s="51"/>
      <c r="BC77" s="51">
        <v>0</v>
      </c>
      <c r="BD77" s="51"/>
      <c r="BE77" s="51">
        <f>15147+219588+114700</f>
        <v>349435</v>
      </c>
      <c r="BF77" s="51"/>
      <c r="BG77" s="51">
        <f aca="true" t="shared" si="24" ref="BG77:BG96">SUM(AY77:BE77)</f>
        <v>3352210</v>
      </c>
      <c r="BH77" s="1"/>
    </row>
    <row r="78" spans="1:60" ht="12.75" hidden="1">
      <c r="A78" s="44" t="s">
        <v>180</v>
      </c>
      <c r="B78" s="54"/>
      <c r="C78" s="55">
        <f t="shared" si="23"/>
        <v>0</v>
      </c>
      <c r="D78" s="55"/>
      <c r="E78" s="55">
        <v>0</v>
      </c>
      <c r="F78" s="55"/>
      <c r="G78" s="55">
        <v>0</v>
      </c>
      <c r="H78" s="55"/>
      <c r="I78" s="55">
        <f t="shared" si="17"/>
        <v>0</v>
      </c>
      <c r="J78" s="55"/>
      <c r="K78" s="55">
        <f t="shared" si="18"/>
        <v>0</v>
      </c>
      <c r="L78" s="55"/>
      <c r="M78" s="55">
        <v>0</v>
      </c>
      <c r="N78" s="55"/>
      <c r="O78" s="55">
        <v>0</v>
      </c>
      <c r="P78" s="55"/>
      <c r="Q78" s="55">
        <v>0</v>
      </c>
      <c r="R78" s="55"/>
      <c r="S78" s="55">
        <v>0</v>
      </c>
      <c r="T78" s="55"/>
      <c r="U78" s="55">
        <f t="shared" si="19"/>
        <v>0</v>
      </c>
      <c r="V78" s="54"/>
      <c r="W78" s="101" t="s">
        <v>180</v>
      </c>
      <c r="X78" s="54"/>
      <c r="Y78" s="55">
        <v>0</v>
      </c>
      <c r="Z78" s="51"/>
      <c r="AA78" s="55">
        <v>0</v>
      </c>
      <c r="AB78" s="51"/>
      <c r="AC78" s="55">
        <v>0</v>
      </c>
      <c r="AD78" s="51"/>
      <c r="AE78" s="56">
        <f t="shared" si="20"/>
        <v>0</v>
      </c>
      <c r="AF78" s="56"/>
      <c r="AG78" s="55">
        <v>0</v>
      </c>
      <c r="AH78" s="56"/>
      <c r="AI78" s="55">
        <v>0</v>
      </c>
      <c r="AJ78" s="51"/>
      <c r="AK78" s="55">
        <v>0</v>
      </c>
      <c r="AL78" s="51"/>
      <c r="AM78" s="51">
        <v>0</v>
      </c>
      <c r="AN78" s="51"/>
      <c r="AO78" s="56">
        <f t="shared" si="21"/>
        <v>0</v>
      </c>
      <c r="AP78" s="56"/>
      <c r="AQ78" s="51">
        <v>0</v>
      </c>
      <c r="AR78" s="51"/>
      <c r="AS78" s="51">
        <v>0</v>
      </c>
      <c r="AT78" s="51"/>
      <c r="AU78" s="51">
        <f t="shared" si="22"/>
        <v>0</v>
      </c>
      <c r="AV78" s="54"/>
      <c r="AW78" s="101" t="s">
        <v>180</v>
      </c>
      <c r="AX78" s="54"/>
      <c r="AY78" s="51">
        <v>0</v>
      </c>
      <c r="AZ78" s="51"/>
      <c r="BA78" s="51">
        <v>0</v>
      </c>
      <c r="BB78" s="51"/>
      <c r="BC78" s="51">
        <v>0</v>
      </c>
      <c r="BD78" s="51"/>
      <c r="BE78" s="51">
        <v>0</v>
      </c>
      <c r="BF78" s="51"/>
      <c r="BG78" s="51">
        <f t="shared" si="24"/>
        <v>0</v>
      </c>
      <c r="BH78" s="1"/>
    </row>
    <row r="79" spans="1:60" ht="12.75" hidden="1">
      <c r="A79" s="44" t="s">
        <v>136</v>
      </c>
      <c r="B79" s="54"/>
      <c r="C79" s="55">
        <f t="shared" si="23"/>
        <v>0</v>
      </c>
      <c r="D79" s="55"/>
      <c r="E79" s="55">
        <v>0</v>
      </c>
      <c r="F79" s="55"/>
      <c r="G79" s="55">
        <v>0</v>
      </c>
      <c r="H79" s="55"/>
      <c r="I79" s="55">
        <f t="shared" si="17"/>
        <v>0</v>
      </c>
      <c r="J79" s="55"/>
      <c r="K79" s="55">
        <f t="shared" si="18"/>
        <v>0</v>
      </c>
      <c r="L79" s="55"/>
      <c r="M79" s="55">
        <v>0</v>
      </c>
      <c r="N79" s="55"/>
      <c r="O79" s="55">
        <v>0</v>
      </c>
      <c r="P79" s="55"/>
      <c r="Q79" s="55">
        <v>0</v>
      </c>
      <c r="R79" s="55"/>
      <c r="S79" s="55">
        <v>0</v>
      </c>
      <c r="T79" s="55"/>
      <c r="U79" s="55">
        <f t="shared" si="19"/>
        <v>0</v>
      </c>
      <c r="V79" s="54"/>
      <c r="W79" s="101" t="s">
        <v>136</v>
      </c>
      <c r="X79" s="54"/>
      <c r="Y79" s="55">
        <v>0</v>
      </c>
      <c r="Z79" s="51"/>
      <c r="AA79" s="55">
        <v>0</v>
      </c>
      <c r="AB79" s="51"/>
      <c r="AC79" s="55">
        <v>0</v>
      </c>
      <c r="AD79" s="51"/>
      <c r="AE79" s="56">
        <f t="shared" si="20"/>
        <v>0</v>
      </c>
      <c r="AF79" s="56"/>
      <c r="AG79" s="55">
        <v>0</v>
      </c>
      <c r="AH79" s="56"/>
      <c r="AI79" s="55">
        <v>0</v>
      </c>
      <c r="AJ79" s="51"/>
      <c r="AK79" s="55">
        <v>0</v>
      </c>
      <c r="AL79" s="51"/>
      <c r="AM79" s="51">
        <v>0</v>
      </c>
      <c r="AN79" s="51"/>
      <c r="AO79" s="56">
        <f t="shared" si="21"/>
        <v>0</v>
      </c>
      <c r="AP79" s="56"/>
      <c r="AQ79" s="51">
        <v>0</v>
      </c>
      <c r="AR79" s="51"/>
      <c r="AS79" s="51">
        <v>0</v>
      </c>
      <c r="AT79" s="51"/>
      <c r="AU79" s="51">
        <f t="shared" si="22"/>
        <v>0</v>
      </c>
      <c r="AV79" s="54"/>
      <c r="AW79" s="101" t="s">
        <v>136</v>
      </c>
      <c r="AX79" s="54"/>
      <c r="AY79" s="51">
        <v>0</v>
      </c>
      <c r="AZ79" s="51"/>
      <c r="BA79" s="51">
        <v>0</v>
      </c>
      <c r="BB79" s="51"/>
      <c r="BC79" s="51">
        <v>0</v>
      </c>
      <c r="BD79" s="51"/>
      <c r="BE79" s="51">
        <v>0</v>
      </c>
      <c r="BF79" s="51"/>
      <c r="BG79" s="51">
        <f t="shared" si="24"/>
        <v>0</v>
      </c>
      <c r="BH79" s="1"/>
    </row>
    <row r="80" spans="1:60" ht="12.75" hidden="1">
      <c r="A80" s="44" t="s">
        <v>69</v>
      </c>
      <c r="B80" s="54"/>
      <c r="C80" s="55">
        <f t="shared" si="23"/>
        <v>0</v>
      </c>
      <c r="D80" s="55"/>
      <c r="E80" s="55">
        <v>0</v>
      </c>
      <c r="F80" s="55"/>
      <c r="G80" s="55">
        <v>0</v>
      </c>
      <c r="H80" s="55"/>
      <c r="I80" s="55">
        <f t="shared" si="17"/>
        <v>0</v>
      </c>
      <c r="J80" s="55"/>
      <c r="K80" s="55">
        <f t="shared" si="18"/>
        <v>0</v>
      </c>
      <c r="L80" s="55"/>
      <c r="M80" s="55">
        <v>0</v>
      </c>
      <c r="N80" s="55"/>
      <c r="O80" s="55">
        <v>0</v>
      </c>
      <c r="P80" s="55"/>
      <c r="Q80" s="55">
        <v>0</v>
      </c>
      <c r="R80" s="55"/>
      <c r="S80" s="55">
        <v>0</v>
      </c>
      <c r="T80" s="55"/>
      <c r="U80" s="55">
        <f t="shared" si="19"/>
        <v>0</v>
      </c>
      <c r="V80" s="54"/>
      <c r="W80" s="101" t="s">
        <v>69</v>
      </c>
      <c r="X80" s="54"/>
      <c r="Y80" s="55">
        <v>0</v>
      </c>
      <c r="Z80" s="51"/>
      <c r="AA80" s="55">
        <v>0</v>
      </c>
      <c r="AB80" s="51"/>
      <c r="AC80" s="55">
        <v>0</v>
      </c>
      <c r="AD80" s="51"/>
      <c r="AE80" s="56">
        <f t="shared" si="20"/>
        <v>0</v>
      </c>
      <c r="AF80" s="56"/>
      <c r="AG80" s="55">
        <v>0</v>
      </c>
      <c r="AH80" s="56"/>
      <c r="AI80" s="55">
        <v>0</v>
      </c>
      <c r="AJ80" s="51"/>
      <c r="AK80" s="55">
        <v>0</v>
      </c>
      <c r="AL80" s="51"/>
      <c r="AM80" s="51">
        <v>0</v>
      </c>
      <c r="AN80" s="51"/>
      <c r="AO80" s="56">
        <f t="shared" si="21"/>
        <v>0</v>
      </c>
      <c r="AP80" s="56"/>
      <c r="AQ80" s="51">
        <v>0</v>
      </c>
      <c r="AR80" s="51"/>
      <c r="AS80" s="51">
        <v>0</v>
      </c>
      <c r="AT80" s="51"/>
      <c r="AU80" s="51">
        <f t="shared" si="22"/>
        <v>0</v>
      </c>
      <c r="AV80" s="54"/>
      <c r="AW80" s="101" t="s">
        <v>69</v>
      </c>
      <c r="AX80" s="54"/>
      <c r="AY80" s="51">
        <v>0</v>
      </c>
      <c r="AZ80" s="51"/>
      <c r="BA80" s="51">
        <v>0</v>
      </c>
      <c r="BB80" s="51"/>
      <c r="BC80" s="51">
        <v>0</v>
      </c>
      <c r="BD80" s="51"/>
      <c r="BE80" s="51">
        <v>0</v>
      </c>
      <c r="BF80" s="51"/>
      <c r="BG80" s="51">
        <f t="shared" si="24"/>
        <v>0</v>
      </c>
      <c r="BH80" s="1"/>
    </row>
    <row r="81" spans="1:60" ht="12.75" hidden="1">
      <c r="A81" s="44" t="s">
        <v>98</v>
      </c>
      <c r="B81" s="54"/>
      <c r="C81" s="55">
        <f t="shared" si="23"/>
        <v>0</v>
      </c>
      <c r="D81" s="55"/>
      <c r="E81" s="55">
        <v>0</v>
      </c>
      <c r="F81" s="55"/>
      <c r="G81" s="55">
        <v>0</v>
      </c>
      <c r="H81" s="55"/>
      <c r="I81" s="55">
        <f t="shared" si="17"/>
        <v>0</v>
      </c>
      <c r="J81" s="55"/>
      <c r="K81" s="55">
        <f t="shared" si="18"/>
        <v>0</v>
      </c>
      <c r="L81" s="55"/>
      <c r="M81" s="55">
        <v>0</v>
      </c>
      <c r="N81" s="55"/>
      <c r="O81" s="55">
        <v>0</v>
      </c>
      <c r="P81" s="55"/>
      <c r="Q81" s="55">
        <v>0</v>
      </c>
      <c r="R81" s="55"/>
      <c r="S81" s="55">
        <v>0</v>
      </c>
      <c r="T81" s="55"/>
      <c r="U81" s="55">
        <f t="shared" si="19"/>
        <v>0</v>
      </c>
      <c r="V81" s="54"/>
      <c r="W81" s="101" t="s">
        <v>98</v>
      </c>
      <c r="X81" s="54"/>
      <c r="Y81" s="55">
        <v>0</v>
      </c>
      <c r="Z81" s="51"/>
      <c r="AA81" s="55">
        <v>0</v>
      </c>
      <c r="AB81" s="51"/>
      <c r="AC81" s="55">
        <v>0</v>
      </c>
      <c r="AD81" s="51"/>
      <c r="AE81" s="56">
        <f t="shared" si="20"/>
        <v>0</v>
      </c>
      <c r="AF81" s="56"/>
      <c r="AG81" s="55">
        <v>0</v>
      </c>
      <c r="AH81" s="56"/>
      <c r="AI81" s="55">
        <v>0</v>
      </c>
      <c r="AJ81" s="51"/>
      <c r="AK81" s="55">
        <v>0</v>
      </c>
      <c r="AL81" s="51"/>
      <c r="AM81" s="51">
        <v>0</v>
      </c>
      <c r="AN81" s="51"/>
      <c r="AO81" s="56">
        <f t="shared" si="21"/>
        <v>0</v>
      </c>
      <c r="AP81" s="56"/>
      <c r="AQ81" s="51">
        <v>0</v>
      </c>
      <c r="AR81" s="51"/>
      <c r="AS81" s="51">
        <v>0</v>
      </c>
      <c r="AT81" s="51"/>
      <c r="AU81" s="51">
        <f t="shared" si="22"/>
        <v>0</v>
      </c>
      <c r="AV81" s="54"/>
      <c r="AW81" s="101" t="s">
        <v>98</v>
      </c>
      <c r="AX81" s="54"/>
      <c r="AY81" s="51">
        <v>0</v>
      </c>
      <c r="AZ81" s="51"/>
      <c r="BA81" s="51">
        <v>0</v>
      </c>
      <c r="BB81" s="51"/>
      <c r="BC81" s="51">
        <v>0</v>
      </c>
      <c r="BD81" s="51"/>
      <c r="BE81" s="51">
        <v>0</v>
      </c>
      <c r="BF81" s="51"/>
      <c r="BG81" s="51">
        <f t="shared" si="24"/>
        <v>0</v>
      </c>
      <c r="BH81" s="1"/>
    </row>
    <row r="82" spans="1:60" ht="12.75" hidden="1">
      <c r="A82" s="44" t="s">
        <v>70</v>
      </c>
      <c r="B82" s="54"/>
      <c r="C82" s="55">
        <f t="shared" si="23"/>
        <v>0</v>
      </c>
      <c r="D82" s="55"/>
      <c r="E82" s="55">
        <v>0</v>
      </c>
      <c r="F82" s="55"/>
      <c r="G82" s="55">
        <v>0</v>
      </c>
      <c r="H82" s="55"/>
      <c r="I82" s="55">
        <f t="shared" si="17"/>
        <v>0</v>
      </c>
      <c r="J82" s="55"/>
      <c r="K82" s="55">
        <f t="shared" si="18"/>
        <v>0</v>
      </c>
      <c r="L82" s="55"/>
      <c r="M82" s="55">
        <v>0</v>
      </c>
      <c r="N82" s="55"/>
      <c r="O82" s="55">
        <v>0</v>
      </c>
      <c r="P82" s="55"/>
      <c r="Q82" s="55">
        <v>0</v>
      </c>
      <c r="R82" s="55"/>
      <c r="S82" s="55">
        <v>0</v>
      </c>
      <c r="T82" s="55"/>
      <c r="U82" s="55">
        <f t="shared" si="19"/>
        <v>0</v>
      </c>
      <c r="V82" s="54"/>
      <c r="W82" s="101" t="s">
        <v>70</v>
      </c>
      <c r="X82" s="54"/>
      <c r="Y82" s="55">
        <v>0</v>
      </c>
      <c r="Z82" s="51"/>
      <c r="AA82" s="55">
        <v>0</v>
      </c>
      <c r="AB82" s="51"/>
      <c r="AC82" s="55">
        <v>0</v>
      </c>
      <c r="AD82" s="51"/>
      <c r="AE82" s="56">
        <f t="shared" si="20"/>
        <v>0</v>
      </c>
      <c r="AF82" s="56"/>
      <c r="AG82" s="55">
        <v>0</v>
      </c>
      <c r="AH82" s="56"/>
      <c r="AI82" s="55">
        <v>0</v>
      </c>
      <c r="AJ82" s="51"/>
      <c r="AK82" s="55">
        <v>0</v>
      </c>
      <c r="AL82" s="51"/>
      <c r="AM82" s="51">
        <v>0</v>
      </c>
      <c r="AN82" s="51"/>
      <c r="AO82" s="56">
        <f t="shared" si="21"/>
        <v>0</v>
      </c>
      <c r="AP82" s="56"/>
      <c r="AQ82" s="51">
        <v>0</v>
      </c>
      <c r="AR82" s="51"/>
      <c r="AS82" s="51">
        <v>0</v>
      </c>
      <c r="AT82" s="51"/>
      <c r="AU82" s="51">
        <f t="shared" si="22"/>
        <v>0</v>
      </c>
      <c r="AV82" s="54"/>
      <c r="AW82" s="101" t="s">
        <v>70</v>
      </c>
      <c r="AX82" s="54"/>
      <c r="AY82" s="51">
        <v>0</v>
      </c>
      <c r="AZ82" s="51"/>
      <c r="BA82" s="51">
        <v>0</v>
      </c>
      <c r="BB82" s="51"/>
      <c r="BC82" s="51">
        <v>0</v>
      </c>
      <c r="BD82" s="51"/>
      <c r="BE82" s="51">
        <v>0</v>
      </c>
      <c r="BF82" s="51"/>
      <c r="BG82" s="51">
        <f t="shared" si="24"/>
        <v>0</v>
      </c>
      <c r="BH82" s="1"/>
    </row>
    <row r="83" spans="1:60" ht="12.75" hidden="1">
      <c r="A83" s="44" t="s">
        <v>71</v>
      </c>
      <c r="B83" s="54"/>
      <c r="C83" s="55">
        <f t="shared" si="23"/>
        <v>0</v>
      </c>
      <c r="D83" s="55"/>
      <c r="E83" s="55">
        <v>0</v>
      </c>
      <c r="F83" s="55"/>
      <c r="G83" s="55">
        <v>0</v>
      </c>
      <c r="H83" s="55"/>
      <c r="I83" s="55">
        <f t="shared" si="17"/>
        <v>0</v>
      </c>
      <c r="J83" s="55"/>
      <c r="K83" s="55">
        <f t="shared" si="18"/>
        <v>0</v>
      </c>
      <c r="L83" s="55"/>
      <c r="M83" s="55">
        <v>0</v>
      </c>
      <c r="N83" s="55"/>
      <c r="O83" s="55">
        <v>0</v>
      </c>
      <c r="P83" s="55"/>
      <c r="Q83" s="55">
        <v>0</v>
      </c>
      <c r="R83" s="55"/>
      <c r="S83" s="55">
        <v>0</v>
      </c>
      <c r="T83" s="55"/>
      <c r="U83" s="55">
        <f t="shared" si="19"/>
        <v>0</v>
      </c>
      <c r="V83" s="54"/>
      <c r="W83" s="101" t="s">
        <v>71</v>
      </c>
      <c r="X83" s="54"/>
      <c r="Y83" s="55">
        <v>0</v>
      </c>
      <c r="Z83" s="51"/>
      <c r="AA83" s="55">
        <v>0</v>
      </c>
      <c r="AB83" s="51"/>
      <c r="AC83" s="55">
        <v>0</v>
      </c>
      <c r="AD83" s="51"/>
      <c r="AE83" s="56">
        <f t="shared" si="20"/>
        <v>0</v>
      </c>
      <c r="AF83" s="56"/>
      <c r="AG83" s="55">
        <v>0</v>
      </c>
      <c r="AH83" s="56"/>
      <c r="AI83" s="55">
        <v>0</v>
      </c>
      <c r="AJ83" s="51"/>
      <c r="AK83" s="55">
        <v>0</v>
      </c>
      <c r="AL83" s="51"/>
      <c r="AM83" s="51">
        <v>0</v>
      </c>
      <c r="AN83" s="51"/>
      <c r="AO83" s="56">
        <f t="shared" si="21"/>
        <v>0</v>
      </c>
      <c r="AP83" s="56"/>
      <c r="AQ83" s="51">
        <v>0</v>
      </c>
      <c r="AR83" s="51"/>
      <c r="AS83" s="51">
        <v>0</v>
      </c>
      <c r="AT83" s="51"/>
      <c r="AU83" s="51">
        <f t="shared" si="22"/>
        <v>0</v>
      </c>
      <c r="AV83" s="54"/>
      <c r="AW83" s="101" t="s">
        <v>71</v>
      </c>
      <c r="AX83" s="54"/>
      <c r="AY83" s="51">
        <v>0</v>
      </c>
      <c r="AZ83" s="51"/>
      <c r="BA83" s="51">
        <v>0</v>
      </c>
      <c r="BB83" s="51"/>
      <c r="BC83" s="51">
        <v>0</v>
      </c>
      <c r="BD83" s="51"/>
      <c r="BE83" s="51">
        <v>0</v>
      </c>
      <c r="BF83" s="51"/>
      <c r="BG83" s="51">
        <f t="shared" si="24"/>
        <v>0</v>
      </c>
      <c r="BH83" s="1"/>
    </row>
    <row r="84" spans="1:60" ht="12.75" hidden="1">
      <c r="A84" s="44" t="s">
        <v>72</v>
      </c>
      <c r="B84" s="54"/>
      <c r="C84" s="55">
        <f t="shared" si="23"/>
        <v>0</v>
      </c>
      <c r="D84" s="55"/>
      <c r="E84" s="55">
        <v>0</v>
      </c>
      <c r="F84" s="55"/>
      <c r="G84" s="55">
        <v>0</v>
      </c>
      <c r="H84" s="55"/>
      <c r="I84" s="55">
        <f t="shared" si="17"/>
        <v>0</v>
      </c>
      <c r="J84" s="55"/>
      <c r="K84" s="55">
        <f t="shared" si="18"/>
        <v>0</v>
      </c>
      <c r="L84" s="55"/>
      <c r="M84" s="55">
        <v>0</v>
      </c>
      <c r="N84" s="55"/>
      <c r="O84" s="55">
        <v>0</v>
      </c>
      <c r="P84" s="55"/>
      <c r="Q84" s="55">
        <v>0</v>
      </c>
      <c r="R84" s="55"/>
      <c r="S84" s="55">
        <v>0</v>
      </c>
      <c r="T84" s="55"/>
      <c r="U84" s="55">
        <f t="shared" si="19"/>
        <v>0</v>
      </c>
      <c r="V84" s="55"/>
      <c r="W84" s="101" t="s">
        <v>72</v>
      </c>
      <c r="X84" s="55"/>
      <c r="Y84" s="55">
        <v>0</v>
      </c>
      <c r="Z84" s="51"/>
      <c r="AA84" s="55">
        <v>0</v>
      </c>
      <c r="AB84" s="51"/>
      <c r="AC84" s="55">
        <v>0</v>
      </c>
      <c r="AD84" s="51"/>
      <c r="AE84" s="56">
        <f t="shared" si="20"/>
        <v>0</v>
      </c>
      <c r="AF84" s="56"/>
      <c r="AG84" s="55">
        <v>0</v>
      </c>
      <c r="AH84" s="56"/>
      <c r="AI84" s="55">
        <v>0</v>
      </c>
      <c r="AJ84" s="51"/>
      <c r="AK84" s="55">
        <v>0</v>
      </c>
      <c r="AL84" s="51"/>
      <c r="AM84" s="51">
        <v>0</v>
      </c>
      <c r="AN84" s="51"/>
      <c r="AO84" s="56">
        <f t="shared" si="21"/>
        <v>0</v>
      </c>
      <c r="AP84" s="56"/>
      <c r="AQ84" s="51">
        <v>0</v>
      </c>
      <c r="AR84" s="51"/>
      <c r="AS84" s="51">
        <v>0</v>
      </c>
      <c r="AT84" s="51"/>
      <c r="AU84" s="51">
        <f t="shared" si="22"/>
        <v>0</v>
      </c>
      <c r="AV84" s="51"/>
      <c r="AW84" s="101" t="s">
        <v>72</v>
      </c>
      <c r="AX84" s="51"/>
      <c r="AY84" s="51">
        <v>0</v>
      </c>
      <c r="AZ84" s="51"/>
      <c r="BA84" s="51">
        <v>0</v>
      </c>
      <c r="BB84" s="51"/>
      <c r="BC84" s="51">
        <v>0</v>
      </c>
      <c r="BD84" s="51"/>
      <c r="BE84" s="51">
        <v>0</v>
      </c>
      <c r="BF84" s="51"/>
      <c r="BG84" s="51">
        <f t="shared" si="24"/>
        <v>0</v>
      </c>
      <c r="BH84" s="1"/>
    </row>
    <row r="85" spans="1:60" ht="12.75" hidden="1">
      <c r="A85" s="44" t="s">
        <v>73</v>
      </c>
      <c r="B85" s="54"/>
      <c r="C85" s="55">
        <f t="shared" si="23"/>
        <v>0</v>
      </c>
      <c r="D85" s="55"/>
      <c r="E85" s="55">
        <v>0</v>
      </c>
      <c r="F85" s="55"/>
      <c r="G85" s="55">
        <v>0</v>
      </c>
      <c r="H85" s="55"/>
      <c r="I85" s="55">
        <f t="shared" si="17"/>
        <v>0</v>
      </c>
      <c r="J85" s="55"/>
      <c r="K85" s="55">
        <f t="shared" si="18"/>
        <v>0</v>
      </c>
      <c r="L85" s="55"/>
      <c r="M85" s="55">
        <v>0</v>
      </c>
      <c r="N85" s="55"/>
      <c r="O85" s="55">
        <v>0</v>
      </c>
      <c r="P85" s="55"/>
      <c r="Q85" s="55">
        <v>0</v>
      </c>
      <c r="R85" s="55"/>
      <c r="S85" s="55">
        <v>0</v>
      </c>
      <c r="T85" s="55"/>
      <c r="U85" s="55">
        <f t="shared" si="19"/>
        <v>0</v>
      </c>
      <c r="V85" s="54"/>
      <c r="W85" s="101" t="s">
        <v>73</v>
      </c>
      <c r="X85" s="54"/>
      <c r="Y85" s="55">
        <v>0</v>
      </c>
      <c r="Z85" s="51"/>
      <c r="AA85" s="55">
        <v>0</v>
      </c>
      <c r="AB85" s="51"/>
      <c r="AC85" s="55">
        <v>0</v>
      </c>
      <c r="AD85" s="51"/>
      <c r="AE85" s="56">
        <f t="shared" si="20"/>
        <v>0</v>
      </c>
      <c r="AF85" s="56"/>
      <c r="AG85" s="55">
        <v>0</v>
      </c>
      <c r="AH85" s="56"/>
      <c r="AI85" s="55">
        <v>0</v>
      </c>
      <c r="AJ85" s="51"/>
      <c r="AK85" s="55">
        <v>0</v>
      </c>
      <c r="AL85" s="51"/>
      <c r="AM85" s="51">
        <v>0</v>
      </c>
      <c r="AN85" s="51"/>
      <c r="AO85" s="56">
        <f t="shared" si="21"/>
        <v>0</v>
      </c>
      <c r="AP85" s="56"/>
      <c r="AQ85" s="51">
        <v>0</v>
      </c>
      <c r="AR85" s="51"/>
      <c r="AS85" s="51">
        <v>0</v>
      </c>
      <c r="AT85" s="51"/>
      <c r="AU85" s="51">
        <f t="shared" si="22"/>
        <v>0</v>
      </c>
      <c r="AV85" s="54"/>
      <c r="AW85" s="101" t="s">
        <v>73</v>
      </c>
      <c r="AX85" s="54"/>
      <c r="AY85" s="51">
        <v>0</v>
      </c>
      <c r="AZ85" s="51"/>
      <c r="BA85" s="51">
        <v>0</v>
      </c>
      <c r="BB85" s="51"/>
      <c r="BC85" s="51">
        <v>0</v>
      </c>
      <c r="BD85" s="51"/>
      <c r="BE85" s="51">
        <v>0</v>
      </c>
      <c r="BF85" s="51"/>
      <c r="BG85" s="51">
        <f t="shared" si="24"/>
        <v>0</v>
      </c>
      <c r="BH85" s="1"/>
    </row>
    <row r="86" spans="1:60" ht="12.75" hidden="1">
      <c r="A86" s="44" t="s">
        <v>74</v>
      </c>
      <c r="B86" s="54"/>
      <c r="C86" s="55">
        <f t="shared" si="23"/>
        <v>0</v>
      </c>
      <c r="D86" s="55"/>
      <c r="E86" s="55">
        <v>0</v>
      </c>
      <c r="F86" s="55"/>
      <c r="G86" s="55">
        <v>0</v>
      </c>
      <c r="H86" s="55"/>
      <c r="I86" s="55">
        <f t="shared" si="17"/>
        <v>0</v>
      </c>
      <c r="J86" s="55"/>
      <c r="K86" s="55">
        <f t="shared" si="18"/>
        <v>0</v>
      </c>
      <c r="L86" s="55"/>
      <c r="M86" s="55">
        <v>0</v>
      </c>
      <c r="N86" s="55"/>
      <c r="O86" s="55">
        <v>0</v>
      </c>
      <c r="P86" s="55"/>
      <c r="Q86" s="55">
        <v>0</v>
      </c>
      <c r="R86" s="55"/>
      <c r="S86" s="55">
        <v>0</v>
      </c>
      <c r="T86" s="55"/>
      <c r="U86" s="55">
        <f t="shared" si="19"/>
        <v>0</v>
      </c>
      <c r="V86" s="54"/>
      <c r="W86" s="101" t="s">
        <v>74</v>
      </c>
      <c r="X86" s="54"/>
      <c r="Y86" s="55">
        <v>0</v>
      </c>
      <c r="Z86" s="51"/>
      <c r="AA86" s="55">
        <v>0</v>
      </c>
      <c r="AB86" s="51"/>
      <c r="AC86" s="55">
        <v>0</v>
      </c>
      <c r="AD86" s="51"/>
      <c r="AE86" s="56">
        <f t="shared" si="20"/>
        <v>0</v>
      </c>
      <c r="AF86" s="56"/>
      <c r="AG86" s="55">
        <v>0</v>
      </c>
      <c r="AH86" s="56"/>
      <c r="AI86" s="55">
        <v>0</v>
      </c>
      <c r="AJ86" s="51"/>
      <c r="AK86" s="55">
        <v>0</v>
      </c>
      <c r="AL86" s="51"/>
      <c r="AM86" s="51">
        <v>0</v>
      </c>
      <c r="AN86" s="51"/>
      <c r="AO86" s="56">
        <f t="shared" si="21"/>
        <v>0</v>
      </c>
      <c r="AP86" s="56"/>
      <c r="AQ86" s="51">
        <v>0</v>
      </c>
      <c r="AR86" s="51"/>
      <c r="AS86" s="51">
        <v>0</v>
      </c>
      <c r="AT86" s="51"/>
      <c r="AU86" s="51">
        <f t="shared" si="22"/>
        <v>0</v>
      </c>
      <c r="AV86" s="54"/>
      <c r="AW86" s="101" t="s">
        <v>74</v>
      </c>
      <c r="AX86" s="54"/>
      <c r="AY86" s="51">
        <v>0</v>
      </c>
      <c r="AZ86" s="51"/>
      <c r="BA86" s="51">
        <v>0</v>
      </c>
      <c r="BB86" s="51"/>
      <c r="BC86" s="51">
        <v>0</v>
      </c>
      <c r="BD86" s="51"/>
      <c r="BE86" s="51">
        <v>0</v>
      </c>
      <c r="BF86" s="51"/>
      <c r="BG86" s="51">
        <f t="shared" si="24"/>
        <v>0</v>
      </c>
      <c r="BH86" s="1"/>
    </row>
    <row r="87" spans="1:60" ht="12.75" hidden="1">
      <c r="A87" s="44" t="s">
        <v>75</v>
      </c>
      <c r="B87" s="54"/>
      <c r="C87" s="55">
        <f t="shared" si="23"/>
        <v>0</v>
      </c>
      <c r="D87" s="55"/>
      <c r="E87" s="55">
        <v>0</v>
      </c>
      <c r="F87" s="55"/>
      <c r="G87" s="55">
        <v>0</v>
      </c>
      <c r="H87" s="55"/>
      <c r="I87" s="55">
        <f t="shared" si="17"/>
        <v>0</v>
      </c>
      <c r="J87" s="55"/>
      <c r="K87" s="55">
        <f t="shared" si="18"/>
        <v>0</v>
      </c>
      <c r="L87" s="55"/>
      <c r="M87" s="55">
        <v>0</v>
      </c>
      <c r="N87" s="55"/>
      <c r="O87" s="55">
        <v>0</v>
      </c>
      <c r="P87" s="55"/>
      <c r="Q87" s="55">
        <v>0</v>
      </c>
      <c r="R87" s="55"/>
      <c r="S87" s="55">
        <v>0</v>
      </c>
      <c r="T87" s="55"/>
      <c r="U87" s="55">
        <f t="shared" si="19"/>
        <v>0</v>
      </c>
      <c r="V87" s="54"/>
      <c r="W87" s="101" t="s">
        <v>75</v>
      </c>
      <c r="X87" s="54"/>
      <c r="Y87" s="55">
        <v>0</v>
      </c>
      <c r="Z87" s="51"/>
      <c r="AA87" s="55">
        <v>0</v>
      </c>
      <c r="AB87" s="51"/>
      <c r="AC87" s="55">
        <v>0</v>
      </c>
      <c r="AD87" s="51"/>
      <c r="AE87" s="56">
        <f t="shared" si="20"/>
        <v>0</v>
      </c>
      <c r="AF87" s="56"/>
      <c r="AG87" s="55">
        <v>0</v>
      </c>
      <c r="AH87" s="56"/>
      <c r="AI87" s="55">
        <v>0</v>
      </c>
      <c r="AJ87" s="51"/>
      <c r="AK87" s="55">
        <v>0</v>
      </c>
      <c r="AL87" s="51"/>
      <c r="AM87" s="51">
        <v>0</v>
      </c>
      <c r="AN87" s="51"/>
      <c r="AO87" s="56">
        <f t="shared" si="21"/>
        <v>0</v>
      </c>
      <c r="AP87" s="56"/>
      <c r="AQ87" s="51">
        <v>0</v>
      </c>
      <c r="AR87" s="51"/>
      <c r="AS87" s="51">
        <v>0</v>
      </c>
      <c r="AT87" s="51"/>
      <c r="AU87" s="51">
        <f t="shared" si="22"/>
        <v>0</v>
      </c>
      <c r="AV87" s="54"/>
      <c r="AW87" s="101" t="s">
        <v>75</v>
      </c>
      <c r="AX87" s="54"/>
      <c r="AY87" s="51">
        <v>0</v>
      </c>
      <c r="AZ87" s="51"/>
      <c r="BA87" s="51">
        <v>0</v>
      </c>
      <c r="BB87" s="51"/>
      <c r="BC87" s="51">
        <v>0</v>
      </c>
      <c r="BD87" s="51"/>
      <c r="BE87" s="51">
        <v>0</v>
      </c>
      <c r="BF87" s="51"/>
      <c r="BG87" s="51">
        <f t="shared" si="24"/>
        <v>0</v>
      </c>
      <c r="BH87" s="1"/>
    </row>
    <row r="88" spans="1:60" ht="12.75" hidden="1">
      <c r="A88" s="44" t="s">
        <v>76</v>
      </c>
      <c r="B88" s="54"/>
      <c r="C88" s="55">
        <f t="shared" si="23"/>
        <v>0</v>
      </c>
      <c r="D88" s="55"/>
      <c r="E88" s="55">
        <v>0</v>
      </c>
      <c r="F88" s="55"/>
      <c r="G88" s="55">
        <v>0</v>
      </c>
      <c r="H88" s="55"/>
      <c r="I88" s="55">
        <f t="shared" si="17"/>
        <v>0</v>
      </c>
      <c r="J88" s="55"/>
      <c r="K88" s="55">
        <f t="shared" si="18"/>
        <v>0</v>
      </c>
      <c r="L88" s="55"/>
      <c r="M88" s="55">
        <v>0</v>
      </c>
      <c r="N88" s="55"/>
      <c r="O88" s="55">
        <v>0</v>
      </c>
      <c r="P88" s="55"/>
      <c r="Q88" s="55">
        <v>0</v>
      </c>
      <c r="R88" s="55"/>
      <c r="S88" s="55">
        <v>0</v>
      </c>
      <c r="T88" s="55"/>
      <c r="U88" s="55">
        <f t="shared" si="19"/>
        <v>0</v>
      </c>
      <c r="V88" s="54"/>
      <c r="W88" s="101" t="s">
        <v>76</v>
      </c>
      <c r="X88" s="54"/>
      <c r="Y88" s="55">
        <v>0</v>
      </c>
      <c r="Z88" s="51"/>
      <c r="AA88" s="55">
        <v>0</v>
      </c>
      <c r="AB88" s="51"/>
      <c r="AC88" s="55">
        <v>0</v>
      </c>
      <c r="AD88" s="51"/>
      <c r="AE88" s="56">
        <f t="shared" si="20"/>
        <v>0</v>
      </c>
      <c r="AF88" s="56"/>
      <c r="AG88" s="55">
        <v>0</v>
      </c>
      <c r="AH88" s="56"/>
      <c r="AI88" s="55">
        <v>0</v>
      </c>
      <c r="AJ88" s="51"/>
      <c r="AK88" s="55">
        <v>0</v>
      </c>
      <c r="AL88" s="51"/>
      <c r="AM88" s="51">
        <v>0</v>
      </c>
      <c r="AN88" s="51"/>
      <c r="AO88" s="56">
        <f t="shared" si="21"/>
        <v>0</v>
      </c>
      <c r="AP88" s="56"/>
      <c r="AQ88" s="51">
        <v>0</v>
      </c>
      <c r="AR88" s="51"/>
      <c r="AS88" s="51">
        <v>0</v>
      </c>
      <c r="AT88" s="51"/>
      <c r="AU88" s="51">
        <f t="shared" si="22"/>
        <v>0</v>
      </c>
      <c r="AV88" s="54"/>
      <c r="AW88" s="101" t="s">
        <v>76</v>
      </c>
      <c r="AX88" s="54"/>
      <c r="AY88" s="51">
        <v>0</v>
      </c>
      <c r="AZ88" s="51"/>
      <c r="BA88" s="51">
        <v>0</v>
      </c>
      <c r="BB88" s="51"/>
      <c r="BC88" s="51">
        <v>0</v>
      </c>
      <c r="BD88" s="51"/>
      <c r="BE88" s="51">
        <v>0</v>
      </c>
      <c r="BF88" s="51"/>
      <c r="BG88" s="51">
        <f t="shared" si="24"/>
        <v>0</v>
      </c>
      <c r="BH88" s="1"/>
    </row>
    <row r="89" spans="1:60" ht="12.75" hidden="1">
      <c r="A89" s="44" t="s">
        <v>77</v>
      </c>
      <c r="B89" s="54"/>
      <c r="C89" s="55">
        <f t="shared" si="23"/>
        <v>0</v>
      </c>
      <c r="D89" s="55"/>
      <c r="E89" s="55">
        <v>0</v>
      </c>
      <c r="F89" s="55"/>
      <c r="G89" s="55">
        <v>0</v>
      </c>
      <c r="H89" s="55"/>
      <c r="I89" s="55">
        <f t="shared" si="17"/>
        <v>0</v>
      </c>
      <c r="J89" s="55"/>
      <c r="K89" s="55">
        <f t="shared" si="18"/>
        <v>0</v>
      </c>
      <c r="L89" s="55"/>
      <c r="M89" s="55">
        <v>0</v>
      </c>
      <c r="N89" s="55"/>
      <c r="O89" s="55">
        <v>0</v>
      </c>
      <c r="P89" s="55"/>
      <c r="Q89" s="55">
        <v>0</v>
      </c>
      <c r="R89" s="55"/>
      <c r="S89" s="55">
        <v>0</v>
      </c>
      <c r="T89" s="55"/>
      <c r="U89" s="55">
        <f t="shared" si="19"/>
        <v>0</v>
      </c>
      <c r="V89" s="54"/>
      <c r="W89" s="101" t="s">
        <v>77</v>
      </c>
      <c r="X89" s="54"/>
      <c r="Y89" s="55">
        <v>0</v>
      </c>
      <c r="Z89" s="51"/>
      <c r="AA89" s="55">
        <v>0</v>
      </c>
      <c r="AB89" s="51"/>
      <c r="AC89" s="55">
        <v>0</v>
      </c>
      <c r="AD89" s="51"/>
      <c r="AE89" s="56">
        <f t="shared" si="20"/>
        <v>0</v>
      </c>
      <c r="AF89" s="56"/>
      <c r="AG89" s="55">
        <v>0</v>
      </c>
      <c r="AH89" s="56"/>
      <c r="AI89" s="55">
        <v>0</v>
      </c>
      <c r="AJ89" s="51"/>
      <c r="AK89" s="55">
        <v>0</v>
      </c>
      <c r="AL89" s="51"/>
      <c r="AM89" s="51">
        <v>0</v>
      </c>
      <c r="AN89" s="51"/>
      <c r="AO89" s="56">
        <f t="shared" si="21"/>
        <v>0</v>
      </c>
      <c r="AP89" s="56"/>
      <c r="AQ89" s="51">
        <v>0</v>
      </c>
      <c r="AR89" s="51"/>
      <c r="AS89" s="51">
        <v>0</v>
      </c>
      <c r="AT89" s="51"/>
      <c r="AU89" s="51">
        <f t="shared" si="22"/>
        <v>0</v>
      </c>
      <c r="AV89" s="54"/>
      <c r="AW89" s="101" t="s">
        <v>77</v>
      </c>
      <c r="AX89" s="54"/>
      <c r="AY89" s="51">
        <v>0</v>
      </c>
      <c r="AZ89" s="51"/>
      <c r="BA89" s="51">
        <v>0</v>
      </c>
      <c r="BB89" s="51"/>
      <c r="BC89" s="51">
        <v>0</v>
      </c>
      <c r="BD89" s="51"/>
      <c r="BE89" s="51">
        <v>0</v>
      </c>
      <c r="BF89" s="51"/>
      <c r="BG89" s="51">
        <f t="shared" si="24"/>
        <v>0</v>
      </c>
      <c r="BH89" s="1"/>
    </row>
    <row r="90" spans="1:60" ht="12.75" hidden="1">
      <c r="A90" s="44" t="s">
        <v>78</v>
      </c>
      <c r="B90" s="54"/>
      <c r="C90" s="55">
        <f t="shared" si="23"/>
        <v>0</v>
      </c>
      <c r="D90" s="55"/>
      <c r="E90" s="55">
        <v>0</v>
      </c>
      <c r="F90" s="55"/>
      <c r="G90" s="55">
        <v>0</v>
      </c>
      <c r="H90" s="55"/>
      <c r="I90" s="55">
        <f t="shared" si="17"/>
        <v>0</v>
      </c>
      <c r="J90" s="55"/>
      <c r="K90" s="55">
        <f t="shared" si="18"/>
        <v>0</v>
      </c>
      <c r="L90" s="55"/>
      <c r="M90" s="55">
        <v>0</v>
      </c>
      <c r="N90" s="55"/>
      <c r="O90" s="55">
        <v>0</v>
      </c>
      <c r="P90" s="55"/>
      <c r="Q90" s="55">
        <v>0</v>
      </c>
      <c r="R90" s="55"/>
      <c r="S90" s="55">
        <v>0</v>
      </c>
      <c r="T90" s="55"/>
      <c r="U90" s="55">
        <f t="shared" si="19"/>
        <v>0</v>
      </c>
      <c r="V90" s="54"/>
      <c r="W90" s="101" t="s">
        <v>78</v>
      </c>
      <c r="X90" s="54"/>
      <c r="Y90" s="55">
        <v>0</v>
      </c>
      <c r="Z90" s="51"/>
      <c r="AA90" s="55">
        <v>0</v>
      </c>
      <c r="AB90" s="51"/>
      <c r="AC90" s="55">
        <v>0</v>
      </c>
      <c r="AD90" s="51"/>
      <c r="AE90" s="56">
        <f t="shared" si="20"/>
        <v>0</v>
      </c>
      <c r="AF90" s="56"/>
      <c r="AG90" s="55">
        <v>0</v>
      </c>
      <c r="AH90" s="56"/>
      <c r="AI90" s="55">
        <v>0</v>
      </c>
      <c r="AJ90" s="51"/>
      <c r="AK90" s="55">
        <v>0</v>
      </c>
      <c r="AL90" s="51"/>
      <c r="AM90" s="51">
        <v>0</v>
      </c>
      <c r="AN90" s="51"/>
      <c r="AO90" s="56">
        <f t="shared" si="21"/>
        <v>0</v>
      </c>
      <c r="AP90" s="56"/>
      <c r="AQ90" s="51">
        <v>0</v>
      </c>
      <c r="AR90" s="51"/>
      <c r="AS90" s="51">
        <v>0</v>
      </c>
      <c r="AT90" s="51"/>
      <c r="AU90" s="51">
        <f t="shared" si="22"/>
        <v>0</v>
      </c>
      <c r="AV90" s="54"/>
      <c r="AW90" s="101" t="s">
        <v>78</v>
      </c>
      <c r="AX90" s="54"/>
      <c r="AY90" s="51">
        <v>0</v>
      </c>
      <c r="AZ90" s="51"/>
      <c r="BA90" s="51">
        <v>0</v>
      </c>
      <c r="BB90" s="51"/>
      <c r="BC90" s="51">
        <v>0</v>
      </c>
      <c r="BD90" s="51"/>
      <c r="BE90" s="51">
        <v>0</v>
      </c>
      <c r="BF90" s="51"/>
      <c r="BG90" s="51">
        <f t="shared" si="24"/>
        <v>0</v>
      </c>
      <c r="BH90" s="1"/>
    </row>
    <row r="91" spans="1:60" ht="12.75" hidden="1">
      <c r="A91" s="44" t="s">
        <v>79</v>
      </c>
      <c r="B91" s="54"/>
      <c r="C91" s="55">
        <f t="shared" si="23"/>
        <v>0</v>
      </c>
      <c r="D91" s="55"/>
      <c r="E91" s="55">
        <v>0</v>
      </c>
      <c r="F91" s="55"/>
      <c r="G91" s="55">
        <v>0</v>
      </c>
      <c r="H91" s="55"/>
      <c r="I91" s="55">
        <f t="shared" si="17"/>
        <v>0</v>
      </c>
      <c r="J91" s="55"/>
      <c r="K91" s="55">
        <f t="shared" si="18"/>
        <v>0</v>
      </c>
      <c r="L91" s="55"/>
      <c r="M91" s="55">
        <v>0</v>
      </c>
      <c r="N91" s="55"/>
      <c r="O91" s="55">
        <v>0</v>
      </c>
      <c r="P91" s="55"/>
      <c r="Q91" s="55">
        <v>0</v>
      </c>
      <c r="R91" s="55"/>
      <c r="S91" s="55">
        <v>0</v>
      </c>
      <c r="T91" s="55"/>
      <c r="U91" s="55">
        <f t="shared" si="19"/>
        <v>0</v>
      </c>
      <c r="V91" s="54"/>
      <c r="W91" s="101" t="s">
        <v>79</v>
      </c>
      <c r="X91" s="54"/>
      <c r="Y91" s="55">
        <v>0</v>
      </c>
      <c r="Z91" s="51"/>
      <c r="AA91" s="55">
        <v>0</v>
      </c>
      <c r="AB91" s="51"/>
      <c r="AC91" s="55">
        <v>0</v>
      </c>
      <c r="AD91" s="51"/>
      <c r="AE91" s="56">
        <f t="shared" si="20"/>
        <v>0</v>
      </c>
      <c r="AF91" s="56"/>
      <c r="AG91" s="55">
        <v>0</v>
      </c>
      <c r="AH91" s="56"/>
      <c r="AI91" s="55">
        <v>0</v>
      </c>
      <c r="AJ91" s="51"/>
      <c r="AK91" s="55">
        <v>0</v>
      </c>
      <c r="AL91" s="51"/>
      <c r="AM91" s="51">
        <v>0</v>
      </c>
      <c r="AN91" s="51"/>
      <c r="AO91" s="56">
        <f t="shared" si="21"/>
        <v>0</v>
      </c>
      <c r="AP91" s="56"/>
      <c r="AQ91" s="51">
        <v>0</v>
      </c>
      <c r="AR91" s="51"/>
      <c r="AS91" s="51">
        <v>0</v>
      </c>
      <c r="AT91" s="51"/>
      <c r="AU91" s="51">
        <f t="shared" si="22"/>
        <v>0</v>
      </c>
      <c r="AV91" s="54"/>
      <c r="AW91" s="101" t="s">
        <v>79</v>
      </c>
      <c r="AX91" s="54"/>
      <c r="AY91" s="51">
        <v>0</v>
      </c>
      <c r="AZ91" s="51"/>
      <c r="BA91" s="51">
        <v>0</v>
      </c>
      <c r="BB91" s="51"/>
      <c r="BC91" s="51">
        <v>0</v>
      </c>
      <c r="BD91" s="51"/>
      <c r="BE91" s="51">
        <v>0</v>
      </c>
      <c r="BF91" s="51"/>
      <c r="BG91" s="51">
        <f t="shared" si="24"/>
        <v>0</v>
      </c>
      <c r="BH91" s="1"/>
    </row>
    <row r="92" spans="1:60" ht="12.75" hidden="1">
      <c r="A92" s="44" t="s">
        <v>80</v>
      </c>
      <c r="B92" s="54"/>
      <c r="C92" s="55">
        <f t="shared" si="23"/>
        <v>0</v>
      </c>
      <c r="D92" s="55"/>
      <c r="E92" s="55">
        <v>0</v>
      </c>
      <c r="F92" s="55"/>
      <c r="G92" s="55">
        <v>0</v>
      </c>
      <c r="H92" s="55"/>
      <c r="I92" s="55">
        <f t="shared" si="17"/>
        <v>0</v>
      </c>
      <c r="J92" s="55"/>
      <c r="K92" s="55">
        <f t="shared" si="18"/>
        <v>0</v>
      </c>
      <c r="L92" s="55"/>
      <c r="M92" s="55">
        <v>0</v>
      </c>
      <c r="N92" s="55"/>
      <c r="O92" s="55">
        <v>0</v>
      </c>
      <c r="P92" s="55"/>
      <c r="Q92" s="55">
        <v>0</v>
      </c>
      <c r="R92" s="55"/>
      <c r="S92" s="55">
        <v>0</v>
      </c>
      <c r="T92" s="55"/>
      <c r="U92" s="55">
        <f t="shared" si="19"/>
        <v>0</v>
      </c>
      <c r="V92" s="54"/>
      <c r="W92" s="101" t="s">
        <v>80</v>
      </c>
      <c r="X92" s="54"/>
      <c r="Y92" s="55">
        <v>0</v>
      </c>
      <c r="Z92" s="51"/>
      <c r="AA92" s="55">
        <v>0</v>
      </c>
      <c r="AB92" s="51"/>
      <c r="AC92" s="55">
        <v>0</v>
      </c>
      <c r="AD92" s="51"/>
      <c r="AE92" s="56">
        <f t="shared" si="20"/>
        <v>0</v>
      </c>
      <c r="AF92" s="56"/>
      <c r="AG92" s="55">
        <v>0</v>
      </c>
      <c r="AH92" s="56"/>
      <c r="AI92" s="55">
        <v>0</v>
      </c>
      <c r="AJ92" s="51"/>
      <c r="AK92" s="55">
        <v>0</v>
      </c>
      <c r="AL92" s="51"/>
      <c r="AM92" s="51">
        <v>0</v>
      </c>
      <c r="AN92" s="51"/>
      <c r="AO92" s="56">
        <f t="shared" si="21"/>
        <v>0</v>
      </c>
      <c r="AP92" s="56"/>
      <c r="AQ92" s="51">
        <v>0</v>
      </c>
      <c r="AR92" s="51"/>
      <c r="AS92" s="51">
        <v>0</v>
      </c>
      <c r="AT92" s="51"/>
      <c r="AU92" s="51">
        <f t="shared" si="22"/>
        <v>0</v>
      </c>
      <c r="AV92" s="54"/>
      <c r="AW92" s="101" t="s">
        <v>80</v>
      </c>
      <c r="AX92" s="54"/>
      <c r="AY92" s="51">
        <v>0</v>
      </c>
      <c r="AZ92" s="51"/>
      <c r="BA92" s="51">
        <v>0</v>
      </c>
      <c r="BB92" s="51"/>
      <c r="BC92" s="51">
        <v>0</v>
      </c>
      <c r="BD92" s="51"/>
      <c r="BE92" s="51">
        <v>0</v>
      </c>
      <c r="BF92" s="51"/>
      <c r="BG92" s="51">
        <f t="shared" si="24"/>
        <v>0</v>
      </c>
      <c r="BH92" s="1"/>
    </row>
    <row r="93" spans="1:60" ht="12.75" hidden="1">
      <c r="A93" s="44" t="s">
        <v>81</v>
      </c>
      <c r="B93" s="54"/>
      <c r="C93" s="55">
        <f t="shared" si="23"/>
        <v>0</v>
      </c>
      <c r="D93" s="55"/>
      <c r="E93" s="55">
        <v>0</v>
      </c>
      <c r="F93" s="55"/>
      <c r="G93" s="55">
        <v>0</v>
      </c>
      <c r="H93" s="55"/>
      <c r="I93" s="55">
        <f t="shared" si="17"/>
        <v>0</v>
      </c>
      <c r="J93" s="55"/>
      <c r="K93" s="55">
        <f t="shared" si="18"/>
        <v>0</v>
      </c>
      <c r="L93" s="55"/>
      <c r="M93" s="55">
        <v>0</v>
      </c>
      <c r="N93" s="55"/>
      <c r="O93" s="55">
        <v>0</v>
      </c>
      <c r="P93" s="55"/>
      <c r="Q93" s="55">
        <v>0</v>
      </c>
      <c r="R93" s="55"/>
      <c r="S93" s="55">
        <v>0</v>
      </c>
      <c r="T93" s="55"/>
      <c r="U93" s="55">
        <f t="shared" si="19"/>
        <v>0</v>
      </c>
      <c r="V93" s="54"/>
      <c r="W93" s="101" t="s">
        <v>81</v>
      </c>
      <c r="X93" s="54"/>
      <c r="Y93" s="55">
        <v>0</v>
      </c>
      <c r="Z93" s="51"/>
      <c r="AA93" s="55">
        <v>0</v>
      </c>
      <c r="AB93" s="51"/>
      <c r="AC93" s="55">
        <v>0</v>
      </c>
      <c r="AD93" s="51"/>
      <c r="AE93" s="56">
        <f t="shared" si="20"/>
        <v>0</v>
      </c>
      <c r="AF93" s="56"/>
      <c r="AG93" s="55">
        <v>0</v>
      </c>
      <c r="AH93" s="56"/>
      <c r="AI93" s="55">
        <v>0</v>
      </c>
      <c r="AJ93" s="51"/>
      <c r="AK93" s="55">
        <v>0</v>
      </c>
      <c r="AL93" s="51"/>
      <c r="AM93" s="51">
        <v>0</v>
      </c>
      <c r="AN93" s="51"/>
      <c r="AO93" s="56">
        <f t="shared" si="21"/>
        <v>0</v>
      </c>
      <c r="AP93" s="56"/>
      <c r="AQ93" s="51">
        <v>0</v>
      </c>
      <c r="AR93" s="51"/>
      <c r="AS93" s="51">
        <v>0</v>
      </c>
      <c r="AT93" s="51"/>
      <c r="AU93" s="51">
        <f t="shared" si="22"/>
        <v>0</v>
      </c>
      <c r="AV93" s="54"/>
      <c r="AW93" s="101" t="s">
        <v>81</v>
      </c>
      <c r="AX93" s="54"/>
      <c r="AY93" s="51">
        <v>0</v>
      </c>
      <c r="AZ93" s="51"/>
      <c r="BA93" s="51">
        <v>0</v>
      </c>
      <c r="BB93" s="51"/>
      <c r="BC93" s="51">
        <v>0</v>
      </c>
      <c r="BD93" s="51"/>
      <c r="BE93" s="51">
        <v>0</v>
      </c>
      <c r="BF93" s="51"/>
      <c r="BG93" s="51">
        <f t="shared" si="24"/>
        <v>0</v>
      </c>
      <c r="BH93" s="1"/>
    </row>
    <row r="94" spans="1:60" ht="12.75" hidden="1">
      <c r="A94" s="44" t="s">
        <v>139</v>
      </c>
      <c r="B94" s="54"/>
      <c r="C94" s="55">
        <f t="shared" si="23"/>
        <v>0</v>
      </c>
      <c r="D94" s="55"/>
      <c r="E94" s="55">
        <v>0</v>
      </c>
      <c r="F94" s="55"/>
      <c r="G94" s="55">
        <v>0</v>
      </c>
      <c r="H94" s="55"/>
      <c r="I94" s="55">
        <f t="shared" si="17"/>
        <v>0</v>
      </c>
      <c r="J94" s="55"/>
      <c r="K94" s="55">
        <f t="shared" si="18"/>
        <v>0</v>
      </c>
      <c r="L94" s="55"/>
      <c r="M94" s="55">
        <v>0</v>
      </c>
      <c r="N94" s="55"/>
      <c r="O94" s="55">
        <v>0</v>
      </c>
      <c r="P94" s="55"/>
      <c r="Q94" s="55">
        <v>0</v>
      </c>
      <c r="R94" s="55"/>
      <c r="S94" s="55">
        <v>0</v>
      </c>
      <c r="T94" s="55"/>
      <c r="U94" s="55">
        <f t="shared" si="19"/>
        <v>0</v>
      </c>
      <c r="V94" s="54"/>
      <c r="W94" s="101" t="s">
        <v>139</v>
      </c>
      <c r="X94" s="54"/>
      <c r="Y94" s="55">
        <v>0</v>
      </c>
      <c r="Z94" s="51"/>
      <c r="AA94" s="55">
        <v>0</v>
      </c>
      <c r="AB94" s="51"/>
      <c r="AC94" s="55">
        <v>0</v>
      </c>
      <c r="AD94" s="51"/>
      <c r="AE94" s="56">
        <f t="shared" si="20"/>
        <v>0</v>
      </c>
      <c r="AF94" s="56"/>
      <c r="AG94" s="55">
        <v>0</v>
      </c>
      <c r="AH94" s="56"/>
      <c r="AI94" s="55">
        <v>0</v>
      </c>
      <c r="AJ94" s="51"/>
      <c r="AK94" s="55">
        <v>0</v>
      </c>
      <c r="AL94" s="51"/>
      <c r="AM94" s="51">
        <v>0</v>
      </c>
      <c r="AN94" s="51"/>
      <c r="AO94" s="56">
        <f t="shared" si="21"/>
        <v>0</v>
      </c>
      <c r="AP94" s="56"/>
      <c r="AQ94" s="51">
        <v>0</v>
      </c>
      <c r="AR94" s="51"/>
      <c r="AS94" s="51">
        <v>0</v>
      </c>
      <c r="AT94" s="51"/>
      <c r="AU94" s="51">
        <f t="shared" si="22"/>
        <v>0</v>
      </c>
      <c r="AV94" s="54"/>
      <c r="AW94" s="101" t="s">
        <v>139</v>
      </c>
      <c r="AX94" s="54"/>
      <c r="AY94" s="51">
        <v>0</v>
      </c>
      <c r="AZ94" s="51"/>
      <c r="BA94" s="51">
        <v>0</v>
      </c>
      <c r="BB94" s="51"/>
      <c r="BC94" s="51">
        <v>0</v>
      </c>
      <c r="BD94" s="51"/>
      <c r="BE94" s="51">
        <v>0</v>
      </c>
      <c r="BF94" s="51"/>
      <c r="BG94" s="51">
        <f t="shared" si="24"/>
        <v>0</v>
      </c>
      <c r="BH94" s="1"/>
    </row>
    <row r="95" spans="1:60" ht="12.75" hidden="1">
      <c r="A95" s="44" t="s">
        <v>178</v>
      </c>
      <c r="B95" s="54"/>
      <c r="C95" s="55">
        <f t="shared" si="23"/>
        <v>0</v>
      </c>
      <c r="D95" s="55"/>
      <c r="E95" s="55">
        <v>0</v>
      </c>
      <c r="F95" s="55"/>
      <c r="G95" s="55">
        <v>0</v>
      </c>
      <c r="H95" s="55"/>
      <c r="I95" s="55">
        <f t="shared" si="17"/>
        <v>0</v>
      </c>
      <c r="J95" s="55"/>
      <c r="K95" s="55">
        <f t="shared" si="18"/>
        <v>0</v>
      </c>
      <c r="L95" s="55"/>
      <c r="M95" s="55">
        <v>0</v>
      </c>
      <c r="N95" s="55"/>
      <c r="O95" s="55">
        <v>0</v>
      </c>
      <c r="P95" s="55"/>
      <c r="Q95" s="55">
        <v>0</v>
      </c>
      <c r="R95" s="55"/>
      <c r="S95" s="55">
        <v>0</v>
      </c>
      <c r="T95" s="55"/>
      <c r="U95" s="55">
        <f t="shared" si="19"/>
        <v>0</v>
      </c>
      <c r="V95" s="54"/>
      <c r="W95" s="101" t="s">
        <v>178</v>
      </c>
      <c r="X95" s="54"/>
      <c r="Y95" s="55">
        <v>0</v>
      </c>
      <c r="Z95" s="51"/>
      <c r="AA95" s="55">
        <v>0</v>
      </c>
      <c r="AB95" s="51"/>
      <c r="AC95" s="55">
        <v>0</v>
      </c>
      <c r="AD95" s="51"/>
      <c r="AE95" s="56">
        <f t="shared" si="20"/>
        <v>0</v>
      </c>
      <c r="AF95" s="56"/>
      <c r="AG95" s="55">
        <v>0</v>
      </c>
      <c r="AH95" s="56"/>
      <c r="AI95" s="55">
        <v>0</v>
      </c>
      <c r="AJ95" s="51"/>
      <c r="AK95" s="55">
        <v>0</v>
      </c>
      <c r="AL95" s="51"/>
      <c r="AM95" s="51">
        <v>0</v>
      </c>
      <c r="AN95" s="51"/>
      <c r="AO95" s="56">
        <f t="shared" si="21"/>
        <v>0</v>
      </c>
      <c r="AP95" s="56"/>
      <c r="AQ95" s="51">
        <v>0</v>
      </c>
      <c r="AR95" s="51"/>
      <c r="AS95" s="51">
        <v>0</v>
      </c>
      <c r="AT95" s="51"/>
      <c r="AU95" s="51">
        <f t="shared" si="22"/>
        <v>0</v>
      </c>
      <c r="AV95" s="54"/>
      <c r="AW95" s="101" t="s">
        <v>178</v>
      </c>
      <c r="AX95" s="54"/>
      <c r="AY95" s="51">
        <v>0</v>
      </c>
      <c r="AZ95" s="51"/>
      <c r="BA95" s="51">
        <v>0</v>
      </c>
      <c r="BB95" s="51"/>
      <c r="BC95" s="51">
        <v>0</v>
      </c>
      <c r="BD95" s="51"/>
      <c r="BE95" s="51">
        <v>0</v>
      </c>
      <c r="BF95" s="51"/>
      <c r="BG95" s="51">
        <f t="shared" si="24"/>
        <v>0</v>
      </c>
      <c r="BH95" s="1"/>
    </row>
    <row r="96" spans="1:60" ht="12.75" hidden="1">
      <c r="A96" s="44" t="s">
        <v>83</v>
      </c>
      <c r="B96" s="54"/>
      <c r="C96" s="55">
        <f t="shared" si="23"/>
        <v>0</v>
      </c>
      <c r="D96" s="55"/>
      <c r="E96" s="55">
        <v>0</v>
      </c>
      <c r="F96" s="55"/>
      <c r="G96" s="55">
        <v>0</v>
      </c>
      <c r="H96" s="55"/>
      <c r="I96" s="55">
        <f t="shared" si="17"/>
        <v>0</v>
      </c>
      <c r="J96" s="55"/>
      <c r="K96" s="55">
        <f t="shared" si="18"/>
        <v>0</v>
      </c>
      <c r="L96" s="55"/>
      <c r="M96" s="55">
        <v>0</v>
      </c>
      <c r="N96" s="55"/>
      <c r="O96" s="55">
        <v>0</v>
      </c>
      <c r="P96" s="55"/>
      <c r="Q96" s="55">
        <v>0</v>
      </c>
      <c r="R96" s="55"/>
      <c r="S96" s="55">
        <v>0</v>
      </c>
      <c r="T96" s="55"/>
      <c r="U96" s="55">
        <f t="shared" si="19"/>
        <v>0</v>
      </c>
      <c r="V96" s="55"/>
      <c r="W96" s="101" t="s">
        <v>83</v>
      </c>
      <c r="X96" s="55"/>
      <c r="Y96" s="55">
        <v>0</v>
      </c>
      <c r="Z96" s="51"/>
      <c r="AA96" s="55">
        <v>0</v>
      </c>
      <c r="AB96" s="51"/>
      <c r="AC96" s="55">
        <v>0</v>
      </c>
      <c r="AD96" s="51"/>
      <c r="AE96" s="56">
        <f t="shared" si="20"/>
        <v>0</v>
      </c>
      <c r="AF96" s="56"/>
      <c r="AG96" s="55">
        <v>0</v>
      </c>
      <c r="AH96" s="56"/>
      <c r="AI96" s="55">
        <v>0</v>
      </c>
      <c r="AJ96" s="51"/>
      <c r="AK96" s="55">
        <v>0</v>
      </c>
      <c r="AL96" s="51"/>
      <c r="AM96" s="51">
        <v>0</v>
      </c>
      <c r="AN96" s="51"/>
      <c r="AO96" s="56">
        <f t="shared" si="21"/>
        <v>0</v>
      </c>
      <c r="AP96" s="56"/>
      <c r="AQ96" s="51">
        <v>0</v>
      </c>
      <c r="AR96" s="51"/>
      <c r="AS96" s="51">
        <v>0</v>
      </c>
      <c r="AT96" s="51"/>
      <c r="AU96" s="51">
        <f t="shared" si="22"/>
        <v>0</v>
      </c>
      <c r="AV96" s="51"/>
      <c r="AW96" s="101" t="s">
        <v>83</v>
      </c>
      <c r="AX96" s="51"/>
      <c r="AY96" s="51">
        <v>0</v>
      </c>
      <c r="AZ96" s="51"/>
      <c r="BA96" s="51">
        <v>0</v>
      </c>
      <c r="BB96" s="51"/>
      <c r="BC96" s="51">
        <v>0</v>
      </c>
      <c r="BD96" s="51"/>
      <c r="BE96" s="51">
        <v>0</v>
      </c>
      <c r="BF96" s="51"/>
      <c r="BG96" s="51">
        <f t="shared" si="24"/>
        <v>0</v>
      </c>
      <c r="BH96" s="1"/>
    </row>
    <row r="97" spans="1:60" ht="12.75" hidden="1">
      <c r="A97" s="44" t="s">
        <v>179</v>
      </c>
      <c r="B97" s="54"/>
      <c r="C97" s="55">
        <f t="shared" si="23"/>
        <v>0</v>
      </c>
      <c r="D97" s="55"/>
      <c r="E97" s="55">
        <v>0</v>
      </c>
      <c r="F97" s="55"/>
      <c r="G97" s="55">
        <v>0</v>
      </c>
      <c r="H97" s="55"/>
      <c r="I97" s="55">
        <f>M97-K97</f>
        <v>0</v>
      </c>
      <c r="J97" s="55"/>
      <c r="K97" s="55">
        <f>SUM(BG97)</f>
        <v>0</v>
      </c>
      <c r="L97" s="55"/>
      <c r="M97" s="55">
        <v>0</v>
      </c>
      <c r="N97" s="55"/>
      <c r="O97" s="55">
        <v>0</v>
      </c>
      <c r="P97" s="55"/>
      <c r="Q97" s="55">
        <v>0</v>
      </c>
      <c r="R97" s="55"/>
      <c r="S97" s="55">
        <v>0</v>
      </c>
      <c r="T97" s="55"/>
      <c r="U97" s="55">
        <f>SUM(O97:S97)</f>
        <v>0</v>
      </c>
      <c r="V97" s="54"/>
      <c r="W97" s="101" t="s">
        <v>179</v>
      </c>
      <c r="X97" s="54"/>
      <c r="Y97" s="51">
        <v>0</v>
      </c>
      <c r="Z97" s="51"/>
      <c r="AA97" s="51">
        <v>0</v>
      </c>
      <c r="AB97" s="51"/>
      <c r="AC97" s="51">
        <v>0</v>
      </c>
      <c r="AD97" s="51"/>
      <c r="AE97" s="56">
        <f>+Y97-AA97-AC97</f>
        <v>0</v>
      </c>
      <c r="AF97" s="56"/>
      <c r="AG97" s="56">
        <v>0</v>
      </c>
      <c r="AH97" s="56"/>
      <c r="AI97" s="51">
        <v>0</v>
      </c>
      <c r="AJ97" s="51"/>
      <c r="AK97" s="51">
        <v>0</v>
      </c>
      <c r="AL97" s="51"/>
      <c r="AM97" s="51">
        <v>0</v>
      </c>
      <c r="AN97" s="51"/>
      <c r="AO97" s="56">
        <f>+AE97+AG97+AI97-AK97+AM97</f>
        <v>0</v>
      </c>
      <c r="AP97" s="56"/>
      <c r="AQ97" s="51">
        <v>0</v>
      </c>
      <c r="AR97" s="51"/>
      <c r="AS97" s="51">
        <v>0</v>
      </c>
      <c r="AT97" s="51"/>
      <c r="AU97" s="51">
        <f>+C97-I97</f>
        <v>0</v>
      </c>
      <c r="AV97" s="54"/>
      <c r="AW97" s="101" t="s">
        <v>179</v>
      </c>
      <c r="AX97" s="54"/>
      <c r="AY97" s="51">
        <v>0</v>
      </c>
      <c r="AZ97" s="51"/>
      <c r="BA97" s="51">
        <v>0</v>
      </c>
      <c r="BB97" s="51"/>
      <c r="BC97" s="51">
        <v>0</v>
      </c>
      <c r="BD97" s="51"/>
      <c r="BE97" s="51">
        <v>0</v>
      </c>
      <c r="BF97" s="51"/>
      <c r="BG97" s="51">
        <f>SUM(AY97:BE97)</f>
        <v>0</v>
      </c>
      <c r="BH97" s="1"/>
    </row>
    <row r="98" spans="1:60" ht="12.75">
      <c r="A98" s="44"/>
      <c r="B98" s="1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1"/>
      <c r="X98" s="102"/>
      <c r="Y98" s="102"/>
      <c r="Z98" s="102"/>
      <c r="AA98" s="103"/>
      <c r="AB98" s="103"/>
      <c r="AC98" s="103"/>
      <c r="AD98" s="103"/>
      <c r="AE98" s="104"/>
      <c r="AF98" s="104"/>
      <c r="AG98" s="104"/>
      <c r="AH98" s="104"/>
      <c r="AI98" s="104"/>
      <c r="AJ98" s="104"/>
      <c r="AK98" s="104"/>
      <c r="AL98" s="104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101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1"/>
    </row>
    <row r="99" spans="1:60" ht="12.75">
      <c r="A99" s="44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44"/>
      <c r="X99" s="12"/>
      <c r="Y99" s="12"/>
      <c r="Z99" s="12"/>
      <c r="AA99" s="10"/>
      <c r="AB99" s="10"/>
      <c r="AC99" s="10"/>
      <c r="AD99" s="10"/>
      <c r="AE99" s="11"/>
      <c r="AF99" s="11"/>
      <c r="AG99" s="11"/>
      <c r="AH99" s="11"/>
      <c r="AI99" s="11"/>
      <c r="AJ99" s="11"/>
      <c r="AK99" s="11"/>
      <c r="AL99" s="1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44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ht="12.75">
      <c r="A100" s="44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44"/>
      <c r="X100" s="12"/>
      <c r="Y100" s="12">
        <f>SUM(Y11:Y98)</f>
        <v>21905680</v>
      </c>
      <c r="Z100" s="12"/>
      <c r="AA100" s="10"/>
      <c r="AB100" s="10"/>
      <c r="AC100" s="10">
        <f>SUM(AA12:AC98)</f>
        <v>25106760</v>
      </c>
      <c r="AD100" s="10"/>
      <c r="AE100" s="11"/>
      <c r="AF100" s="11"/>
      <c r="AG100" s="11"/>
      <c r="AH100" s="11"/>
      <c r="AI100" s="11"/>
      <c r="AJ100" s="11"/>
      <c r="AK100" s="11"/>
      <c r="AL100" s="1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44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ht="12.75">
      <c r="A101" s="44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44"/>
      <c r="X101" s="12"/>
      <c r="Y101" s="12"/>
      <c r="Z101" s="12"/>
      <c r="AA101" s="10"/>
      <c r="AB101" s="10"/>
      <c r="AC101" s="10"/>
      <c r="AD101" s="10"/>
      <c r="AE101" s="11"/>
      <c r="AF101" s="11"/>
      <c r="AG101" s="11"/>
      <c r="AH101" s="11"/>
      <c r="AI101" s="11"/>
      <c r="AJ101" s="11"/>
      <c r="AK101" s="11"/>
      <c r="AL101" s="1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44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ht="12.75">
      <c r="A102" s="44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0"/>
      <c r="AB102" s="10"/>
      <c r="AC102" s="10"/>
      <c r="AD102" s="10"/>
      <c r="AE102" s="11"/>
      <c r="AF102" s="11"/>
      <c r="AG102" s="11"/>
      <c r="AH102" s="11"/>
      <c r="AI102" s="11"/>
      <c r="AJ102" s="11"/>
      <c r="AK102" s="11"/>
      <c r="AL102" s="1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2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12.75">
      <c r="A103" s="4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0"/>
      <c r="AB103" s="10"/>
      <c r="AC103" s="10"/>
      <c r="AD103" s="10"/>
      <c r="AE103" s="11"/>
      <c r="AF103" s="11"/>
      <c r="AG103" s="11"/>
      <c r="AH103" s="11"/>
      <c r="AI103" s="11"/>
      <c r="AJ103" s="11"/>
      <c r="AK103" s="11"/>
      <c r="AL103" s="1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12.75">
      <c r="A104" s="4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0"/>
      <c r="AB104" s="10"/>
      <c r="AC104" s="10"/>
      <c r="AD104" s="10"/>
      <c r="AE104" s="11"/>
      <c r="AF104" s="11"/>
      <c r="AG104" s="11"/>
      <c r="AH104" s="11"/>
      <c r="AI104" s="11"/>
      <c r="AJ104" s="11"/>
      <c r="AK104" s="11"/>
      <c r="AL104" s="1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ht="12.75">
      <c r="A105" s="44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0"/>
      <c r="AB105" s="10"/>
      <c r="AC105" s="10"/>
      <c r="AD105" s="10"/>
      <c r="AE105" s="11"/>
      <c r="AF105" s="11"/>
      <c r="AG105" s="11"/>
      <c r="AH105" s="11"/>
      <c r="AI105" s="11"/>
      <c r="AJ105" s="11"/>
      <c r="AK105" s="11"/>
      <c r="AL105" s="1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ht="12.75">
      <c r="A106" s="4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0"/>
      <c r="AB106" s="10"/>
      <c r="AC106" s="10"/>
      <c r="AD106" s="10"/>
      <c r="AE106" s="11"/>
      <c r="AF106" s="11"/>
      <c r="AG106" s="11"/>
      <c r="AH106" s="11"/>
      <c r="AI106" s="11"/>
      <c r="AJ106" s="11"/>
      <c r="AK106" s="11"/>
      <c r="AL106" s="1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ht="12.75">
      <c r="A107" s="44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0"/>
      <c r="AB107" s="10"/>
      <c r="AC107" s="10"/>
      <c r="AD107" s="10"/>
      <c r="AE107" s="11"/>
      <c r="AF107" s="11"/>
      <c r="AG107" s="11"/>
      <c r="AH107" s="11"/>
      <c r="AI107" s="11"/>
      <c r="AJ107" s="11"/>
      <c r="AK107" s="11"/>
      <c r="AL107" s="1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12.75">
      <c r="A108" s="4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0"/>
      <c r="AB108" s="10"/>
      <c r="AC108" s="10"/>
      <c r="AD108" s="10"/>
      <c r="AE108" s="11"/>
      <c r="AF108" s="11"/>
      <c r="AG108" s="11"/>
      <c r="AH108" s="11"/>
      <c r="AI108" s="11"/>
      <c r="AJ108" s="11"/>
      <c r="AK108" s="11"/>
      <c r="AL108" s="1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2.75">
      <c r="A109" s="4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0"/>
      <c r="AB109" s="10"/>
      <c r="AC109" s="10"/>
      <c r="AD109" s="10"/>
      <c r="AE109" s="11"/>
      <c r="AF109" s="11"/>
      <c r="AG109" s="11"/>
      <c r="AH109" s="11"/>
      <c r="AI109" s="11"/>
      <c r="AJ109" s="11"/>
      <c r="AK109" s="11"/>
      <c r="AL109" s="1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ht="12.75">
      <c r="A110" s="44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0"/>
      <c r="AB110" s="10"/>
      <c r="AC110" s="10"/>
      <c r="AD110" s="10"/>
      <c r="AE110" s="11"/>
      <c r="AF110" s="11"/>
      <c r="AG110" s="11"/>
      <c r="AH110" s="11"/>
      <c r="AI110" s="11"/>
      <c r="AJ110" s="11"/>
      <c r="AK110" s="11"/>
      <c r="AL110" s="1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2:60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0"/>
      <c r="AB111" s="10"/>
      <c r="AC111" s="10"/>
      <c r="AD111" s="10"/>
      <c r="AE111" s="11"/>
      <c r="AF111" s="11"/>
      <c r="AG111" s="11"/>
      <c r="AH111" s="11"/>
      <c r="AI111" s="11"/>
      <c r="AJ111" s="11"/>
      <c r="AK111" s="11"/>
      <c r="AL111" s="1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</sheetData>
  <printOptions/>
  <pageMargins left="1" right="1" top="0.5" bottom="0.5" header="0" footer="0.25"/>
  <pageSetup firstPageNumber="52" useFirstPageNumber="1" horizontalDpi="600" verticalDpi="600" orientation="portrait" scale="95" r:id="rId1"/>
  <headerFooter alignWithMargins="0">
    <oddFooter>&amp;C&amp;"Times New Roman,Regular"&amp;11&amp;P</oddFooter>
  </headerFooter>
  <colBreaks count="2" manualBreakCount="2">
    <brk id="22" max="97" man="1"/>
    <brk id="48" max="9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U108"/>
  <sheetViews>
    <sheetView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" sqref="A6"/>
    </sheetView>
  </sheetViews>
  <sheetFormatPr defaultColWidth="9.140625" defaultRowHeight="12.75"/>
  <cols>
    <col min="1" max="1" width="20.421875" style="13" customWidth="1"/>
    <col min="2" max="2" width="1.7109375" style="13" customWidth="1"/>
    <col min="3" max="3" width="11.7109375" style="13" customWidth="1"/>
    <col min="4" max="4" width="1.7109375" style="13" customWidth="1"/>
    <col min="5" max="5" width="11.7109375" style="13" customWidth="1"/>
    <col min="6" max="6" width="1.7109375" style="13" customWidth="1"/>
    <col min="7" max="7" width="11.7109375" style="13" customWidth="1"/>
    <col min="8" max="8" width="1.7109375" style="13" customWidth="1"/>
    <col min="9" max="9" width="11.7109375" style="13" customWidth="1"/>
    <col min="10" max="10" width="1.7109375" style="13" customWidth="1"/>
    <col min="11" max="11" width="11.7109375" style="13" customWidth="1"/>
    <col min="12" max="12" width="1.7109375" style="13" customWidth="1"/>
    <col min="13" max="13" width="12.7109375" style="13" customWidth="1"/>
    <col min="14" max="14" width="1.7109375" style="13" customWidth="1"/>
    <col min="15" max="15" width="12.7109375" style="13" customWidth="1"/>
    <col min="16" max="16" width="1.7109375" style="13" customWidth="1"/>
    <col min="17" max="17" width="12.7109375" style="13" customWidth="1"/>
    <col min="18" max="18" width="10.140625" style="13" bestFit="1" customWidth="1"/>
    <col min="19" max="19" width="11.8515625" style="13" customWidth="1"/>
    <col min="20" max="20" width="10.140625" style="13" bestFit="1" customWidth="1"/>
    <col min="21" max="21" width="12.28125" style="0" bestFit="1" customWidth="1"/>
  </cols>
  <sheetData>
    <row r="1" spans="1:20" s="16" customFormat="1" ht="12.75">
      <c r="A1" s="34" t="s">
        <v>248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40"/>
      <c r="S1" s="40"/>
      <c r="T1" s="14"/>
    </row>
    <row r="2" spans="1:20" s="16" customFormat="1" ht="12.75">
      <c r="A2" s="34" t="s">
        <v>252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0"/>
      <c r="S2" s="40"/>
      <c r="T2" s="14"/>
    </row>
    <row r="3" spans="1:20" s="16" customFormat="1" ht="12.75">
      <c r="A3" s="34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0"/>
      <c r="S3" s="40"/>
      <c r="T3" s="14"/>
    </row>
    <row r="4" spans="1:20" s="16" customFormat="1" ht="12.75">
      <c r="A4" s="24" t="s">
        <v>191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0"/>
      <c r="S4" s="40"/>
      <c r="T4" s="14"/>
    </row>
    <row r="5" spans="1:19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2"/>
      <c r="S5" s="32"/>
    </row>
    <row r="6" spans="1:18" ht="12.75">
      <c r="A6" s="34"/>
      <c r="B6" s="21"/>
      <c r="C6" s="21" t="s">
        <v>103</v>
      </c>
      <c r="D6" s="21"/>
      <c r="E6" s="21" t="s">
        <v>2</v>
      </c>
      <c r="F6" s="21"/>
      <c r="G6" s="21"/>
      <c r="H6" s="21"/>
      <c r="I6" s="21"/>
      <c r="J6" s="21"/>
      <c r="K6" s="21"/>
      <c r="L6" s="21"/>
      <c r="M6" s="21"/>
      <c r="N6" s="21"/>
      <c r="O6" s="21" t="s">
        <v>124</v>
      </c>
      <c r="P6" s="21"/>
      <c r="Q6" s="21"/>
      <c r="R6" s="32"/>
    </row>
    <row r="7" spans="1:21" ht="12.75">
      <c r="A7" s="21"/>
      <c r="B7" s="21"/>
      <c r="C7" s="21" t="s">
        <v>107</v>
      </c>
      <c r="D7" s="21"/>
      <c r="E7" s="21" t="s">
        <v>127</v>
      </c>
      <c r="F7" s="21"/>
      <c r="G7" s="21" t="s">
        <v>126</v>
      </c>
      <c r="H7" s="21"/>
      <c r="I7" s="21" t="s">
        <v>114</v>
      </c>
      <c r="J7" s="21"/>
      <c r="K7" s="21" t="s">
        <v>87</v>
      </c>
      <c r="L7" s="21"/>
      <c r="M7" s="21" t="s">
        <v>125</v>
      </c>
      <c r="N7" s="21"/>
      <c r="O7" s="21" t="s">
        <v>105</v>
      </c>
      <c r="P7" s="21"/>
      <c r="Q7" s="21" t="s">
        <v>4</v>
      </c>
      <c r="R7" s="32"/>
      <c r="S7" s="32" t="s">
        <v>230</v>
      </c>
      <c r="U7" t="s">
        <v>228</v>
      </c>
    </row>
    <row r="8" spans="1:21" ht="12.75">
      <c r="A8" s="77" t="s">
        <v>5</v>
      </c>
      <c r="B8" s="71"/>
      <c r="C8" s="77" t="s">
        <v>113</v>
      </c>
      <c r="D8" s="71"/>
      <c r="E8" s="77" t="s">
        <v>113</v>
      </c>
      <c r="F8" s="71"/>
      <c r="G8" s="77" t="s">
        <v>130</v>
      </c>
      <c r="H8" s="71"/>
      <c r="I8" s="77" t="s">
        <v>131</v>
      </c>
      <c r="J8" s="71"/>
      <c r="K8" s="77" t="s">
        <v>128</v>
      </c>
      <c r="L8" s="71"/>
      <c r="M8" s="77" t="s">
        <v>129</v>
      </c>
      <c r="N8" s="71"/>
      <c r="O8" s="77" t="s">
        <v>122</v>
      </c>
      <c r="P8" s="71"/>
      <c r="Q8" s="77" t="s">
        <v>122</v>
      </c>
      <c r="R8" s="30"/>
      <c r="S8" s="110" t="s">
        <v>231</v>
      </c>
      <c r="U8" s="111" t="s">
        <v>232</v>
      </c>
    </row>
    <row r="9" spans="1:21" ht="12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30"/>
      <c r="S9" s="30"/>
      <c r="U9" s="78"/>
    </row>
    <row r="10" spans="1:21" ht="12.75">
      <c r="A10" s="32" t="s">
        <v>13</v>
      </c>
      <c r="B10" s="32"/>
      <c r="C10" s="146">
        <f>13086882+6092536-9084</f>
        <v>19170334</v>
      </c>
      <c r="D10" s="146"/>
      <c r="E10" s="146">
        <v>7569809</v>
      </c>
      <c r="F10" s="146"/>
      <c r="G10" s="146">
        <v>154000</v>
      </c>
      <c r="H10" s="146"/>
      <c r="I10" s="146">
        <f>103138+174465+995670+220631</f>
        <v>1493904</v>
      </c>
      <c r="J10" s="146"/>
      <c r="K10" s="146">
        <v>19884</v>
      </c>
      <c r="L10" s="146"/>
      <c r="M10" s="146">
        <f>2752552+102675</f>
        <v>2855227</v>
      </c>
      <c r="N10" s="146"/>
      <c r="O10" s="146">
        <v>0</v>
      </c>
      <c r="P10" s="146"/>
      <c r="Q10" s="146">
        <f>SUM(C10:O10)</f>
        <v>31263158</v>
      </c>
      <c r="R10" s="33"/>
      <c r="S10" s="146">
        <f>3187507+473772</f>
        <v>3661279</v>
      </c>
      <c r="U10" s="54">
        <v>0</v>
      </c>
    </row>
    <row r="11" spans="1:21" ht="12.75">
      <c r="A11" s="32" t="s">
        <v>14</v>
      </c>
      <c r="B11" s="32"/>
      <c r="C11" s="88">
        <v>4725000</v>
      </c>
      <c r="D11" s="88"/>
      <c r="E11" s="88">
        <v>0</v>
      </c>
      <c r="F11" s="88"/>
      <c r="G11" s="88">
        <v>0</v>
      </c>
      <c r="H11" s="88"/>
      <c r="I11" s="88">
        <v>0</v>
      </c>
      <c r="J11" s="88"/>
      <c r="K11" s="88">
        <v>0</v>
      </c>
      <c r="L11" s="88"/>
      <c r="M11" s="88">
        <v>912774</v>
      </c>
      <c r="N11" s="88"/>
      <c r="O11" s="88">
        <v>0</v>
      </c>
      <c r="P11" s="88"/>
      <c r="Q11" s="88">
        <f aca="true" t="shared" si="0" ref="Q11:Q28">SUM(C11:O11)</f>
        <v>5637774</v>
      </c>
      <c r="R11" s="33"/>
      <c r="S11" s="88">
        <v>675391</v>
      </c>
      <c r="U11" s="54">
        <v>0</v>
      </c>
    </row>
    <row r="12" spans="1:21" ht="12.75">
      <c r="A12" s="32" t="s">
        <v>15</v>
      </c>
      <c r="B12" s="32"/>
      <c r="C12" s="88">
        <v>7265603</v>
      </c>
      <c r="D12" s="88"/>
      <c r="E12" s="88">
        <v>0</v>
      </c>
      <c r="F12" s="88"/>
      <c r="G12" s="88">
        <v>0</v>
      </c>
      <c r="H12" s="88"/>
      <c r="I12" s="88">
        <v>45000</v>
      </c>
      <c r="J12" s="88"/>
      <c r="K12" s="88">
        <v>461873</v>
      </c>
      <c r="L12" s="88"/>
      <c r="M12" s="88">
        <v>2951124</v>
      </c>
      <c r="N12" s="88"/>
      <c r="O12" s="88">
        <v>0</v>
      </c>
      <c r="P12" s="88"/>
      <c r="Q12" s="88">
        <f t="shared" si="0"/>
        <v>10723600</v>
      </c>
      <c r="R12" s="33"/>
      <c r="S12" s="88">
        <v>2027011</v>
      </c>
      <c r="U12" s="54">
        <v>0</v>
      </c>
    </row>
    <row r="13" spans="1:21" ht="12.75">
      <c r="A13" s="32" t="s">
        <v>16</v>
      </c>
      <c r="B13" s="32"/>
      <c r="C13" s="88">
        <v>2230000</v>
      </c>
      <c r="D13" s="88"/>
      <c r="E13" s="88">
        <v>0</v>
      </c>
      <c r="F13" s="88"/>
      <c r="G13" s="88">
        <f>914000+12529</f>
        <v>926529</v>
      </c>
      <c r="H13" s="88"/>
      <c r="I13" s="88">
        <v>910069</v>
      </c>
      <c r="J13" s="88"/>
      <c r="K13" s="88">
        <v>97961</v>
      </c>
      <c r="L13" s="88"/>
      <c r="M13" s="88">
        <v>1319436</v>
      </c>
      <c r="N13" s="88"/>
      <c r="O13" s="88">
        <v>2799895</v>
      </c>
      <c r="P13" s="88"/>
      <c r="Q13" s="88">
        <f t="shared" si="0"/>
        <v>8283890</v>
      </c>
      <c r="R13" s="33"/>
      <c r="S13" s="88">
        <v>1552406</v>
      </c>
      <c r="U13" s="54">
        <v>0</v>
      </c>
    </row>
    <row r="14" spans="1:21" ht="12.75">
      <c r="A14" s="32" t="s">
        <v>17</v>
      </c>
      <c r="B14" s="32"/>
      <c r="C14" s="88">
        <v>1195000</v>
      </c>
      <c r="D14" s="88"/>
      <c r="E14" s="88">
        <v>1325000</v>
      </c>
      <c r="F14" s="88"/>
      <c r="G14" s="88">
        <v>498808</v>
      </c>
      <c r="H14" s="88"/>
      <c r="I14" s="88">
        <v>92060</v>
      </c>
      <c r="J14" s="88"/>
      <c r="K14" s="88">
        <v>0</v>
      </c>
      <c r="L14" s="88"/>
      <c r="M14" s="88">
        <v>1493649</v>
      </c>
      <c r="N14" s="88"/>
      <c r="O14" s="88">
        <v>0</v>
      </c>
      <c r="P14" s="88"/>
      <c r="Q14" s="88">
        <f t="shared" si="0"/>
        <v>4604517</v>
      </c>
      <c r="R14" s="33"/>
      <c r="S14" s="88">
        <v>1688509</v>
      </c>
      <c r="U14" s="54">
        <v>0</v>
      </c>
    </row>
    <row r="15" spans="1:21" ht="12.75">
      <c r="A15" s="32" t="s">
        <v>18</v>
      </c>
      <c r="B15" s="32"/>
      <c r="C15" s="88">
        <v>3095047</v>
      </c>
      <c r="D15" s="88"/>
      <c r="E15" s="88">
        <v>0</v>
      </c>
      <c r="F15" s="88"/>
      <c r="G15" s="88">
        <v>3480000</v>
      </c>
      <c r="H15" s="88"/>
      <c r="I15" s="88">
        <v>314451</v>
      </c>
      <c r="J15" s="88"/>
      <c r="K15" s="88">
        <v>180871</v>
      </c>
      <c r="L15" s="88"/>
      <c r="M15" s="88">
        <v>2498383</v>
      </c>
      <c r="N15" s="88"/>
      <c r="O15" s="88">
        <v>0</v>
      </c>
      <c r="P15" s="88"/>
      <c r="Q15" s="88">
        <f t="shared" si="0"/>
        <v>9568752</v>
      </c>
      <c r="R15" s="33"/>
      <c r="S15" s="88">
        <v>1525370</v>
      </c>
      <c r="U15" s="54">
        <v>0</v>
      </c>
    </row>
    <row r="16" spans="1:21" s="13" customFormat="1" ht="12.75" hidden="1">
      <c r="A16" s="32" t="s">
        <v>96</v>
      </c>
      <c r="B16" s="32"/>
      <c r="C16" s="88">
        <v>0</v>
      </c>
      <c r="D16" s="88"/>
      <c r="E16" s="88">
        <v>0</v>
      </c>
      <c r="F16" s="88"/>
      <c r="G16" s="88">
        <v>0</v>
      </c>
      <c r="H16" s="88"/>
      <c r="I16" s="88">
        <v>0</v>
      </c>
      <c r="J16" s="88"/>
      <c r="K16" s="88">
        <v>0</v>
      </c>
      <c r="L16" s="88"/>
      <c r="M16" s="88">
        <v>0</v>
      </c>
      <c r="N16" s="88"/>
      <c r="O16" s="88">
        <v>0</v>
      </c>
      <c r="P16" s="88"/>
      <c r="Q16" s="88">
        <f t="shared" si="0"/>
        <v>0</v>
      </c>
      <c r="R16" s="33"/>
      <c r="S16" s="88">
        <v>0</v>
      </c>
      <c r="U16" s="54">
        <v>0</v>
      </c>
    </row>
    <row r="17" spans="1:21" ht="12.75">
      <c r="A17" s="32" t="s">
        <v>19</v>
      </c>
      <c r="B17" s="32"/>
      <c r="C17" s="88">
        <v>58404314</v>
      </c>
      <c r="D17" s="88"/>
      <c r="E17" s="88">
        <v>9981000</v>
      </c>
      <c r="F17" s="88"/>
      <c r="G17" s="88">
        <v>15470000</v>
      </c>
      <c r="H17" s="88"/>
      <c r="I17" s="88">
        <v>1972576</v>
      </c>
      <c r="J17" s="88"/>
      <c r="K17" s="88">
        <v>104283</v>
      </c>
      <c r="L17" s="88"/>
      <c r="M17" s="88">
        <v>5941159</v>
      </c>
      <c r="N17" s="88"/>
      <c r="O17" s="88">
        <v>23810000</v>
      </c>
      <c r="P17" s="88"/>
      <c r="Q17" s="88">
        <f t="shared" si="0"/>
        <v>115683332</v>
      </c>
      <c r="R17" s="33"/>
      <c r="S17" s="88">
        <v>21920677</v>
      </c>
      <c r="U17" s="54">
        <v>0</v>
      </c>
    </row>
    <row r="18" spans="1:21" ht="12.75">
      <c r="A18" s="32" t="s">
        <v>20</v>
      </c>
      <c r="B18" s="32"/>
      <c r="C18" s="88">
        <v>160000</v>
      </c>
      <c r="D18" s="88"/>
      <c r="E18" s="88">
        <v>28000</v>
      </c>
      <c r="F18" s="88"/>
      <c r="G18" s="88">
        <v>0</v>
      </c>
      <c r="H18" s="88"/>
      <c r="I18" s="88">
        <v>14652</v>
      </c>
      <c r="J18" s="88"/>
      <c r="K18" s="88">
        <v>6109</v>
      </c>
      <c r="L18" s="88"/>
      <c r="M18" s="88">
        <v>1158375</v>
      </c>
      <c r="N18" s="88"/>
      <c r="O18" s="88">
        <v>50000</v>
      </c>
      <c r="P18" s="88"/>
      <c r="Q18" s="88">
        <f t="shared" si="0"/>
        <v>1417136</v>
      </c>
      <c r="R18" s="33"/>
      <c r="S18" s="88">
        <v>148199</v>
      </c>
      <c r="U18" s="54">
        <v>0</v>
      </c>
    </row>
    <row r="19" spans="1:21" ht="12.75" hidden="1">
      <c r="A19" s="30" t="s">
        <v>177</v>
      </c>
      <c r="B19" s="30"/>
      <c r="C19" s="88">
        <v>0</v>
      </c>
      <c r="D19" s="88"/>
      <c r="E19" s="88">
        <v>0</v>
      </c>
      <c r="F19" s="88"/>
      <c r="G19" s="88">
        <v>0</v>
      </c>
      <c r="H19" s="88"/>
      <c r="I19" s="88">
        <v>0</v>
      </c>
      <c r="J19" s="88"/>
      <c r="K19" s="88">
        <v>0</v>
      </c>
      <c r="L19" s="88"/>
      <c r="M19" s="88">
        <v>0</v>
      </c>
      <c r="N19" s="88"/>
      <c r="O19" s="88">
        <v>0</v>
      </c>
      <c r="P19" s="88"/>
      <c r="Q19" s="88">
        <f t="shared" si="0"/>
        <v>0</v>
      </c>
      <c r="R19" s="33"/>
      <c r="S19" s="88">
        <v>0</v>
      </c>
      <c r="U19" s="54">
        <v>0</v>
      </c>
    </row>
    <row r="20" spans="1:21" ht="12.75">
      <c r="A20" s="32" t="s">
        <v>21</v>
      </c>
      <c r="B20" s="32"/>
      <c r="C20" s="88">
        <v>5390000</v>
      </c>
      <c r="D20" s="88"/>
      <c r="E20" s="88">
        <v>0</v>
      </c>
      <c r="F20" s="88"/>
      <c r="G20" s="88">
        <v>0</v>
      </c>
      <c r="H20" s="88"/>
      <c r="I20" s="88">
        <v>0</v>
      </c>
      <c r="J20" s="88"/>
      <c r="K20" s="88">
        <v>0</v>
      </c>
      <c r="L20" s="88"/>
      <c r="M20" s="88">
        <v>4664782</v>
      </c>
      <c r="N20" s="88"/>
      <c r="O20" s="88">
        <f>19214-20613</f>
        <v>-1399</v>
      </c>
      <c r="P20" s="88"/>
      <c r="Q20" s="88">
        <f t="shared" si="0"/>
        <v>10053383</v>
      </c>
      <c r="R20" s="33"/>
      <c r="S20" s="88">
        <v>947191</v>
      </c>
      <c r="U20" s="54">
        <v>0</v>
      </c>
    </row>
    <row r="21" spans="1:21" ht="12.75">
      <c r="A21" s="32" t="s">
        <v>188</v>
      </c>
      <c r="B21" s="32"/>
      <c r="C21" s="88">
        <v>25350000</v>
      </c>
      <c r="D21" s="88"/>
      <c r="E21" s="88">
        <v>6838000</v>
      </c>
      <c r="F21" s="88"/>
      <c r="G21" s="88">
        <v>0</v>
      </c>
      <c r="H21" s="88"/>
      <c r="I21" s="88">
        <v>0</v>
      </c>
      <c r="J21" s="88"/>
      <c r="K21" s="88">
        <v>0</v>
      </c>
      <c r="L21" s="88"/>
      <c r="M21" s="88">
        <v>4495031</v>
      </c>
      <c r="N21" s="88"/>
      <c r="O21" s="88">
        <v>294955</v>
      </c>
      <c r="P21" s="88"/>
      <c r="Q21" s="88">
        <f t="shared" si="0"/>
        <v>36977986</v>
      </c>
      <c r="R21" s="33"/>
      <c r="S21" s="88">
        <v>6459384</v>
      </c>
      <c r="U21" s="54">
        <v>0</v>
      </c>
    </row>
    <row r="22" spans="1:21" ht="14.25" customHeight="1">
      <c r="A22" s="32" t="s">
        <v>22</v>
      </c>
      <c r="B22" s="32"/>
      <c r="C22" s="88">
        <v>4220000</v>
      </c>
      <c r="D22" s="88"/>
      <c r="E22" s="88">
        <v>42550</v>
      </c>
      <c r="F22" s="88"/>
      <c r="G22" s="88">
        <v>0</v>
      </c>
      <c r="H22" s="88"/>
      <c r="I22" s="88">
        <v>1366218</v>
      </c>
      <c r="J22" s="88"/>
      <c r="K22" s="88">
        <v>4342</v>
      </c>
      <c r="L22" s="88"/>
      <c r="M22" s="88">
        <v>1081463</v>
      </c>
      <c r="N22" s="88"/>
      <c r="O22" s="88">
        <v>0</v>
      </c>
      <c r="P22" s="88"/>
      <c r="Q22" s="88">
        <f t="shared" si="0"/>
        <v>6714573</v>
      </c>
      <c r="R22" s="33"/>
      <c r="S22" s="88">
        <v>1113880</v>
      </c>
      <c r="U22" s="54">
        <v>0</v>
      </c>
    </row>
    <row r="23" spans="1:21" ht="12.75" hidden="1">
      <c r="A23" s="32" t="s">
        <v>23</v>
      </c>
      <c r="B23" s="32"/>
      <c r="C23" s="88">
        <v>0</v>
      </c>
      <c r="D23" s="88"/>
      <c r="E23" s="88">
        <v>0</v>
      </c>
      <c r="F23" s="88"/>
      <c r="G23" s="88">
        <v>0</v>
      </c>
      <c r="H23" s="88"/>
      <c r="I23" s="88">
        <v>0</v>
      </c>
      <c r="J23" s="88"/>
      <c r="K23" s="88">
        <v>0</v>
      </c>
      <c r="L23" s="88"/>
      <c r="M23" s="88">
        <v>0</v>
      </c>
      <c r="N23" s="88"/>
      <c r="O23" s="88">
        <v>0</v>
      </c>
      <c r="P23" s="88"/>
      <c r="Q23" s="88">
        <f t="shared" si="0"/>
        <v>0</v>
      </c>
      <c r="R23" s="33"/>
      <c r="S23" s="88">
        <v>0</v>
      </c>
      <c r="U23" s="54">
        <v>0</v>
      </c>
    </row>
    <row r="24" spans="1:21" ht="12.75" hidden="1">
      <c r="A24" s="32" t="s">
        <v>24</v>
      </c>
      <c r="B24" s="32"/>
      <c r="C24" s="88">
        <v>0</v>
      </c>
      <c r="D24" s="88"/>
      <c r="E24" s="88">
        <v>0</v>
      </c>
      <c r="F24" s="88"/>
      <c r="G24" s="88">
        <v>0</v>
      </c>
      <c r="H24" s="88"/>
      <c r="I24" s="88">
        <v>0</v>
      </c>
      <c r="J24" s="88"/>
      <c r="K24" s="88">
        <v>0</v>
      </c>
      <c r="L24" s="88"/>
      <c r="M24" s="88">
        <v>0</v>
      </c>
      <c r="N24" s="88"/>
      <c r="O24" s="88">
        <v>0</v>
      </c>
      <c r="P24" s="88"/>
      <c r="Q24" s="88">
        <f t="shared" si="0"/>
        <v>0</v>
      </c>
      <c r="R24" s="33"/>
      <c r="S24" s="88">
        <v>0</v>
      </c>
      <c r="U24" s="54">
        <v>0</v>
      </c>
    </row>
    <row r="25" spans="1:21" ht="12.75" hidden="1">
      <c r="A25" s="32" t="s">
        <v>186</v>
      </c>
      <c r="B25" s="32"/>
      <c r="C25" s="88">
        <v>0</v>
      </c>
      <c r="D25" s="88"/>
      <c r="E25" s="88">
        <v>0</v>
      </c>
      <c r="F25" s="88"/>
      <c r="G25" s="88">
        <v>0</v>
      </c>
      <c r="H25" s="88"/>
      <c r="I25" s="88">
        <v>0</v>
      </c>
      <c r="J25" s="88"/>
      <c r="K25" s="88">
        <v>0</v>
      </c>
      <c r="L25" s="88"/>
      <c r="M25" s="88">
        <v>0</v>
      </c>
      <c r="N25" s="88"/>
      <c r="O25" s="88">
        <v>0</v>
      </c>
      <c r="P25" s="88"/>
      <c r="Q25" s="88">
        <f t="shared" si="0"/>
        <v>0</v>
      </c>
      <c r="R25" s="33"/>
      <c r="S25" s="88">
        <v>0</v>
      </c>
      <c r="U25" s="54">
        <v>-13554195</v>
      </c>
    </row>
    <row r="26" spans="1:21" ht="12.75">
      <c r="A26" s="32" t="s">
        <v>186</v>
      </c>
      <c r="B26" s="32"/>
      <c r="C26" s="88">
        <v>12999629</v>
      </c>
      <c r="D26" s="88"/>
      <c r="E26" s="88">
        <v>0</v>
      </c>
      <c r="F26" s="88"/>
      <c r="G26" s="88">
        <v>0</v>
      </c>
      <c r="H26" s="88"/>
      <c r="I26" s="88">
        <v>0</v>
      </c>
      <c r="J26" s="88"/>
      <c r="K26" s="88">
        <v>0</v>
      </c>
      <c r="L26" s="88"/>
      <c r="M26" s="88">
        <v>985692</v>
      </c>
      <c r="N26" s="88"/>
      <c r="O26" s="88">
        <v>0</v>
      </c>
      <c r="P26" s="88"/>
      <c r="Q26" s="88">
        <f t="shared" si="0"/>
        <v>13985321</v>
      </c>
      <c r="R26" s="33"/>
      <c r="S26" s="88">
        <v>431126</v>
      </c>
      <c r="U26" s="54">
        <v>0</v>
      </c>
    </row>
    <row r="27" spans="1:21" ht="12.75">
      <c r="A27" s="32" t="s">
        <v>25</v>
      </c>
      <c r="B27" s="32"/>
      <c r="C27" s="88">
        <v>224861000</v>
      </c>
      <c r="D27" s="88"/>
      <c r="E27" s="88">
        <f>109950000+11721000</f>
        <v>121671000</v>
      </c>
      <c r="F27" s="88"/>
      <c r="G27" s="88">
        <v>0</v>
      </c>
      <c r="H27" s="88"/>
      <c r="I27" s="88">
        <v>5752000</v>
      </c>
      <c r="J27" s="88"/>
      <c r="K27" s="88">
        <f>7881000+475000+23555000</f>
        <v>31911000</v>
      </c>
      <c r="L27" s="88"/>
      <c r="M27" s="88">
        <f>23862000+2050000+2598000+17889000</f>
        <v>46399000</v>
      </c>
      <c r="N27" s="88"/>
      <c r="O27" s="88">
        <v>0</v>
      </c>
      <c r="P27" s="88"/>
      <c r="Q27" s="88">
        <f t="shared" si="0"/>
        <v>430594000</v>
      </c>
      <c r="R27" s="33"/>
      <c r="S27" s="88">
        <v>44756000</v>
      </c>
      <c r="U27" s="54">
        <v>0</v>
      </c>
    </row>
    <row r="28" spans="1:21" ht="12.75">
      <c r="A28" s="32" t="s">
        <v>26</v>
      </c>
      <c r="B28" s="32"/>
      <c r="C28" s="88">
        <v>3870000</v>
      </c>
      <c r="D28" s="88"/>
      <c r="E28" s="88">
        <v>0</v>
      </c>
      <c r="F28" s="88"/>
      <c r="G28" s="88">
        <v>125000</v>
      </c>
      <c r="H28" s="88"/>
      <c r="I28" s="88">
        <v>0</v>
      </c>
      <c r="J28" s="88"/>
      <c r="K28" s="88">
        <v>40162</v>
      </c>
      <c r="L28" s="88"/>
      <c r="M28" s="88">
        <v>1409058</v>
      </c>
      <c r="N28" s="88"/>
      <c r="O28" s="88">
        <v>0</v>
      </c>
      <c r="P28" s="88"/>
      <c r="Q28" s="88">
        <f t="shared" si="0"/>
        <v>5444220</v>
      </c>
      <c r="R28" s="33"/>
      <c r="S28" s="88">
        <v>887351</v>
      </c>
      <c r="U28" s="54">
        <v>0</v>
      </c>
    </row>
    <row r="29" spans="1:21" ht="12.75">
      <c r="A29" s="32" t="s">
        <v>27</v>
      </c>
      <c r="B29" s="32"/>
      <c r="C29" s="88">
        <v>2070000</v>
      </c>
      <c r="D29" s="88"/>
      <c r="E29" s="88">
        <v>1178500</v>
      </c>
      <c r="F29" s="88"/>
      <c r="G29" s="88">
        <v>0</v>
      </c>
      <c r="H29" s="88"/>
      <c r="I29" s="88">
        <f>315932+918286</f>
        <v>1234218</v>
      </c>
      <c r="J29" s="88"/>
      <c r="K29" s="88">
        <v>0</v>
      </c>
      <c r="L29" s="88"/>
      <c r="M29" s="88">
        <v>995349</v>
      </c>
      <c r="N29" s="88"/>
      <c r="O29" s="88">
        <v>250000</v>
      </c>
      <c r="P29" s="88"/>
      <c r="Q29" s="88">
        <f aca="true" t="shared" si="1" ref="Q29:Q75">SUM(C29:O29)</f>
        <v>5728067</v>
      </c>
      <c r="R29" s="33"/>
      <c r="S29" s="88">
        <v>623840</v>
      </c>
      <c r="U29" s="54">
        <f>+Q29-'St of Net Assets - GA'!M28-'LT _Lia - GA'!S29</f>
        <v>0</v>
      </c>
    </row>
    <row r="30" spans="1:21" ht="12.75">
      <c r="A30" s="32" t="s">
        <v>28</v>
      </c>
      <c r="B30" s="32"/>
      <c r="C30" s="88">
        <v>44513890</v>
      </c>
      <c r="D30" s="88"/>
      <c r="E30" s="88">
        <v>440000</v>
      </c>
      <c r="F30" s="88"/>
      <c r="G30" s="88">
        <v>0</v>
      </c>
      <c r="H30" s="88"/>
      <c r="I30" s="88">
        <v>0</v>
      </c>
      <c r="J30" s="88"/>
      <c r="K30" s="88">
        <v>0</v>
      </c>
      <c r="L30" s="88"/>
      <c r="M30" s="88">
        <v>2790601</v>
      </c>
      <c r="N30" s="88"/>
      <c r="O30" s="88">
        <v>0</v>
      </c>
      <c r="P30" s="88"/>
      <c r="Q30" s="88">
        <f t="shared" si="1"/>
        <v>47744491</v>
      </c>
      <c r="R30" s="33"/>
      <c r="S30" s="88">
        <v>3568329</v>
      </c>
      <c r="U30" s="54">
        <f>+Q30-'St of Net Assets - GA'!M29-'LT _Lia - GA'!S30</f>
        <v>0</v>
      </c>
    </row>
    <row r="31" spans="1:21" ht="12.75">
      <c r="A31" s="32" t="s">
        <v>29</v>
      </c>
      <c r="B31" s="32"/>
      <c r="C31" s="88">
        <v>7840000</v>
      </c>
      <c r="D31" s="88"/>
      <c r="E31" s="88">
        <v>1395778</v>
      </c>
      <c r="F31" s="88"/>
      <c r="G31" s="88">
        <v>15120000</v>
      </c>
      <c r="H31" s="88"/>
      <c r="I31" s="88">
        <v>0</v>
      </c>
      <c r="J31" s="88"/>
      <c r="K31" s="88">
        <v>0</v>
      </c>
      <c r="L31" s="88"/>
      <c r="M31" s="88">
        <v>1604103</v>
      </c>
      <c r="N31" s="88"/>
      <c r="O31" s="88">
        <v>4959</v>
      </c>
      <c r="P31" s="88"/>
      <c r="Q31" s="88">
        <f t="shared" si="1"/>
        <v>25964840</v>
      </c>
      <c r="R31" s="33"/>
      <c r="S31" s="88">
        <v>16515033</v>
      </c>
      <c r="U31" s="54">
        <f>+Q31-'St of Net Assets - GA'!M30-'LT _Lia - GA'!S31</f>
        <v>0</v>
      </c>
    </row>
    <row r="32" spans="1:21" ht="12.75">
      <c r="A32" s="32" t="s">
        <v>30</v>
      </c>
      <c r="B32" s="32"/>
      <c r="C32" s="88">
        <v>20693781</v>
      </c>
      <c r="D32" s="88"/>
      <c r="E32" s="88">
        <v>2908182</v>
      </c>
      <c r="F32" s="88"/>
      <c r="G32" s="88">
        <v>0</v>
      </c>
      <c r="H32" s="88"/>
      <c r="I32" s="88">
        <v>104816</v>
      </c>
      <c r="J32" s="88"/>
      <c r="K32" s="88">
        <v>623264</v>
      </c>
      <c r="L32" s="88"/>
      <c r="M32" s="88">
        <v>3511393</v>
      </c>
      <c r="N32" s="88"/>
      <c r="O32" s="88">
        <v>15553</v>
      </c>
      <c r="P32" s="88"/>
      <c r="Q32" s="88">
        <f t="shared" si="1"/>
        <v>27856989</v>
      </c>
      <c r="R32" s="33"/>
      <c r="S32" s="88">
        <v>2824816</v>
      </c>
      <c r="U32" s="54">
        <f>+Q32-'St of Net Assets - GA'!M31-'LT _Lia - GA'!S32</f>
        <v>0</v>
      </c>
    </row>
    <row r="33" spans="1:21" ht="12.75" hidden="1">
      <c r="A33" s="32" t="s">
        <v>31</v>
      </c>
      <c r="B33" s="32"/>
      <c r="C33" s="88">
        <v>0</v>
      </c>
      <c r="D33" s="88"/>
      <c r="E33" s="88">
        <v>0</v>
      </c>
      <c r="F33" s="88"/>
      <c r="G33" s="88">
        <v>0</v>
      </c>
      <c r="H33" s="88"/>
      <c r="I33" s="88">
        <v>0</v>
      </c>
      <c r="J33" s="88"/>
      <c r="K33" s="88">
        <v>0</v>
      </c>
      <c r="L33" s="88"/>
      <c r="M33" s="88">
        <v>0</v>
      </c>
      <c r="N33" s="88"/>
      <c r="O33" s="88">
        <v>0</v>
      </c>
      <c r="P33" s="88"/>
      <c r="Q33" s="88">
        <f t="shared" si="1"/>
        <v>0</v>
      </c>
      <c r="R33" s="33"/>
      <c r="S33" s="88">
        <v>0</v>
      </c>
      <c r="U33" s="54">
        <f>+Q33-'St of Net Assets - GA'!M32-'LT _Lia - GA'!S33</f>
        <v>0</v>
      </c>
    </row>
    <row r="34" spans="1:21" ht="12.75">
      <c r="A34" s="32" t="s">
        <v>32</v>
      </c>
      <c r="B34" s="32"/>
      <c r="C34" s="88">
        <v>128315000</v>
      </c>
      <c r="D34" s="88"/>
      <c r="E34" s="88">
        <v>3175000</v>
      </c>
      <c r="F34" s="88"/>
      <c r="G34" s="88">
        <v>2014000</v>
      </c>
      <c r="H34" s="88"/>
      <c r="I34" s="88">
        <v>0</v>
      </c>
      <c r="J34" s="88"/>
      <c r="K34" s="88">
        <v>736000</v>
      </c>
      <c r="L34" s="88"/>
      <c r="M34" s="88">
        <v>31242000</v>
      </c>
      <c r="N34" s="88"/>
      <c r="O34" s="88">
        <f>9012000+3400000</f>
        <v>12412000</v>
      </c>
      <c r="P34" s="88"/>
      <c r="Q34" s="88">
        <f t="shared" si="1"/>
        <v>177894000</v>
      </c>
      <c r="R34" s="33"/>
      <c r="S34" s="88">
        <v>14894000</v>
      </c>
      <c r="U34" s="54">
        <f>+Q34-'St of Net Assets - GA'!M33-'LT _Lia - GA'!S34</f>
        <v>0</v>
      </c>
    </row>
    <row r="35" spans="1:21" ht="12.75">
      <c r="A35" s="32" t="s">
        <v>33</v>
      </c>
      <c r="B35" s="32"/>
      <c r="C35" s="88">
        <v>1732492</v>
      </c>
      <c r="D35" s="88"/>
      <c r="E35" s="88">
        <v>0</v>
      </c>
      <c r="F35" s="88"/>
      <c r="G35" s="88">
        <v>0</v>
      </c>
      <c r="H35" s="88"/>
      <c r="I35" s="88">
        <v>0</v>
      </c>
      <c r="J35" s="88"/>
      <c r="K35" s="88">
        <v>118</v>
      </c>
      <c r="L35" s="88"/>
      <c r="M35" s="88">
        <v>776103</v>
      </c>
      <c r="N35" s="88"/>
      <c r="O35" s="88">
        <v>450188</v>
      </c>
      <c r="P35" s="88"/>
      <c r="Q35" s="88">
        <f t="shared" si="1"/>
        <v>2958901</v>
      </c>
      <c r="R35" s="33"/>
      <c r="S35" s="88">
        <v>780412</v>
      </c>
      <c r="U35" s="54">
        <f>+Q35-'St of Net Assets - GA'!M34-'LT _Lia - GA'!S35</f>
        <v>0</v>
      </c>
    </row>
    <row r="36" spans="1:21" ht="12.75">
      <c r="A36" s="32" t="s">
        <v>34</v>
      </c>
      <c r="B36" s="32"/>
      <c r="C36" s="88">
        <v>595000</v>
      </c>
      <c r="D36" s="88"/>
      <c r="E36" s="88">
        <v>0</v>
      </c>
      <c r="F36" s="88"/>
      <c r="G36" s="88">
        <v>0</v>
      </c>
      <c r="H36" s="88"/>
      <c r="I36" s="88">
        <v>60034</v>
      </c>
      <c r="J36" s="88"/>
      <c r="K36" s="88">
        <v>13024</v>
      </c>
      <c r="L36" s="88"/>
      <c r="M36" s="88">
        <v>1397598</v>
      </c>
      <c r="N36" s="88"/>
      <c r="O36" s="88">
        <v>0</v>
      </c>
      <c r="P36" s="88"/>
      <c r="Q36" s="88">
        <f t="shared" si="1"/>
        <v>2065656</v>
      </c>
      <c r="R36" s="33"/>
      <c r="S36" s="88">
        <v>1117598</v>
      </c>
      <c r="U36" s="54">
        <f>+Q36-'St of Net Assets - GA'!M35-'LT _Lia - GA'!S36</f>
        <v>0</v>
      </c>
    </row>
    <row r="37" spans="1:21" ht="12.75">
      <c r="A37" s="32" t="s">
        <v>35</v>
      </c>
      <c r="B37" s="32"/>
      <c r="C37" s="88">
        <v>455000</v>
      </c>
      <c r="D37" s="88"/>
      <c r="E37" s="88">
        <v>3388962</v>
      </c>
      <c r="F37" s="88"/>
      <c r="G37" s="88">
        <v>800000</v>
      </c>
      <c r="H37" s="88"/>
      <c r="I37" s="88">
        <v>0</v>
      </c>
      <c r="J37" s="88"/>
      <c r="K37" s="88">
        <v>0</v>
      </c>
      <c r="L37" s="88"/>
      <c r="M37" s="88">
        <v>1645035</v>
      </c>
      <c r="N37" s="88"/>
      <c r="O37" s="88">
        <v>0</v>
      </c>
      <c r="P37" s="88"/>
      <c r="Q37" s="88">
        <f t="shared" si="1"/>
        <v>6288997</v>
      </c>
      <c r="R37" s="33"/>
      <c r="S37" s="88">
        <v>499112</v>
      </c>
      <c r="U37" s="54">
        <f>+Q37-'St of Net Assets - GA'!M36-'LT _Lia - GA'!S37</f>
        <v>0</v>
      </c>
    </row>
    <row r="38" spans="1:21" ht="12.75">
      <c r="A38" s="32" t="s">
        <v>189</v>
      </c>
      <c r="B38" s="32"/>
      <c r="C38" s="88">
        <v>15500000</v>
      </c>
      <c r="D38" s="88"/>
      <c r="E38" s="88">
        <v>385000</v>
      </c>
      <c r="F38" s="88"/>
      <c r="G38" s="88">
        <v>990000</v>
      </c>
      <c r="H38" s="88"/>
      <c r="I38" s="88">
        <v>0</v>
      </c>
      <c r="J38" s="88"/>
      <c r="K38" s="88">
        <v>0</v>
      </c>
      <c r="L38" s="88"/>
      <c r="M38" s="88">
        <v>4552516</v>
      </c>
      <c r="N38" s="88"/>
      <c r="O38" s="88">
        <v>1611348</v>
      </c>
      <c r="P38" s="88"/>
      <c r="Q38" s="88">
        <f t="shared" si="1"/>
        <v>23038864</v>
      </c>
      <c r="R38" s="33"/>
      <c r="S38" s="88">
        <v>1345047</v>
      </c>
      <c r="U38" s="54">
        <f>+Q38-'St of Net Assets - GA'!M37-'LT _Lia - GA'!S38</f>
        <v>0</v>
      </c>
    </row>
    <row r="39" spans="1:21" ht="12.75" hidden="1">
      <c r="A39" s="32" t="s">
        <v>36</v>
      </c>
      <c r="B39" s="32"/>
      <c r="C39" s="88">
        <v>0</v>
      </c>
      <c r="D39" s="88"/>
      <c r="E39" s="88">
        <v>0</v>
      </c>
      <c r="F39" s="88"/>
      <c r="G39" s="88">
        <v>0</v>
      </c>
      <c r="H39" s="88"/>
      <c r="I39" s="88">
        <v>0</v>
      </c>
      <c r="J39" s="88"/>
      <c r="K39" s="88">
        <v>0</v>
      </c>
      <c r="L39" s="88"/>
      <c r="M39" s="88">
        <v>0</v>
      </c>
      <c r="N39" s="88"/>
      <c r="O39" s="88">
        <v>0</v>
      </c>
      <c r="P39" s="88"/>
      <c r="Q39" s="88">
        <f t="shared" si="1"/>
        <v>0</v>
      </c>
      <c r="R39" s="33"/>
      <c r="S39" s="88">
        <v>0</v>
      </c>
      <c r="U39" s="54">
        <f>+Q39-'St of Net Assets - GA'!M38-'LT _Lia - GA'!S39</f>
        <v>0</v>
      </c>
    </row>
    <row r="40" spans="1:21" ht="12.75" hidden="1">
      <c r="A40" s="32" t="s">
        <v>37</v>
      </c>
      <c r="B40" s="32"/>
      <c r="C40" s="88">
        <v>0</v>
      </c>
      <c r="D40" s="88"/>
      <c r="E40" s="88">
        <v>0</v>
      </c>
      <c r="F40" s="88"/>
      <c r="G40" s="88">
        <v>0</v>
      </c>
      <c r="H40" s="88"/>
      <c r="I40" s="88">
        <v>0</v>
      </c>
      <c r="J40" s="88"/>
      <c r="K40" s="88">
        <v>0</v>
      </c>
      <c r="L40" s="88"/>
      <c r="M40" s="88">
        <v>0</v>
      </c>
      <c r="N40" s="88"/>
      <c r="O40" s="88">
        <v>0</v>
      </c>
      <c r="P40" s="88"/>
      <c r="Q40" s="88">
        <f t="shared" si="1"/>
        <v>0</v>
      </c>
      <c r="R40" s="33"/>
      <c r="S40" s="88">
        <v>0</v>
      </c>
      <c r="U40" s="54">
        <f>+Q40-'St of Net Assets - GA'!M39-'LT _Lia - GA'!S40</f>
        <v>0</v>
      </c>
    </row>
    <row r="41" spans="1:21" ht="12.75">
      <c r="A41" s="32" t="s">
        <v>38</v>
      </c>
      <c r="B41" s="32"/>
      <c r="C41" s="88">
        <v>9223765</v>
      </c>
      <c r="D41" s="88"/>
      <c r="E41" s="88">
        <v>2048898</v>
      </c>
      <c r="F41" s="88"/>
      <c r="G41" s="88">
        <v>0</v>
      </c>
      <c r="H41" s="88"/>
      <c r="I41" s="88">
        <v>442522</v>
      </c>
      <c r="J41" s="88"/>
      <c r="K41" s="88">
        <v>0</v>
      </c>
      <c r="L41" s="88"/>
      <c r="M41" s="88">
        <v>3287221</v>
      </c>
      <c r="N41" s="88"/>
      <c r="O41" s="88">
        <v>0</v>
      </c>
      <c r="P41" s="88"/>
      <c r="Q41" s="88">
        <f t="shared" si="1"/>
        <v>15002406</v>
      </c>
      <c r="R41" s="33"/>
      <c r="S41" s="88">
        <v>1313266</v>
      </c>
      <c r="U41" s="54">
        <v>0</v>
      </c>
    </row>
    <row r="42" spans="1:21" ht="12.75" hidden="1">
      <c r="A42" s="32" t="s">
        <v>172</v>
      </c>
      <c r="B42" s="32"/>
      <c r="C42" s="88">
        <v>0</v>
      </c>
      <c r="D42" s="88"/>
      <c r="E42" s="88">
        <v>0</v>
      </c>
      <c r="F42" s="88"/>
      <c r="G42" s="88">
        <v>0</v>
      </c>
      <c r="H42" s="88"/>
      <c r="I42" s="88">
        <v>0</v>
      </c>
      <c r="J42" s="88"/>
      <c r="K42" s="88">
        <v>0</v>
      </c>
      <c r="L42" s="88"/>
      <c r="M42" s="88">
        <v>0</v>
      </c>
      <c r="N42" s="88"/>
      <c r="O42" s="88">
        <v>0</v>
      </c>
      <c r="P42" s="88"/>
      <c r="Q42" s="88">
        <f t="shared" si="1"/>
        <v>0</v>
      </c>
      <c r="R42" s="33"/>
      <c r="S42" s="88">
        <v>0</v>
      </c>
      <c r="U42" s="54">
        <v>0</v>
      </c>
    </row>
    <row r="43" spans="1:21" ht="12.75" hidden="1">
      <c r="A43" s="32" t="s">
        <v>39</v>
      </c>
      <c r="B43" s="32"/>
      <c r="C43" s="88">
        <v>0</v>
      </c>
      <c r="D43" s="88"/>
      <c r="E43" s="88">
        <v>0</v>
      </c>
      <c r="F43" s="88"/>
      <c r="G43" s="88">
        <v>0</v>
      </c>
      <c r="H43" s="88"/>
      <c r="I43" s="88">
        <v>0</v>
      </c>
      <c r="J43" s="88"/>
      <c r="K43" s="88">
        <v>0</v>
      </c>
      <c r="L43" s="88"/>
      <c r="M43" s="88">
        <v>0</v>
      </c>
      <c r="N43" s="88"/>
      <c r="O43" s="88">
        <v>0</v>
      </c>
      <c r="P43" s="88"/>
      <c r="Q43" s="88">
        <f t="shared" si="1"/>
        <v>0</v>
      </c>
      <c r="R43" s="33"/>
      <c r="S43" s="88">
        <v>0</v>
      </c>
      <c r="U43" s="54">
        <v>0</v>
      </c>
    </row>
    <row r="44" spans="1:21" ht="12.75">
      <c r="A44" s="32" t="s">
        <v>40</v>
      </c>
      <c r="B44" s="32"/>
      <c r="C44" s="88">
        <v>25000</v>
      </c>
      <c r="D44" s="88"/>
      <c r="E44" s="88">
        <v>242809</v>
      </c>
      <c r="F44" s="88"/>
      <c r="G44" s="88">
        <v>3935000</v>
      </c>
      <c r="H44" s="88"/>
      <c r="I44" s="88">
        <v>601063</v>
      </c>
      <c r="J44" s="88"/>
      <c r="K44" s="88">
        <v>0</v>
      </c>
      <c r="L44" s="88"/>
      <c r="M44" s="88">
        <v>1524944</v>
      </c>
      <c r="N44" s="88"/>
      <c r="O44" s="88">
        <f>1779000+83334+20265</f>
        <v>1882599</v>
      </c>
      <c r="P44" s="88"/>
      <c r="Q44" s="88">
        <f t="shared" si="1"/>
        <v>8211415</v>
      </c>
      <c r="R44" s="33"/>
      <c r="S44" s="88">
        <v>4810306</v>
      </c>
      <c r="U44" s="54">
        <v>0</v>
      </c>
    </row>
    <row r="45" spans="1:21" ht="12.75" hidden="1">
      <c r="A45" s="32" t="s">
        <v>41</v>
      </c>
      <c r="B45" s="32"/>
      <c r="C45" s="88">
        <v>0</v>
      </c>
      <c r="D45" s="88"/>
      <c r="E45" s="88">
        <v>0</v>
      </c>
      <c r="F45" s="88"/>
      <c r="G45" s="88">
        <v>0</v>
      </c>
      <c r="H45" s="88"/>
      <c r="I45" s="88">
        <v>0</v>
      </c>
      <c r="J45" s="88"/>
      <c r="K45" s="88">
        <v>0</v>
      </c>
      <c r="L45" s="88"/>
      <c r="M45" s="88">
        <v>0</v>
      </c>
      <c r="N45" s="88"/>
      <c r="O45" s="88">
        <v>0</v>
      </c>
      <c r="P45" s="88"/>
      <c r="Q45" s="88">
        <f t="shared" si="1"/>
        <v>0</v>
      </c>
      <c r="R45" s="33"/>
      <c r="S45" s="88">
        <v>0</v>
      </c>
      <c r="U45" s="54">
        <v>0</v>
      </c>
    </row>
    <row r="46" spans="1:21" ht="12.75">
      <c r="A46" s="32" t="s">
        <v>42</v>
      </c>
      <c r="B46" s="32"/>
      <c r="C46" s="88">
        <v>445000</v>
      </c>
      <c r="D46" s="88"/>
      <c r="E46" s="88">
        <v>59700</v>
      </c>
      <c r="F46" s="88"/>
      <c r="G46" s="88">
        <v>713844</v>
      </c>
      <c r="H46" s="88"/>
      <c r="I46" s="88">
        <v>0</v>
      </c>
      <c r="J46" s="88"/>
      <c r="K46" s="88">
        <v>136242</v>
      </c>
      <c r="L46" s="88"/>
      <c r="M46" s="88">
        <v>767592</v>
      </c>
      <c r="N46" s="88"/>
      <c r="O46" s="88">
        <v>0</v>
      </c>
      <c r="P46" s="88"/>
      <c r="Q46" s="88">
        <f t="shared" si="1"/>
        <v>2122378</v>
      </c>
      <c r="R46" s="33"/>
      <c r="S46" s="88">
        <v>295734</v>
      </c>
      <c r="U46" s="54">
        <v>0</v>
      </c>
    </row>
    <row r="47" spans="1:21" ht="12.75">
      <c r="A47" s="32" t="s">
        <v>43</v>
      </c>
      <c r="B47" s="32"/>
      <c r="C47" s="88">
        <v>4715000</v>
      </c>
      <c r="D47" s="88"/>
      <c r="E47" s="88">
        <v>0</v>
      </c>
      <c r="F47" s="88"/>
      <c r="G47" s="88">
        <v>161696</v>
      </c>
      <c r="H47" s="88"/>
      <c r="I47" s="88">
        <v>0</v>
      </c>
      <c r="J47" s="88"/>
      <c r="K47" s="88">
        <v>0</v>
      </c>
      <c r="L47" s="88"/>
      <c r="M47" s="88">
        <v>1038529</v>
      </c>
      <c r="N47" s="88"/>
      <c r="O47" s="88">
        <v>0</v>
      </c>
      <c r="P47" s="88"/>
      <c r="Q47" s="88">
        <f t="shared" si="1"/>
        <v>5915225</v>
      </c>
      <c r="R47" s="33"/>
      <c r="S47" s="88">
        <v>1072571</v>
      </c>
      <c r="U47" s="54">
        <v>0</v>
      </c>
    </row>
    <row r="48" spans="1:21" ht="12.75">
      <c r="A48" s="32" t="s">
        <v>44</v>
      </c>
      <c r="B48" s="32"/>
      <c r="C48" s="88">
        <v>7517048</v>
      </c>
      <c r="D48" s="88"/>
      <c r="E48" s="88">
        <v>0</v>
      </c>
      <c r="F48" s="88"/>
      <c r="G48" s="88">
        <v>0</v>
      </c>
      <c r="H48" s="88"/>
      <c r="I48" s="88">
        <v>0</v>
      </c>
      <c r="J48" s="88"/>
      <c r="K48" s="88">
        <v>0</v>
      </c>
      <c r="L48" s="88"/>
      <c r="M48" s="88">
        <v>1627088</v>
      </c>
      <c r="N48" s="88"/>
      <c r="O48" s="88">
        <v>0</v>
      </c>
      <c r="P48" s="88"/>
      <c r="Q48" s="88">
        <f t="shared" si="1"/>
        <v>9144136</v>
      </c>
      <c r="R48" s="33"/>
      <c r="S48" s="88">
        <v>485000</v>
      </c>
      <c r="U48" s="54">
        <v>0</v>
      </c>
    </row>
    <row r="49" spans="1:21" ht="12.75" hidden="1">
      <c r="A49" s="32" t="s">
        <v>45</v>
      </c>
      <c r="B49" s="32"/>
      <c r="C49" s="88">
        <v>0</v>
      </c>
      <c r="D49" s="88"/>
      <c r="E49" s="88">
        <v>0</v>
      </c>
      <c r="F49" s="88"/>
      <c r="G49" s="88">
        <v>0</v>
      </c>
      <c r="H49" s="88"/>
      <c r="I49" s="88">
        <v>0</v>
      </c>
      <c r="J49" s="88"/>
      <c r="K49" s="88">
        <v>0</v>
      </c>
      <c r="L49" s="88"/>
      <c r="M49" s="88">
        <v>0</v>
      </c>
      <c r="N49" s="88"/>
      <c r="O49" s="88">
        <v>0</v>
      </c>
      <c r="P49" s="88"/>
      <c r="Q49" s="88">
        <f t="shared" si="1"/>
        <v>0</v>
      </c>
      <c r="R49" s="33"/>
      <c r="S49" s="88">
        <v>0</v>
      </c>
      <c r="U49" s="54">
        <v>0</v>
      </c>
    </row>
    <row r="50" spans="1:21" ht="12.75">
      <c r="A50" s="32" t="s">
        <v>46</v>
      </c>
      <c r="B50" s="32"/>
      <c r="C50" s="88">
        <v>26590257</v>
      </c>
      <c r="D50" s="88"/>
      <c r="E50" s="88">
        <v>0</v>
      </c>
      <c r="F50" s="88"/>
      <c r="G50" s="88">
        <v>1992466</v>
      </c>
      <c r="H50" s="88"/>
      <c r="I50" s="88">
        <f>160033+48770</f>
        <v>208803</v>
      </c>
      <c r="J50" s="88"/>
      <c r="K50" s="88">
        <v>100744</v>
      </c>
      <c r="L50" s="88"/>
      <c r="M50" s="88">
        <v>2165566</v>
      </c>
      <c r="N50" s="88"/>
      <c r="O50" s="88">
        <f>2459712+15790+50489+157846</f>
        <v>2683837</v>
      </c>
      <c r="P50" s="88"/>
      <c r="Q50" s="88">
        <f t="shared" si="1"/>
        <v>33741673</v>
      </c>
      <c r="R50" s="33"/>
      <c r="S50" s="88">
        <v>2780812</v>
      </c>
      <c r="U50" s="54">
        <v>0</v>
      </c>
    </row>
    <row r="51" spans="1:21" ht="12.75">
      <c r="A51" s="32" t="s">
        <v>47</v>
      </c>
      <c r="B51" s="32"/>
      <c r="C51" s="88">
        <v>10910000</v>
      </c>
      <c r="D51" s="88"/>
      <c r="E51" s="88">
        <v>0</v>
      </c>
      <c r="F51" s="88"/>
      <c r="G51" s="88">
        <v>60000</v>
      </c>
      <c r="H51" s="88"/>
      <c r="I51" s="88">
        <v>29434</v>
      </c>
      <c r="J51" s="88"/>
      <c r="K51" s="88">
        <v>136227</v>
      </c>
      <c r="L51" s="88"/>
      <c r="M51" s="88">
        <v>863003</v>
      </c>
      <c r="N51" s="88"/>
      <c r="O51" s="88">
        <v>0</v>
      </c>
      <c r="P51" s="88"/>
      <c r="Q51" s="88">
        <f t="shared" si="1"/>
        <v>11998664</v>
      </c>
      <c r="R51" s="33"/>
      <c r="S51" s="88">
        <v>1219839</v>
      </c>
      <c r="U51" s="54">
        <v>0</v>
      </c>
    </row>
    <row r="52" spans="1:21" ht="12.75">
      <c r="A52" s="32" t="s">
        <v>48</v>
      </c>
      <c r="B52" s="32"/>
      <c r="C52" s="88">
        <v>26918000</v>
      </c>
      <c r="D52" s="88"/>
      <c r="E52" s="88">
        <v>8606950</v>
      </c>
      <c r="F52" s="88"/>
      <c r="G52" s="88">
        <v>0</v>
      </c>
      <c r="H52" s="88"/>
      <c r="I52" s="88">
        <v>0</v>
      </c>
      <c r="J52" s="88"/>
      <c r="K52" s="88">
        <v>0</v>
      </c>
      <c r="L52" s="88"/>
      <c r="M52" s="88">
        <v>10572190</v>
      </c>
      <c r="N52" s="88"/>
      <c r="O52" s="88">
        <v>20359</v>
      </c>
      <c r="P52" s="88"/>
      <c r="Q52" s="88">
        <f t="shared" si="1"/>
        <v>46117499</v>
      </c>
      <c r="R52" s="33"/>
      <c r="S52" s="88">
        <v>3380895</v>
      </c>
      <c r="U52" s="54">
        <v>0</v>
      </c>
    </row>
    <row r="53" spans="1:21" ht="12.75" hidden="1">
      <c r="A53" s="32" t="s">
        <v>233</v>
      </c>
      <c r="B53" s="32"/>
      <c r="C53" s="88">
        <v>0</v>
      </c>
      <c r="D53" s="88"/>
      <c r="E53" s="88">
        <v>0</v>
      </c>
      <c r="F53" s="88"/>
      <c r="G53" s="88">
        <v>0</v>
      </c>
      <c r="H53" s="88"/>
      <c r="I53" s="88">
        <v>0</v>
      </c>
      <c r="J53" s="88"/>
      <c r="K53" s="88">
        <v>0</v>
      </c>
      <c r="L53" s="88"/>
      <c r="M53" s="88">
        <v>0</v>
      </c>
      <c r="N53" s="88"/>
      <c r="O53" s="88">
        <v>0</v>
      </c>
      <c r="P53" s="88"/>
      <c r="Q53" s="88">
        <f t="shared" si="1"/>
        <v>0</v>
      </c>
      <c r="R53" s="33"/>
      <c r="S53" s="88">
        <v>0</v>
      </c>
      <c r="U53" s="54">
        <v>0</v>
      </c>
    </row>
    <row r="54" spans="1:21" ht="12.75">
      <c r="A54" s="32" t="s">
        <v>49</v>
      </c>
      <c r="B54" s="32"/>
      <c r="C54" s="88">
        <v>10346869</v>
      </c>
      <c r="D54" s="88"/>
      <c r="E54" s="88">
        <v>526046</v>
      </c>
      <c r="F54" s="88"/>
      <c r="G54" s="88">
        <v>0</v>
      </c>
      <c r="H54" s="88"/>
      <c r="I54" s="88">
        <v>0</v>
      </c>
      <c r="J54" s="88"/>
      <c r="K54" s="88">
        <v>0</v>
      </c>
      <c r="L54" s="88"/>
      <c r="M54" s="88">
        <v>3366584</v>
      </c>
      <c r="N54" s="88"/>
      <c r="O54" s="88">
        <v>0</v>
      </c>
      <c r="P54" s="88"/>
      <c r="Q54" s="88">
        <f t="shared" si="1"/>
        <v>14239499</v>
      </c>
      <c r="R54" s="33"/>
      <c r="S54" s="88">
        <v>2816648</v>
      </c>
      <c r="U54" s="54">
        <v>0</v>
      </c>
    </row>
    <row r="55" spans="1:21" ht="12.75">
      <c r="A55" s="32" t="s">
        <v>50</v>
      </c>
      <c r="B55" s="32"/>
      <c r="C55" s="88">
        <v>7540000</v>
      </c>
      <c r="D55" s="88"/>
      <c r="E55" s="88">
        <v>0</v>
      </c>
      <c r="F55" s="88"/>
      <c r="G55" s="88">
        <v>9500000</v>
      </c>
      <c r="H55" s="88"/>
      <c r="I55" s="88">
        <v>0</v>
      </c>
      <c r="J55" s="88"/>
      <c r="K55" s="88">
        <v>0</v>
      </c>
      <c r="L55" s="88"/>
      <c r="M55" s="88">
        <v>1266403</v>
      </c>
      <c r="N55" s="88"/>
      <c r="O55" s="88">
        <v>0</v>
      </c>
      <c r="P55" s="88"/>
      <c r="Q55" s="88">
        <f t="shared" si="1"/>
        <v>18306403</v>
      </c>
      <c r="R55" s="33"/>
      <c r="S55" s="88">
        <v>10785318</v>
      </c>
      <c r="U55" s="54">
        <f>+Q55-'St of Net Assets - GA'!M54-'LT _Lia - GA'!S55</f>
        <v>0</v>
      </c>
    </row>
    <row r="56" spans="1:21" ht="12.75">
      <c r="A56" s="32" t="s">
        <v>51</v>
      </c>
      <c r="B56" s="32"/>
      <c r="C56" s="88">
        <v>26890000</v>
      </c>
      <c r="D56" s="88"/>
      <c r="E56" s="88">
        <v>4603893</v>
      </c>
      <c r="F56" s="88"/>
      <c r="G56" s="88">
        <v>0</v>
      </c>
      <c r="H56" s="88"/>
      <c r="I56" s="88">
        <v>0</v>
      </c>
      <c r="J56" s="88"/>
      <c r="K56" s="88">
        <v>0</v>
      </c>
      <c r="L56" s="88"/>
      <c r="M56" s="88">
        <v>11968386</v>
      </c>
      <c r="N56" s="88"/>
      <c r="O56" s="88">
        <v>0</v>
      </c>
      <c r="P56" s="88"/>
      <c r="Q56" s="88">
        <f t="shared" si="1"/>
        <v>43462279</v>
      </c>
      <c r="R56" s="33"/>
      <c r="S56" s="88">
        <v>5519759</v>
      </c>
      <c r="U56" s="54">
        <v>0</v>
      </c>
    </row>
    <row r="57" spans="1:21" s="82" customFormat="1" ht="12.75">
      <c r="A57" s="122" t="s">
        <v>190</v>
      </c>
      <c r="B57" s="122"/>
      <c r="C57" s="89">
        <v>34935000</v>
      </c>
      <c r="D57" s="89"/>
      <c r="E57" s="89">
        <v>16848000</v>
      </c>
      <c r="F57" s="89"/>
      <c r="G57" s="89">
        <v>0</v>
      </c>
      <c r="H57" s="89"/>
      <c r="I57" s="89">
        <f>2030000+1327000</f>
        <v>3357000</v>
      </c>
      <c r="J57" s="89"/>
      <c r="K57" s="89">
        <v>3022000</v>
      </c>
      <c r="L57" s="89"/>
      <c r="M57" s="89">
        <v>0</v>
      </c>
      <c r="N57" s="89"/>
      <c r="O57" s="89">
        <f>17865000+12264000+10606000</f>
        <v>40735000</v>
      </c>
      <c r="P57" s="89"/>
      <c r="Q57" s="89">
        <f t="shared" si="1"/>
        <v>98897000</v>
      </c>
      <c r="R57" s="134"/>
      <c r="S57" s="89">
        <f>5373000+205000+216000+1858000+165000+5698000</f>
        <v>13515000</v>
      </c>
      <c r="T57" s="135"/>
      <c r="U57" s="136">
        <v>0</v>
      </c>
    </row>
    <row r="58" spans="1:21" ht="12.75" hidden="1">
      <c r="A58" s="32" t="s">
        <v>52</v>
      </c>
      <c r="B58" s="32"/>
      <c r="C58" s="88">
        <v>0</v>
      </c>
      <c r="D58" s="88"/>
      <c r="E58" s="88">
        <v>0</v>
      </c>
      <c r="F58" s="88"/>
      <c r="G58" s="88">
        <v>0</v>
      </c>
      <c r="H58" s="88"/>
      <c r="I58" s="88">
        <v>0</v>
      </c>
      <c r="J58" s="88"/>
      <c r="K58" s="88">
        <v>0</v>
      </c>
      <c r="L58" s="88"/>
      <c r="M58" s="88">
        <v>0</v>
      </c>
      <c r="N58" s="88"/>
      <c r="O58" s="88">
        <v>0</v>
      </c>
      <c r="P58" s="88"/>
      <c r="Q58" s="88">
        <f t="shared" si="1"/>
        <v>0</v>
      </c>
      <c r="R58" s="33"/>
      <c r="S58" s="88">
        <v>0</v>
      </c>
      <c r="U58" s="54">
        <v>0</v>
      </c>
    </row>
    <row r="59" spans="1:21" s="126" customFormat="1" ht="12.75" hidden="1">
      <c r="A59" s="129" t="s">
        <v>53</v>
      </c>
      <c r="B59" s="129"/>
      <c r="C59" s="130">
        <v>0</v>
      </c>
      <c r="D59" s="130"/>
      <c r="E59" s="130">
        <v>0</v>
      </c>
      <c r="F59" s="130"/>
      <c r="G59" s="130">
        <v>0</v>
      </c>
      <c r="H59" s="130"/>
      <c r="I59" s="130">
        <v>0</v>
      </c>
      <c r="J59" s="130"/>
      <c r="K59" s="130">
        <v>0</v>
      </c>
      <c r="L59" s="130"/>
      <c r="M59" s="130">
        <v>0</v>
      </c>
      <c r="N59" s="130"/>
      <c r="O59" s="130">
        <v>0</v>
      </c>
      <c r="P59" s="130"/>
      <c r="Q59" s="130">
        <f t="shared" si="1"/>
        <v>0</v>
      </c>
      <c r="R59" s="131"/>
      <c r="S59" s="130">
        <v>0</v>
      </c>
      <c r="T59" s="132"/>
      <c r="U59" s="133">
        <v>0</v>
      </c>
    </row>
    <row r="60" spans="1:21" ht="12.75">
      <c r="A60" s="32" t="s">
        <v>54</v>
      </c>
      <c r="B60" s="32"/>
      <c r="C60" s="88">
        <v>9686012</v>
      </c>
      <c r="D60" s="88"/>
      <c r="E60" s="88">
        <v>143988</v>
      </c>
      <c r="F60" s="88"/>
      <c r="G60" s="88">
        <v>0</v>
      </c>
      <c r="H60" s="88"/>
      <c r="I60" s="88">
        <f>82385+27513</f>
        <v>109898</v>
      </c>
      <c r="J60" s="88"/>
      <c r="K60" s="88">
        <v>0</v>
      </c>
      <c r="L60" s="88"/>
      <c r="M60" s="88">
        <v>1452140</v>
      </c>
      <c r="N60" s="88"/>
      <c r="O60" s="88">
        <v>0</v>
      </c>
      <c r="P60" s="88"/>
      <c r="Q60" s="88">
        <f t="shared" si="1"/>
        <v>11392038</v>
      </c>
      <c r="R60" s="33"/>
      <c r="S60" s="88">
        <v>1156553</v>
      </c>
      <c r="U60" s="54">
        <v>0</v>
      </c>
    </row>
    <row r="61" spans="1:21" ht="12.75">
      <c r="A61" s="32" t="s">
        <v>55</v>
      </c>
      <c r="B61" s="32"/>
      <c r="C61" s="88">
        <v>9661506</v>
      </c>
      <c r="D61" s="88"/>
      <c r="E61" s="88">
        <v>1981516</v>
      </c>
      <c r="F61" s="88"/>
      <c r="G61" s="88">
        <v>0</v>
      </c>
      <c r="H61" s="88"/>
      <c r="I61" s="88">
        <f>179167+2092079</f>
        <v>2271246</v>
      </c>
      <c r="J61" s="88"/>
      <c r="K61" s="88">
        <v>0</v>
      </c>
      <c r="L61" s="88"/>
      <c r="M61" s="88">
        <v>4012267</v>
      </c>
      <c r="N61" s="88"/>
      <c r="O61" s="88">
        <v>0</v>
      </c>
      <c r="P61" s="88"/>
      <c r="Q61" s="88">
        <f t="shared" si="1"/>
        <v>17926535</v>
      </c>
      <c r="R61" s="33"/>
      <c r="S61" s="88">
        <v>2677219</v>
      </c>
      <c r="U61" s="54">
        <v>0</v>
      </c>
    </row>
    <row r="62" spans="1:21" ht="12.75" hidden="1">
      <c r="A62" s="32" t="s">
        <v>175</v>
      </c>
      <c r="B62" s="32"/>
      <c r="C62" s="88">
        <v>0</v>
      </c>
      <c r="D62" s="88"/>
      <c r="E62" s="88">
        <v>0</v>
      </c>
      <c r="F62" s="88"/>
      <c r="G62" s="88">
        <v>0</v>
      </c>
      <c r="H62" s="88"/>
      <c r="I62" s="88">
        <v>0</v>
      </c>
      <c r="J62" s="88"/>
      <c r="K62" s="88">
        <v>0</v>
      </c>
      <c r="L62" s="88"/>
      <c r="M62" s="88">
        <v>0</v>
      </c>
      <c r="N62" s="88"/>
      <c r="O62" s="88">
        <v>0</v>
      </c>
      <c r="P62" s="88"/>
      <c r="Q62" s="88">
        <f t="shared" si="1"/>
        <v>0</v>
      </c>
      <c r="R62" s="33"/>
      <c r="S62" s="88">
        <v>0</v>
      </c>
      <c r="U62" s="54">
        <v>0</v>
      </c>
    </row>
    <row r="63" spans="1:21" ht="12.75" hidden="1">
      <c r="A63" s="32" t="s">
        <v>56</v>
      </c>
      <c r="B63" s="32"/>
      <c r="C63" s="88">
        <v>0</v>
      </c>
      <c r="D63" s="88"/>
      <c r="E63" s="88">
        <v>0</v>
      </c>
      <c r="F63" s="88"/>
      <c r="G63" s="88">
        <v>0</v>
      </c>
      <c r="H63" s="88"/>
      <c r="I63" s="88">
        <v>0</v>
      </c>
      <c r="J63" s="88"/>
      <c r="K63" s="88">
        <v>0</v>
      </c>
      <c r="L63" s="88"/>
      <c r="M63" s="88">
        <v>0</v>
      </c>
      <c r="N63" s="88"/>
      <c r="O63" s="88">
        <v>0</v>
      </c>
      <c r="P63" s="88"/>
      <c r="Q63" s="88">
        <f t="shared" si="1"/>
        <v>0</v>
      </c>
      <c r="R63" s="33"/>
      <c r="S63" s="88">
        <v>0</v>
      </c>
      <c r="U63" s="54">
        <v>0</v>
      </c>
    </row>
    <row r="64" spans="1:21" ht="12.75">
      <c r="A64" s="32" t="s">
        <v>57</v>
      </c>
      <c r="B64" s="32"/>
      <c r="C64" s="88">
        <v>6525000</v>
      </c>
      <c r="D64" s="88"/>
      <c r="E64" s="88">
        <v>0</v>
      </c>
      <c r="F64" s="88"/>
      <c r="G64" s="88">
        <v>0</v>
      </c>
      <c r="H64" s="88"/>
      <c r="I64" s="88">
        <v>0</v>
      </c>
      <c r="J64" s="88"/>
      <c r="K64" s="88">
        <v>119851</v>
      </c>
      <c r="L64" s="88"/>
      <c r="M64" s="88">
        <v>2680330</v>
      </c>
      <c r="N64" s="88"/>
      <c r="O64" s="88">
        <v>2745227</v>
      </c>
      <c r="P64" s="88"/>
      <c r="Q64" s="88">
        <f t="shared" si="1"/>
        <v>12070408</v>
      </c>
      <c r="R64" s="33"/>
      <c r="S64" s="88">
        <v>2155361</v>
      </c>
      <c r="U64" s="54">
        <v>0</v>
      </c>
    </row>
    <row r="65" spans="1:21" ht="12.75">
      <c r="A65" s="32" t="s">
        <v>58</v>
      </c>
      <c r="B65" s="32"/>
      <c r="C65" s="88">
        <v>265827</v>
      </c>
      <c r="D65" s="88"/>
      <c r="E65" s="88">
        <v>0</v>
      </c>
      <c r="F65" s="88"/>
      <c r="G65" s="88">
        <v>0</v>
      </c>
      <c r="H65" s="88"/>
      <c r="I65" s="88">
        <v>0</v>
      </c>
      <c r="J65" s="88"/>
      <c r="K65" s="88">
        <v>0</v>
      </c>
      <c r="L65" s="88"/>
      <c r="M65" s="88">
        <v>394069</v>
      </c>
      <c r="N65" s="88"/>
      <c r="O65" s="88">
        <v>0</v>
      </c>
      <c r="P65" s="88"/>
      <c r="Q65" s="88">
        <f t="shared" si="1"/>
        <v>659896</v>
      </c>
      <c r="R65" s="33"/>
      <c r="S65" s="88">
        <v>296210</v>
      </c>
      <c r="U65" s="54">
        <v>0</v>
      </c>
    </row>
    <row r="66" spans="1:21" s="82" customFormat="1" ht="12.75">
      <c r="A66" s="122" t="s">
        <v>59</v>
      </c>
      <c r="B66" s="122"/>
      <c r="C66" s="89">
        <f>1380863+49512233</f>
        <v>50893096</v>
      </c>
      <c r="D66" s="89"/>
      <c r="E66" s="89">
        <f>2405395+48300</f>
        <v>2453695</v>
      </c>
      <c r="F66" s="89"/>
      <c r="G66" s="89">
        <v>0</v>
      </c>
      <c r="H66" s="89"/>
      <c r="I66" s="89">
        <v>0</v>
      </c>
      <c r="J66" s="89"/>
      <c r="K66" s="89">
        <v>978669</v>
      </c>
      <c r="L66" s="89"/>
      <c r="M66" s="89">
        <v>17805099</v>
      </c>
      <c r="N66" s="89"/>
      <c r="O66" s="89">
        <v>5104563</v>
      </c>
      <c r="P66" s="89"/>
      <c r="Q66" s="89">
        <f>SUM(C66:O66)</f>
        <v>77235122</v>
      </c>
      <c r="R66" s="134"/>
      <c r="S66" s="89">
        <f>519235+6482291+157097</f>
        <v>7158623</v>
      </c>
      <c r="T66" s="135"/>
      <c r="U66" s="136">
        <v>0</v>
      </c>
    </row>
    <row r="67" spans="1:21" s="126" customFormat="1" ht="12.75" hidden="1">
      <c r="A67" s="129" t="s">
        <v>60</v>
      </c>
      <c r="B67" s="129"/>
      <c r="C67" s="130">
        <v>0</v>
      </c>
      <c r="D67" s="130"/>
      <c r="E67" s="130">
        <v>0</v>
      </c>
      <c r="F67" s="130"/>
      <c r="G67" s="130">
        <v>0</v>
      </c>
      <c r="H67" s="130"/>
      <c r="I67" s="130">
        <v>0</v>
      </c>
      <c r="J67" s="130"/>
      <c r="K67" s="130">
        <v>0</v>
      </c>
      <c r="L67" s="130"/>
      <c r="M67" s="130">
        <v>0</v>
      </c>
      <c r="N67" s="130"/>
      <c r="O67" s="130">
        <v>0</v>
      </c>
      <c r="P67" s="130"/>
      <c r="Q67" s="130">
        <f t="shared" si="1"/>
        <v>0</v>
      </c>
      <c r="R67" s="131"/>
      <c r="S67" s="130">
        <v>0</v>
      </c>
      <c r="T67" s="132"/>
      <c r="U67" s="133">
        <v>0</v>
      </c>
    </row>
    <row r="68" spans="1:21" s="82" customFormat="1" ht="12.75">
      <c r="A68" s="122" t="s">
        <v>97</v>
      </c>
      <c r="B68" s="122"/>
      <c r="C68" s="89">
        <v>2275000</v>
      </c>
      <c r="D68" s="89"/>
      <c r="E68" s="89">
        <v>0</v>
      </c>
      <c r="F68" s="89"/>
      <c r="G68" s="89">
        <v>4767000</v>
      </c>
      <c r="H68" s="89"/>
      <c r="I68" s="89">
        <f>10788+127294</f>
        <v>138082</v>
      </c>
      <c r="J68" s="89"/>
      <c r="K68" s="89">
        <v>340434</v>
      </c>
      <c r="L68" s="89"/>
      <c r="M68" s="89">
        <v>678224</v>
      </c>
      <c r="N68" s="89"/>
      <c r="O68" s="89">
        <v>0</v>
      </c>
      <c r="P68" s="89"/>
      <c r="Q68" s="89">
        <f t="shared" si="1"/>
        <v>8198740</v>
      </c>
      <c r="R68" s="134"/>
      <c r="S68" s="89">
        <v>5127513</v>
      </c>
      <c r="T68" s="135"/>
      <c r="U68" s="136">
        <v>0</v>
      </c>
    </row>
    <row r="69" spans="1:21" s="82" customFormat="1" ht="12.75">
      <c r="A69" s="122" t="s">
        <v>61</v>
      </c>
      <c r="B69" s="122"/>
      <c r="C69" s="89">
        <v>13900000</v>
      </c>
      <c r="D69" s="89"/>
      <c r="E69" s="89">
        <v>998463</v>
      </c>
      <c r="F69" s="89"/>
      <c r="G69" s="89">
        <v>0</v>
      </c>
      <c r="H69" s="89"/>
      <c r="I69" s="89">
        <v>13801373</v>
      </c>
      <c r="J69" s="89"/>
      <c r="K69" s="89">
        <v>201514</v>
      </c>
      <c r="L69" s="89"/>
      <c r="M69" s="89">
        <v>2850516</v>
      </c>
      <c r="N69" s="89"/>
      <c r="O69" s="89">
        <v>505965</v>
      </c>
      <c r="P69" s="89"/>
      <c r="Q69" s="89">
        <f t="shared" si="1"/>
        <v>32257831</v>
      </c>
      <c r="R69" s="134"/>
      <c r="S69" s="89">
        <v>3123174</v>
      </c>
      <c r="T69" s="135"/>
      <c r="U69" s="136">
        <v>0</v>
      </c>
    </row>
    <row r="70" spans="1:21" ht="12.75">
      <c r="A70" s="32" t="s">
        <v>62</v>
      </c>
      <c r="B70" s="32"/>
      <c r="C70" s="88">
        <v>1000000</v>
      </c>
      <c r="D70" s="88"/>
      <c r="E70" s="88">
        <v>0</v>
      </c>
      <c r="F70" s="88"/>
      <c r="G70" s="88">
        <v>13379</v>
      </c>
      <c r="H70" s="88"/>
      <c r="I70" s="88">
        <v>0</v>
      </c>
      <c r="J70" s="88"/>
      <c r="K70" s="88">
        <v>5666</v>
      </c>
      <c r="L70" s="88"/>
      <c r="M70" s="88">
        <v>341033</v>
      </c>
      <c r="N70" s="88"/>
      <c r="O70" s="88">
        <v>0</v>
      </c>
      <c r="P70" s="88"/>
      <c r="Q70" s="88">
        <f t="shared" si="1"/>
        <v>1360078</v>
      </c>
      <c r="R70" s="33"/>
      <c r="S70" s="88">
        <v>257628</v>
      </c>
      <c r="U70" s="54">
        <f>+Q70-'St of Net Assets - GA'!M69-'LT _Lia - GA'!S70</f>
        <v>0</v>
      </c>
    </row>
    <row r="71" spans="1:21" ht="12.75">
      <c r="A71" s="32" t="s">
        <v>63</v>
      </c>
      <c r="B71" s="32"/>
      <c r="C71" s="88">
        <v>6690093</v>
      </c>
      <c r="D71" s="88"/>
      <c r="E71" s="88">
        <v>4470100</v>
      </c>
      <c r="F71" s="88"/>
      <c r="G71" s="88">
        <v>0</v>
      </c>
      <c r="H71" s="88"/>
      <c r="I71" s="88">
        <v>14477005</v>
      </c>
      <c r="J71" s="88"/>
      <c r="K71" s="88">
        <v>50856</v>
      </c>
      <c r="L71" s="88"/>
      <c r="M71" s="88">
        <v>1423042</v>
      </c>
      <c r="N71" s="88"/>
      <c r="O71" s="88">
        <v>0</v>
      </c>
      <c r="P71" s="88"/>
      <c r="Q71" s="88">
        <f t="shared" si="1"/>
        <v>27111096</v>
      </c>
      <c r="R71" s="33"/>
      <c r="S71" s="88">
        <v>2617680</v>
      </c>
      <c r="U71" s="54">
        <f>+Q71-'St of Net Assets - GA'!M70-'LT _Lia - GA'!S71</f>
        <v>0</v>
      </c>
    </row>
    <row r="72" spans="1:21" ht="12.75" hidden="1">
      <c r="A72" s="32" t="s">
        <v>132</v>
      </c>
      <c r="B72" s="32"/>
      <c r="C72" s="88">
        <v>0</v>
      </c>
      <c r="D72" s="88"/>
      <c r="E72" s="88">
        <v>0</v>
      </c>
      <c r="F72" s="88"/>
      <c r="G72" s="88">
        <v>0</v>
      </c>
      <c r="H72" s="88"/>
      <c r="I72" s="88">
        <v>0</v>
      </c>
      <c r="J72" s="88"/>
      <c r="K72" s="88">
        <v>0</v>
      </c>
      <c r="L72" s="88"/>
      <c r="M72" s="88">
        <v>0</v>
      </c>
      <c r="N72" s="88"/>
      <c r="O72" s="88">
        <v>0</v>
      </c>
      <c r="P72" s="88"/>
      <c r="Q72" s="88">
        <f t="shared" si="1"/>
        <v>0</v>
      </c>
      <c r="R72" s="33"/>
      <c r="S72" s="88">
        <v>0</v>
      </c>
      <c r="U72" s="54">
        <f>+Q72-'St of Net Assets - GA'!M71-'LT _Lia - GA'!S72</f>
        <v>0</v>
      </c>
    </row>
    <row r="73" spans="1:21" ht="12.75" hidden="1">
      <c r="A73" s="32" t="s">
        <v>64</v>
      </c>
      <c r="B73" s="32"/>
      <c r="C73" s="88">
        <v>0</v>
      </c>
      <c r="D73" s="88"/>
      <c r="E73" s="88">
        <v>0</v>
      </c>
      <c r="F73" s="88"/>
      <c r="G73" s="88">
        <v>0</v>
      </c>
      <c r="H73" s="88"/>
      <c r="I73" s="88">
        <v>0</v>
      </c>
      <c r="J73" s="88"/>
      <c r="K73" s="88">
        <v>0</v>
      </c>
      <c r="L73" s="88"/>
      <c r="M73" s="88">
        <v>0</v>
      </c>
      <c r="N73" s="88"/>
      <c r="O73" s="88">
        <v>0</v>
      </c>
      <c r="P73" s="88"/>
      <c r="Q73" s="88">
        <f t="shared" si="1"/>
        <v>0</v>
      </c>
      <c r="R73" s="33"/>
      <c r="S73" s="88">
        <v>0</v>
      </c>
      <c r="U73" s="54">
        <f>+Q73-'St of Net Assets - GA'!M72-'LT _Lia - GA'!S73</f>
        <v>0</v>
      </c>
    </row>
    <row r="74" spans="1:21" ht="12.75">
      <c r="A74" s="32"/>
      <c r="B74" s="32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 t="s">
        <v>242</v>
      </c>
      <c r="R74" s="33"/>
      <c r="S74" s="88"/>
      <c r="U74" s="54"/>
    </row>
    <row r="75" spans="1:21" ht="12.75">
      <c r="A75" s="32" t="s">
        <v>65</v>
      </c>
      <c r="B75" s="32"/>
      <c r="C75" s="146">
        <f>39125+469462+65019+526080+970000+100000</f>
        <v>2169686</v>
      </c>
      <c r="D75" s="146"/>
      <c r="E75" s="146">
        <v>127000</v>
      </c>
      <c r="F75" s="146"/>
      <c r="G75" s="146">
        <v>0</v>
      </c>
      <c r="H75" s="146"/>
      <c r="I75" s="146">
        <v>0</v>
      </c>
      <c r="J75" s="146"/>
      <c r="K75" s="146">
        <v>222561</v>
      </c>
      <c r="L75" s="146"/>
      <c r="M75" s="146">
        <v>1470605</v>
      </c>
      <c r="N75" s="146"/>
      <c r="O75" s="146">
        <v>0</v>
      </c>
      <c r="P75" s="146"/>
      <c r="Q75" s="146">
        <f t="shared" si="1"/>
        <v>3989852</v>
      </c>
      <c r="R75" s="33"/>
      <c r="S75" s="146">
        <v>1111701</v>
      </c>
      <c r="U75" s="54">
        <f>+Q75-'St of Net Assets - GA'!M73-'LT _Lia - GA'!S75</f>
        <v>0</v>
      </c>
    </row>
    <row r="76" spans="1:21" ht="12.75">
      <c r="A76" s="32" t="s">
        <v>66</v>
      </c>
      <c r="B76" s="32"/>
      <c r="C76" s="88">
        <v>0</v>
      </c>
      <c r="D76" s="88"/>
      <c r="E76" s="88">
        <v>0</v>
      </c>
      <c r="F76" s="88"/>
      <c r="G76" s="88">
        <v>0</v>
      </c>
      <c r="H76" s="88"/>
      <c r="I76" s="88">
        <f>1506785-19873-583913</f>
        <v>902999</v>
      </c>
      <c r="J76" s="88"/>
      <c r="K76" s="88">
        <v>19873</v>
      </c>
      <c r="L76" s="88"/>
      <c r="M76" s="88">
        <v>583913</v>
      </c>
      <c r="N76" s="88"/>
      <c r="O76" s="88">
        <v>0</v>
      </c>
      <c r="P76" s="88"/>
      <c r="Q76" s="88">
        <f aca="true" t="shared" si="2" ref="Q76:Q97">SUM(C76:O76)</f>
        <v>1506785</v>
      </c>
      <c r="R76" s="33"/>
      <c r="S76" s="88">
        <v>133087</v>
      </c>
      <c r="U76" s="54">
        <f>+Q76-'St of Net Assets - GA'!M74-'LT _Lia - GA'!S76</f>
        <v>0</v>
      </c>
    </row>
    <row r="77" spans="1:21" ht="12.75">
      <c r="A77" s="32" t="s">
        <v>67</v>
      </c>
      <c r="B77" s="32"/>
      <c r="C77" s="88">
        <v>16454224</v>
      </c>
      <c r="D77" s="88"/>
      <c r="E77" s="88">
        <v>1227294</v>
      </c>
      <c r="F77" s="88"/>
      <c r="G77" s="88">
        <v>0</v>
      </c>
      <c r="H77" s="88"/>
      <c r="I77" s="88">
        <v>627556</v>
      </c>
      <c r="J77" s="88"/>
      <c r="K77" s="88">
        <v>0</v>
      </c>
      <c r="L77" s="88"/>
      <c r="M77" s="88">
        <v>4172387</v>
      </c>
      <c r="N77" s="88"/>
      <c r="O77" s="88">
        <v>0</v>
      </c>
      <c r="P77" s="88"/>
      <c r="Q77" s="88">
        <f t="shared" si="2"/>
        <v>22481461</v>
      </c>
      <c r="R77" s="33"/>
      <c r="S77" s="88">
        <v>2910516</v>
      </c>
      <c r="U77" s="54">
        <f>+Q77-'St of Net Assets - GA'!M75-'LT _Lia - GA'!S77</f>
        <v>0</v>
      </c>
    </row>
    <row r="78" spans="1:21" ht="12.75">
      <c r="A78" s="32" t="s">
        <v>68</v>
      </c>
      <c r="B78" s="32"/>
      <c r="C78" s="88">
        <v>2803348</v>
      </c>
      <c r="D78" s="88"/>
      <c r="E78" s="88">
        <v>0</v>
      </c>
      <c r="F78" s="88"/>
      <c r="G78" s="88">
        <v>888372</v>
      </c>
      <c r="H78" s="88"/>
      <c r="I78" s="88">
        <v>0</v>
      </c>
      <c r="J78" s="88"/>
      <c r="K78" s="88">
        <v>47312</v>
      </c>
      <c r="L78" s="88"/>
      <c r="M78" s="88">
        <v>735230</v>
      </c>
      <c r="N78" s="88"/>
      <c r="O78" s="88">
        <v>0</v>
      </c>
      <c r="P78" s="88"/>
      <c r="Q78" s="88">
        <f t="shared" si="2"/>
        <v>4474262</v>
      </c>
      <c r="R78" s="33"/>
      <c r="S78" s="88">
        <v>933911</v>
      </c>
      <c r="U78" s="54">
        <f>+Q78-'St of Net Assets - GA'!M76-'LT _Lia - GA'!S78</f>
        <v>0</v>
      </c>
    </row>
    <row r="79" spans="1:21" ht="12.75" hidden="1">
      <c r="A79" s="32" t="s">
        <v>180</v>
      </c>
      <c r="B79" s="32"/>
      <c r="C79" s="88">
        <v>0</v>
      </c>
      <c r="D79" s="88"/>
      <c r="E79" s="88">
        <v>0</v>
      </c>
      <c r="F79" s="88"/>
      <c r="G79" s="88">
        <v>0</v>
      </c>
      <c r="H79" s="88"/>
      <c r="I79" s="88">
        <v>0</v>
      </c>
      <c r="J79" s="88"/>
      <c r="K79" s="88">
        <v>0</v>
      </c>
      <c r="L79" s="88"/>
      <c r="M79" s="88">
        <v>0</v>
      </c>
      <c r="N79" s="88"/>
      <c r="O79" s="88">
        <v>0</v>
      </c>
      <c r="P79" s="88"/>
      <c r="Q79" s="88">
        <f t="shared" si="2"/>
        <v>0</v>
      </c>
      <c r="R79" s="33"/>
      <c r="S79" s="88">
        <v>0</v>
      </c>
      <c r="U79" s="54">
        <f>+Q79-'St of Net Assets - GA'!M77-'LT _Lia - GA'!S79</f>
        <v>0</v>
      </c>
    </row>
    <row r="80" spans="1:21" ht="12.75">
      <c r="A80" s="32" t="s">
        <v>185</v>
      </c>
      <c r="B80" s="32"/>
      <c r="C80" s="88">
        <v>8834636</v>
      </c>
      <c r="D80" s="88"/>
      <c r="E80" s="88">
        <v>8729449</v>
      </c>
      <c r="F80" s="88"/>
      <c r="G80" s="88">
        <v>4000000</v>
      </c>
      <c r="H80" s="88"/>
      <c r="I80" s="88">
        <v>0</v>
      </c>
      <c r="J80" s="88"/>
      <c r="K80" s="88">
        <v>1723545</v>
      </c>
      <c r="L80" s="88"/>
      <c r="M80" s="88">
        <v>3661219</v>
      </c>
      <c r="N80" s="88"/>
      <c r="O80" s="88">
        <v>0</v>
      </c>
      <c r="P80" s="88"/>
      <c r="Q80" s="88">
        <f t="shared" si="2"/>
        <v>26948849</v>
      </c>
      <c r="R80" s="33"/>
      <c r="S80" s="88">
        <v>7518396</v>
      </c>
      <c r="U80" s="54">
        <f>+Q80-'St of Net Assets - GA'!M78-'LT _Lia - GA'!S80</f>
        <v>0</v>
      </c>
    </row>
    <row r="81" spans="1:21" ht="12.75">
      <c r="A81" s="32" t="s">
        <v>69</v>
      </c>
      <c r="B81" s="32"/>
      <c r="C81" s="88">
        <f>1910000+1705000+2900000+15979</f>
        <v>6530979</v>
      </c>
      <c r="D81" s="88"/>
      <c r="E81" s="88">
        <v>3800000</v>
      </c>
      <c r="F81" s="88"/>
      <c r="G81" s="88">
        <v>0</v>
      </c>
      <c r="H81" s="88"/>
      <c r="I81" s="88">
        <v>319982</v>
      </c>
      <c r="J81" s="88"/>
      <c r="K81" s="88">
        <v>177940</v>
      </c>
      <c r="L81" s="88"/>
      <c r="M81" s="88">
        <v>1626998</v>
      </c>
      <c r="N81" s="88"/>
      <c r="O81" s="88">
        <v>0</v>
      </c>
      <c r="P81" s="88"/>
      <c r="Q81" s="88">
        <f t="shared" si="2"/>
        <v>12455899</v>
      </c>
      <c r="R81" s="33"/>
      <c r="S81" s="88">
        <v>1635420</v>
      </c>
      <c r="U81" s="54">
        <f>+Q81-'St of Net Assets - GA'!M79-'LT _Lia - GA'!S81</f>
        <v>0</v>
      </c>
    </row>
    <row r="82" spans="1:21" ht="12.75">
      <c r="A82" s="32" t="s">
        <v>98</v>
      </c>
      <c r="B82" s="32"/>
      <c r="C82" s="88">
        <v>5245000</v>
      </c>
      <c r="D82" s="88"/>
      <c r="E82" s="88">
        <v>53171</v>
      </c>
      <c r="F82" s="88"/>
      <c r="G82" s="88">
        <v>0</v>
      </c>
      <c r="H82" s="88"/>
      <c r="I82" s="88">
        <f>299754+1359830</f>
        <v>1659584</v>
      </c>
      <c r="J82" s="88"/>
      <c r="K82" s="88">
        <v>304811</v>
      </c>
      <c r="L82" s="88"/>
      <c r="M82" s="88">
        <v>2264781</v>
      </c>
      <c r="N82" s="88"/>
      <c r="O82" s="88">
        <v>0</v>
      </c>
      <c r="P82" s="88"/>
      <c r="Q82" s="88">
        <f t="shared" si="2"/>
        <v>9527347</v>
      </c>
      <c r="R82" s="33"/>
      <c r="S82" s="88">
        <v>1387089</v>
      </c>
      <c r="U82" s="54">
        <f>+Q82-'St of Net Assets - GA'!M81-'LT _Lia - GA'!S82</f>
        <v>0</v>
      </c>
    </row>
    <row r="83" spans="1:21" ht="12.75">
      <c r="A83" s="32" t="s">
        <v>70</v>
      </c>
      <c r="B83" s="32"/>
      <c r="C83" s="88">
        <v>13003425</v>
      </c>
      <c r="D83" s="88"/>
      <c r="E83" s="88">
        <v>0</v>
      </c>
      <c r="F83" s="88"/>
      <c r="G83" s="88">
        <v>0</v>
      </c>
      <c r="H83" s="88"/>
      <c r="I83" s="88">
        <v>53629</v>
      </c>
      <c r="J83" s="88"/>
      <c r="K83" s="88">
        <v>194730</v>
      </c>
      <c r="L83" s="88"/>
      <c r="M83" s="88">
        <v>2017050</v>
      </c>
      <c r="N83" s="88"/>
      <c r="O83" s="88">
        <v>0</v>
      </c>
      <c r="P83" s="88"/>
      <c r="Q83" s="88">
        <v>15478834</v>
      </c>
      <c r="R83" s="33"/>
      <c r="S83" s="88">
        <v>1980702</v>
      </c>
      <c r="U83" s="54">
        <f>+Q83-'St of Net Assets - GA'!M82-'LT _Lia - GA'!S83</f>
        <v>0</v>
      </c>
    </row>
    <row r="84" spans="1:21" ht="12.75">
      <c r="A84" s="32" t="s">
        <v>71</v>
      </c>
      <c r="B84" s="32"/>
      <c r="C84" s="88">
        <v>6145000</v>
      </c>
      <c r="D84" s="88"/>
      <c r="E84" s="88">
        <v>0</v>
      </c>
      <c r="F84" s="88"/>
      <c r="G84" s="88">
        <v>915000</v>
      </c>
      <c r="H84" s="88"/>
      <c r="I84" s="88">
        <v>92998</v>
      </c>
      <c r="J84" s="88"/>
      <c r="K84" s="88">
        <v>0</v>
      </c>
      <c r="L84" s="88"/>
      <c r="M84" s="88">
        <v>1407153</v>
      </c>
      <c r="N84" s="88"/>
      <c r="O84" s="88">
        <v>0</v>
      </c>
      <c r="P84" s="88"/>
      <c r="Q84" s="88">
        <f t="shared" si="2"/>
        <v>8560151</v>
      </c>
      <c r="R84" s="33"/>
      <c r="S84" s="88">
        <v>1616889</v>
      </c>
      <c r="U84" s="54">
        <f>+Q84-'St of Net Assets - GA'!M83-'LT _Lia - GA'!S84</f>
        <v>0</v>
      </c>
    </row>
    <row r="85" spans="1:21" ht="12.75">
      <c r="A85" s="32" t="s">
        <v>72</v>
      </c>
      <c r="B85" s="32"/>
      <c r="C85" s="88">
        <v>1502000</v>
      </c>
      <c r="D85" s="88"/>
      <c r="E85" s="88">
        <v>0</v>
      </c>
      <c r="F85" s="88"/>
      <c r="G85" s="88">
        <v>124387</v>
      </c>
      <c r="H85" s="88"/>
      <c r="I85" s="88">
        <v>31976</v>
      </c>
      <c r="J85" s="88"/>
      <c r="K85" s="88">
        <v>25559</v>
      </c>
      <c r="L85" s="88"/>
      <c r="M85" s="88">
        <v>1426064</v>
      </c>
      <c r="N85" s="88"/>
      <c r="O85" s="88">
        <v>0</v>
      </c>
      <c r="P85" s="88"/>
      <c r="Q85" s="88">
        <f t="shared" si="2"/>
        <v>3109986</v>
      </c>
      <c r="R85" s="33"/>
      <c r="S85" s="88">
        <v>245770</v>
      </c>
      <c r="U85" s="54">
        <f>+Q85-'St of Net Assets - GA'!M84-'LT _Lia - GA'!S85</f>
        <v>0</v>
      </c>
    </row>
    <row r="86" spans="1:21" ht="12.75">
      <c r="A86" s="32" t="s">
        <v>73</v>
      </c>
      <c r="B86" s="32"/>
      <c r="C86" s="88">
        <v>0</v>
      </c>
      <c r="D86" s="88"/>
      <c r="E86" s="88">
        <v>5549220</v>
      </c>
      <c r="F86" s="88"/>
      <c r="G86" s="88">
        <v>0</v>
      </c>
      <c r="H86" s="88"/>
      <c r="I86" s="88">
        <v>3638234</v>
      </c>
      <c r="J86" s="88"/>
      <c r="K86" s="88">
        <v>385498</v>
      </c>
      <c r="L86" s="88"/>
      <c r="M86" s="88">
        <v>7641922</v>
      </c>
      <c r="N86" s="88"/>
      <c r="O86" s="88">
        <v>0</v>
      </c>
      <c r="P86" s="88"/>
      <c r="Q86" s="88">
        <f t="shared" si="2"/>
        <v>17214874</v>
      </c>
      <c r="R86" s="33"/>
      <c r="S86" s="88">
        <v>5025681</v>
      </c>
      <c r="U86" s="54">
        <f>+Q86-'St of Net Assets - GA'!M85-'LT _Lia - GA'!S86</f>
        <v>0</v>
      </c>
    </row>
    <row r="87" spans="1:21" ht="12.75">
      <c r="A87" s="32" t="s">
        <v>74</v>
      </c>
      <c r="B87" s="32"/>
      <c r="C87" s="88">
        <v>75655929</v>
      </c>
      <c r="D87" s="88"/>
      <c r="E87" s="88">
        <v>1514835</v>
      </c>
      <c r="F87" s="88"/>
      <c r="G87" s="88">
        <v>5710000</v>
      </c>
      <c r="H87" s="88"/>
      <c r="I87" s="88">
        <v>0</v>
      </c>
      <c r="J87" s="88"/>
      <c r="K87" s="88">
        <v>1466578</v>
      </c>
      <c r="L87" s="88"/>
      <c r="M87" s="88">
        <v>21642934</v>
      </c>
      <c r="N87" s="88"/>
      <c r="O87" s="88">
        <f>11962982+4751211+3959452-2910833+636833</f>
        <v>18399645</v>
      </c>
      <c r="P87" s="88"/>
      <c r="Q87" s="88">
        <f t="shared" si="2"/>
        <v>124389921</v>
      </c>
      <c r="R87" s="33"/>
      <c r="S87" s="88">
        <v>16682066</v>
      </c>
      <c r="U87" s="54">
        <f>+Q87-'St of Net Assets - GA'!M86-'LT _Lia - GA'!S87</f>
        <v>0</v>
      </c>
    </row>
    <row r="88" spans="1:21" ht="12.75">
      <c r="A88" s="32" t="s">
        <v>75</v>
      </c>
      <c r="B88" s="32"/>
      <c r="C88" s="88">
        <v>17984184</v>
      </c>
      <c r="D88" s="88"/>
      <c r="E88" s="88">
        <v>3274514</v>
      </c>
      <c r="F88" s="88"/>
      <c r="G88" s="88">
        <v>5573000</v>
      </c>
      <c r="H88" s="88"/>
      <c r="I88" s="88">
        <v>605145</v>
      </c>
      <c r="J88" s="88"/>
      <c r="K88" s="88">
        <v>695825</v>
      </c>
      <c r="L88" s="88"/>
      <c r="M88" s="88">
        <v>4576795</v>
      </c>
      <c r="N88" s="88"/>
      <c r="O88" s="88">
        <v>1395495</v>
      </c>
      <c r="P88" s="88"/>
      <c r="Q88" s="88">
        <f t="shared" si="2"/>
        <v>34104958</v>
      </c>
      <c r="R88" s="33"/>
      <c r="S88" s="88">
        <v>2724649</v>
      </c>
      <c r="U88" s="54">
        <f>+Q88-'St of Net Assets - GA'!M87-'LT _Lia - GA'!S88</f>
        <v>0</v>
      </c>
    </row>
    <row r="89" spans="1:21" ht="12.75">
      <c r="A89" s="32" t="s">
        <v>76</v>
      </c>
      <c r="B89" s="32"/>
      <c r="C89" s="88">
        <v>0</v>
      </c>
      <c r="D89" s="88"/>
      <c r="E89" s="88">
        <v>0</v>
      </c>
      <c r="F89" s="88"/>
      <c r="G89" s="88">
        <v>1000000</v>
      </c>
      <c r="H89" s="88"/>
      <c r="I89" s="88">
        <v>0</v>
      </c>
      <c r="J89" s="88"/>
      <c r="K89" s="88">
        <v>68660</v>
      </c>
      <c r="L89" s="88"/>
      <c r="M89" s="88">
        <v>1581939</v>
      </c>
      <c r="N89" s="88"/>
      <c r="O89" s="88">
        <v>0</v>
      </c>
      <c r="P89" s="88"/>
      <c r="Q89" s="88">
        <f t="shared" si="2"/>
        <v>2650599</v>
      </c>
      <c r="R89" s="33"/>
      <c r="S89" s="88">
        <v>722085</v>
      </c>
      <c r="U89" s="54">
        <f>+Q89-'St of Net Assets - GA'!M88-'LT _Lia - GA'!S89</f>
        <v>0</v>
      </c>
    </row>
    <row r="90" spans="1:21" ht="12.75">
      <c r="A90" s="32" t="s">
        <v>77</v>
      </c>
      <c r="B90" s="32"/>
      <c r="C90" s="88">
        <v>3010000</v>
      </c>
      <c r="D90" s="88"/>
      <c r="E90" s="88">
        <v>5200000</v>
      </c>
      <c r="F90" s="88"/>
      <c r="G90" s="88">
        <v>0</v>
      </c>
      <c r="H90" s="88"/>
      <c r="I90" s="88">
        <v>98961</v>
      </c>
      <c r="J90" s="88"/>
      <c r="K90" s="88">
        <v>750478</v>
      </c>
      <c r="L90" s="88"/>
      <c r="M90" s="88">
        <v>0</v>
      </c>
      <c r="N90" s="88"/>
      <c r="O90" s="88">
        <v>0</v>
      </c>
      <c r="P90" s="88"/>
      <c r="Q90" s="88">
        <f t="shared" si="2"/>
        <v>9059439</v>
      </c>
      <c r="R90" s="33"/>
      <c r="S90" s="88">
        <v>1325190</v>
      </c>
      <c r="U90" s="54">
        <f>+Q90-'St of Net Assets - GA'!M89-'LT _Lia - GA'!S90</f>
        <v>0</v>
      </c>
    </row>
    <row r="91" spans="1:21" ht="12.75">
      <c r="A91" s="32" t="s">
        <v>78</v>
      </c>
      <c r="B91" s="32"/>
      <c r="C91" s="88">
        <v>2488545</v>
      </c>
      <c r="D91" s="88"/>
      <c r="E91" s="88">
        <v>237952</v>
      </c>
      <c r="F91" s="88"/>
      <c r="G91" s="88">
        <v>0</v>
      </c>
      <c r="H91" s="88"/>
      <c r="I91" s="88">
        <v>0</v>
      </c>
      <c r="J91" s="88"/>
      <c r="K91" s="88">
        <v>248108</v>
      </c>
      <c r="L91" s="88"/>
      <c r="M91" s="88">
        <v>725359</v>
      </c>
      <c r="N91" s="88"/>
      <c r="O91" s="88"/>
      <c r="P91" s="88"/>
      <c r="Q91" s="88">
        <f t="shared" si="2"/>
        <v>3699964</v>
      </c>
      <c r="R91" s="33"/>
      <c r="S91" s="88">
        <v>784262</v>
      </c>
      <c r="U91" s="54">
        <f>+Q91-'St of Net Assets - GA'!M90-'LT _Lia - GA'!S91</f>
        <v>0</v>
      </c>
    </row>
    <row r="92" spans="1:21" ht="12.75">
      <c r="A92" s="32" t="s">
        <v>79</v>
      </c>
      <c r="B92" s="32"/>
      <c r="C92" s="88">
        <f>1915963+59406+154496+197825</f>
        <v>2327690</v>
      </c>
      <c r="D92" s="88"/>
      <c r="E92" s="88">
        <v>0</v>
      </c>
      <c r="F92" s="88"/>
      <c r="G92" s="88">
        <v>0</v>
      </c>
      <c r="H92" s="88"/>
      <c r="I92" s="88">
        <v>0</v>
      </c>
      <c r="J92" s="88"/>
      <c r="K92" s="88">
        <v>0</v>
      </c>
      <c r="L92" s="88"/>
      <c r="M92" s="88">
        <v>311541</v>
      </c>
      <c r="N92" s="88"/>
      <c r="O92" s="88">
        <v>0</v>
      </c>
      <c r="P92" s="88"/>
      <c r="Q92" s="88">
        <f t="shared" si="2"/>
        <v>2639231</v>
      </c>
      <c r="R92" s="33"/>
      <c r="S92" s="88">
        <v>98915</v>
      </c>
      <c r="U92" s="54">
        <f>+Q92-'St of Net Assets - GA'!M91-'LT _Lia - GA'!S92</f>
        <v>0</v>
      </c>
    </row>
    <row r="93" spans="1:21" ht="12.75">
      <c r="A93" s="32" t="s">
        <v>80</v>
      </c>
      <c r="B93" s="32"/>
      <c r="C93" s="88">
        <v>5944893</v>
      </c>
      <c r="D93" s="88"/>
      <c r="E93" s="88">
        <v>14953707</v>
      </c>
      <c r="F93" s="88"/>
      <c r="G93" s="88">
        <v>0</v>
      </c>
      <c r="H93" s="88"/>
      <c r="I93" s="88">
        <v>7017931</v>
      </c>
      <c r="J93" s="88"/>
      <c r="K93" s="88">
        <v>33249</v>
      </c>
      <c r="L93" s="88"/>
      <c r="M93" s="88">
        <v>4224090</v>
      </c>
      <c r="N93" s="88"/>
      <c r="O93" s="88">
        <v>0</v>
      </c>
      <c r="P93" s="88"/>
      <c r="Q93" s="88">
        <f t="shared" si="2"/>
        <v>32173870</v>
      </c>
      <c r="R93" s="33"/>
      <c r="S93" s="88">
        <v>1914360</v>
      </c>
      <c r="U93" s="54">
        <f>+Q93-'St of Net Assets - GA'!M92-'LT _Lia - GA'!S93</f>
        <v>0</v>
      </c>
    </row>
    <row r="94" spans="1:21" s="82" customFormat="1" ht="12.75">
      <c r="A94" s="122" t="s">
        <v>81</v>
      </c>
      <c r="B94" s="122"/>
      <c r="C94" s="89">
        <v>6369174</v>
      </c>
      <c r="D94" s="89"/>
      <c r="E94" s="89">
        <v>0</v>
      </c>
      <c r="F94" s="89"/>
      <c r="G94" s="89">
        <v>640500</v>
      </c>
      <c r="H94" s="89"/>
      <c r="I94" s="89">
        <v>0</v>
      </c>
      <c r="J94" s="89"/>
      <c r="K94" s="89">
        <v>8989</v>
      </c>
      <c r="L94" s="89"/>
      <c r="M94" s="89">
        <v>243686</v>
      </c>
      <c r="N94" s="89"/>
      <c r="O94" s="89">
        <v>45808</v>
      </c>
      <c r="P94" s="89"/>
      <c r="Q94" s="89">
        <f t="shared" si="2"/>
        <v>7308157</v>
      </c>
      <c r="R94" s="134"/>
      <c r="S94" s="89">
        <v>489622</v>
      </c>
      <c r="T94" s="135"/>
      <c r="U94" s="136">
        <f>+Q94-'St of Net Assets - GA'!M93-'LT _Lia - GA'!S94</f>
        <v>0</v>
      </c>
    </row>
    <row r="95" spans="1:21" s="82" customFormat="1" ht="12.75">
      <c r="A95" s="122" t="s">
        <v>82</v>
      </c>
      <c r="B95" s="122"/>
      <c r="C95" s="89">
        <v>11227000</v>
      </c>
      <c r="D95" s="89"/>
      <c r="E95" s="89">
        <v>0</v>
      </c>
      <c r="F95" s="89"/>
      <c r="G95" s="89">
        <v>0</v>
      </c>
      <c r="H95" s="89"/>
      <c r="I95" s="89">
        <v>0</v>
      </c>
      <c r="J95" s="89"/>
      <c r="K95" s="89">
        <v>0</v>
      </c>
      <c r="L95" s="89"/>
      <c r="M95" s="89">
        <v>2808805</v>
      </c>
      <c r="N95" s="89"/>
      <c r="O95" s="89">
        <v>0</v>
      </c>
      <c r="P95" s="89"/>
      <c r="Q95" s="89">
        <f t="shared" si="2"/>
        <v>14035805</v>
      </c>
      <c r="R95" s="134"/>
      <c r="S95" s="89">
        <v>1334755</v>
      </c>
      <c r="T95" s="135"/>
      <c r="U95" s="136">
        <f>+Q95-'St of Net Assets - GA'!M94-'LT _Lia - GA'!S95</f>
        <v>0</v>
      </c>
    </row>
    <row r="96" spans="1:21" ht="12.75" hidden="1">
      <c r="A96" s="32" t="s">
        <v>178</v>
      </c>
      <c r="B96" s="32"/>
      <c r="C96" s="88">
        <v>0</v>
      </c>
      <c r="D96" s="88"/>
      <c r="E96" s="88">
        <v>0</v>
      </c>
      <c r="F96" s="88"/>
      <c r="G96" s="88">
        <v>0</v>
      </c>
      <c r="H96" s="88"/>
      <c r="I96" s="88">
        <v>0</v>
      </c>
      <c r="J96" s="88"/>
      <c r="K96" s="88">
        <v>0</v>
      </c>
      <c r="L96" s="88"/>
      <c r="M96" s="88">
        <v>0</v>
      </c>
      <c r="N96" s="88"/>
      <c r="O96" s="88">
        <v>0</v>
      </c>
      <c r="P96" s="88"/>
      <c r="Q96" s="88">
        <f t="shared" si="2"/>
        <v>0</v>
      </c>
      <c r="R96" s="33"/>
      <c r="S96" s="88">
        <v>0</v>
      </c>
      <c r="U96" s="54">
        <f>+Q96-'[1]St of Net Assets - GA'!M94-'[1]LT _Lia - GA'!S94</f>
        <v>0</v>
      </c>
    </row>
    <row r="97" spans="1:21" s="82" customFormat="1" ht="12.75">
      <c r="A97" s="122" t="s">
        <v>83</v>
      </c>
      <c r="B97" s="122"/>
      <c r="C97" s="89">
        <v>9341052</v>
      </c>
      <c r="D97" s="89"/>
      <c r="E97" s="89">
        <v>2062000</v>
      </c>
      <c r="F97" s="89"/>
      <c r="G97" s="89">
        <v>0</v>
      </c>
      <c r="H97" s="89"/>
      <c r="I97" s="89">
        <v>0</v>
      </c>
      <c r="J97" s="89"/>
      <c r="K97" s="89">
        <v>11896</v>
      </c>
      <c r="L97" s="89"/>
      <c r="M97" s="89">
        <v>3285452</v>
      </c>
      <c r="N97" s="89" t="s">
        <v>241</v>
      </c>
      <c r="O97" s="89">
        <v>0</v>
      </c>
      <c r="P97" s="89"/>
      <c r="Q97" s="89">
        <f t="shared" si="2"/>
        <v>14700400</v>
      </c>
      <c r="R97" s="134"/>
      <c r="S97" s="89">
        <v>3519569</v>
      </c>
      <c r="T97" s="135"/>
      <c r="U97" s="136">
        <f>+Q97-'St of Net Assets - GA'!M96-'LT _Lia - GA'!S97</f>
        <v>0</v>
      </c>
    </row>
    <row r="98" spans="1:19" ht="12.75" hidden="1">
      <c r="A98" s="32" t="s">
        <v>179</v>
      </c>
      <c r="B98" s="32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32"/>
    </row>
    <row r="99" spans="1:19" ht="12.75">
      <c r="A99" s="32"/>
      <c r="B99" s="3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32"/>
    </row>
    <row r="100" spans="1:19" ht="12.75">
      <c r="A100" s="32"/>
      <c r="B100" s="3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32"/>
    </row>
    <row r="101" spans="1:19" ht="12.75">
      <c r="A101" s="32"/>
      <c r="B101" s="3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32"/>
    </row>
    <row r="102" spans="1:19" ht="12.75">
      <c r="A102" s="32"/>
      <c r="B102" s="3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32"/>
    </row>
    <row r="103" spans="1:19" ht="12.75">
      <c r="A103" s="32"/>
      <c r="B103" s="3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32"/>
    </row>
    <row r="104" spans="1:19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</row>
    <row r="105" spans="1:19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1:19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:19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1:19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</sheetData>
  <printOptions/>
  <pageMargins left="1" right="1" top="0.5" bottom="0.5" header="0" footer="0.25"/>
  <pageSetup firstPageNumber="58" useFirstPageNumber="1" horizontalDpi="600" verticalDpi="600" orientation="portrait" pageOrder="overThenDown" scale="97" r:id="rId1"/>
  <headerFooter alignWithMargins="0">
    <oddFooter>&amp;C&amp;"Times New Roman,Regular"&amp;11&amp;P</oddFooter>
  </headerFooter>
  <rowBreaks count="1" manualBreakCount="1">
    <brk id="7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101"/>
  <sheetViews>
    <sheetView view="pageBreakPreview" zoomScale="60" workbookViewId="0" topLeftCell="A1">
      <pane xSplit="1" ySplit="9" topLeftCell="B3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7" sqref="A7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" width="10.7109375" style="54" customWidth="1"/>
    <col min="4" max="4" width="1.7109375" style="54" customWidth="1"/>
    <col min="5" max="5" width="10.7109375" style="54" customWidth="1"/>
    <col min="6" max="6" width="1.7109375" style="54" customWidth="1"/>
    <col min="7" max="7" width="10.7109375" style="54" customWidth="1"/>
    <col min="8" max="8" width="1.7109375" style="54" customWidth="1"/>
    <col min="9" max="9" width="10.7109375" style="54" customWidth="1"/>
    <col min="10" max="10" width="1.7109375" style="54" customWidth="1"/>
    <col min="11" max="11" width="10.7109375" style="54" customWidth="1"/>
    <col min="12" max="12" width="2.421875" style="54" customWidth="1"/>
    <col min="13" max="13" width="10.7109375" style="54" customWidth="1"/>
    <col min="14" max="14" width="1.7109375" style="54" customWidth="1"/>
    <col min="15" max="15" width="10.7109375" style="54" customWidth="1"/>
    <col min="16" max="16" width="1.7109375" style="54" customWidth="1"/>
    <col min="17" max="17" width="12.7109375" style="54" customWidth="1"/>
    <col min="18" max="18" width="1.7109375" style="54" customWidth="1"/>
    <col min="19" max="19" width="10.7109375" style="54" customWidth="1"/>
    <col min="20" max="20" width="1.7109375" style="54" customWidth="1"/>
    <col min="21" max="21" width="10.7109375" style="54" customWidth="1"/>
    <col min="22" max="22" width="1.7109375" style="54" customWidth="1"/>
    <col min="23" max="23" width="10.7109375" style="54" customWidth="1"/>
    <col min="24" max="24" width="1.7109375" style="54" customWidth="1"/>
    <col min="25" max="25" width="12.7109375" style="54" customWidth="1"/>
  </cols>
  <sheetData>
    <row r="1" spans="1:25" ht="12.75">
      <c r="A1" s="19" t="s">
        <v>206</v>
      </c>
      <c r="B1" s="20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2.75">
      <c r="A2" s="19" t="s">
        <v>253</v>
      </c>
      <c r="B2" s="2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2.75">
      <c r="A3" s="20"/>
      <c r="B3" s="2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2.75">
      <c r="A4" s="19" t="s">
        <v>191</v>
      </c>
      <c r="B4" s="20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2.75">
      <c r="A5" s="20"/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2.75">
      <c r="A6" s="19"/>
      <c r="B6" s="20"/>
      <c r="C6" s="50" t="s">
        <v>147</v>
      </c>
      <c r="D6" s="50"/>
      <c r="E6" s="50"/>
      <c r="F6" s="50"/>
      <c r="G6" s="50"/>
      <c r="H6" s="23"/>
      <c r="I6" s="50" t="s">
        <v>148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73"/>
      <c r="W6" s="52" t="s">
        <v>4</v>
      </c>
      <c r="X6" s="73"/>
      <c r="Y6" s="53" t="s">
        <v>4</v>
      </c>
    </row>
    <row r="7" spans="1:25" ht="12.75">
      <c r="A7" s="21"/>
      <c r="B7" s="21"/>
      <c r="C7" s="52" t="s">
        <v>0</v>
      </c>
      <c r="D7" s="52"/>
      <c r="E7" s="52" t="s">
        <v>150</v>
      </c>
      <c r="F7" s="52"/>
      <c r="G7" s="52" t="s">
        <v>87</v>
      </c>
      <c r="H7" s="23"/>
      <c r="I7" s="53" t="s">
        <v>151</v>
      </c>
      <c r="J7" s="53"/>
      <c r="K7" s="53" t="s">
        <v>171</v>
      </c>
      <c r="L7" s="53"/>
      <c r="M7" s="53" t="s">
        <v>105</v>
      </c>
      <c r="N7" s="53"/>
      <c r="O7" s="53" t="s">
        <v>146</v>
      </c>
      <c r="P7" s="53"/>
      <c r="Q7" s="52" t="s">
        <v>152</v>
      </c>
      <c r="R7" s="52"/>
      <c r="S7" s="52"/>
      <c r="T7" s="52"/>
      <c r="U7" s="52"/>
      <c r="V7" s="52"/>
      <c r="W7" s="52" t="s">
        <v>103</v>
      </c>
      <c r="X7" s="52"/>
      <c r="Y7" s="52" t="s">
        <v>183</v>
      </c>
    </row>
    <row r="8" spans="1:25" ht="12.75">
      <c r="A8" s="22" t="s">
        <v>5</v>
      </c>
      <c r="B8" s="71"/>
      <c r="C8" s="59" t="s">
        <v>8</v>
      </c>
      <c r="D8" s="23"/>
      <c r="E8" s="59" t="s">
        <v>154</v>
      </c>
      <c r="F8" s="23"/>
      <c r="G8" s="59" t="s">
        <v>155</v>
      </c>
      <c r="H8" s="23"/>
      <c r="I8" s="59" t="s">
        <v>6</v>
      </c>
      <c r="J8" s="23"/>
      <c r="K8" s="59" t="s">
        <v>6</v>
      </c>
      <c r="L8" s="59"/>
      <c r="M8" s="59" t="s">
        <v>6</v>
      </c>
      <c r="N8" s="23"/>
      <c r="O8" s="59" t="s">
        <v>155</v>
      </c>
      <c r="P8" s="23"/>
      <c r="Q8" s="72" t="s">
        <v>156</v>
      </c>
      <c r="R8" s="23"/>
      <c r="S8" s="72" t="s">
        <v>105</v>
      </c>
      <c r="T8" s="23"/>
      <c r="U8" s="72" t="s">
        <v>157</v>
      </c>
      <c r="V8" s="23"/>
      <c r="W8" s="59" t="s">
        <v>12</v>
      </c>
      <c r="X8" s="23"/>
      <c r="Y8" s="72" t="s">
        <v>184</v>
      </c>
    </row>
    <row r="9" spans="1:25" ht="12.75">
      <c r="A9" s="71"/>
      <c r="B9" s="71"/>
      <c r="C9" s="53"/>
      <c r="D9" s="23"/>
      <c r="E9" s="53"/>
      <c r="F9" s="23"/>
      <c r="G9" s="53"/>
      <c r="H9" s="23"/>
      <c r="I9" s="53"/>
      <c r="J9" s="23"/>
      <c r="K9" s="53"/>
      <c r="L9" s="53"/>
      <c r="M9" s="53"/>
      <c r="N9" s="23"/>
      <c r="O9" s="53"/>
      <c r="P9" s="23"/>
      <c r="Q9" s="75"/>
      <c r="R9" s="23"/>
      <c r="S9" s="75"/>
      <c r="T9" s="23"/>
      <c r="U9" s="75"/>
      <c r="V9" s="23"/>
      <c r="W9" s="23"/>
      <c r="X9" s="23"/>
      <c r="Y9" s="75"/>
    </row>
    <row r="10" spans="1:25" ht="12.75">
      <c r="A10" s="30" t="s">
        <v>13</v>
      </c>
      <c r="B10" s="30"/>
      <c r="C10" s="143">
        <f>13691699+1186555</f>
        <v>14878254</v>
      </c>
      <c r="D10" s="143"/>
      <c r="E10" s="143">
        <f>29525124+435000</f>
        <v>29960124</v>
      </c>
      <c r="F10" s="143"/>
      <c r="G10" s="143">
        <v>6356244</v>
      </c>
      <c r="H10" s="143"/>
      <c r="I10" s="143">
        <f>4861022+5457679+1509286</f>
        <v>11827987</v>
      </c>
      <c r="J10" s="143"/>
      <c r="K10" s="143">
        <v>14436613</v>
      </c>
      <c r="L10" s="143"/>
      <c r="M10" s="143">
        <v>0</v>
      </c>
      <c r="N10" s="143"/>
      <c r="O10" s="143">
        <v>4699617</v>
      </c>
      <c r="P10" s="143"/>
      <c r="Q10" s="143">
        <v>1773510</v>
      </c>
      <c r="R10" s="143"/>
      <c r="S10" s="143">
        <f>2387845+4127433-70845</f>
        <v>6444433</v>
      </c>
      <c r="T10" s="143"/>
      <c r="U10" s="143">
        <v>0</v>
      </c>
      <c r="V10" s="143"/>
      <c r="W10" s="143">
        <f>SUM(I10:U10)</f>
        <v>39182160</v>
      </c>
      <c r="X10" s="143"/>
      <c r="Y10" s="143">
        <f>SUM(B10:V10)</f>
        <v>90376782</v>
      </c>
    </row>
    <row r="11" spans="1:25" ht="12.75">
      <c r="A11" s="30" t="s">
        <v>14</v>
      </c>
      <c r="B11" s="30"/>
      <c r="C11" s="23">
        <v>4037551</v>
      </c>
      <c r="D11" s="23"/>
      <c r="E11" s="23">
        <v>16518786</v>
      </c>
      <c r="F11" s="23"/>
      <c r="G11" s="23">
        <v>0</v>
      </c>
      <c r="H11" s="23"/>
      <c r="I11" s="23">
        <f>2125465+723184+3515534</f>
        <v>6364183</v>
      </c>
      <c r="J11" s="23"/>
      <c r="K11" s="23">
        <f>4919228+829332+400200</f>
        <v>6148760</v>
      </c>
      <c r="L11" s="23"/>
      <c r="M11" s="23">
        <v>4146</v>
      </c>
      <c r="N11" s="23"/>
      <c r="O11" s="23">
        <v>2079328</v>
      </c>
      <c r="P11" s="23"/>
      <c r="Q11" s="23">
        <v>556138</v>
      </c>
      <c r="R11" s="23"/>
      <c r="S11" s="23">
        <v>1263777</v>
      </c>
      <c r="T11" s="23"/>
      <c r="U11" s="23">
        <v>-356343</v>
      </c>
      <c r="V11" s="23"/>
      <c r="W11" s="23">
        <f aca="true" t="shared" si="0" ref="W11:W27">SUM(I11:U11)</f>
        <v>16059989</v>
      </c>
      <c r="X11" s="23"/>
      <c r="Y11" s="23">
        <f aca="true" t="shared" si="1" ref="Y11:Y27">SUM(B11:V11)</f>
        <v>36616326</v>
      </c>
    </row>
    <row r="12" spans="1:25" ht="12.75">
      <c r="A12" s="30" t="s">
        <v>15</v>
      </c>
      <c r="B12" s="30"/>
      <c r="C12" s="23">
        <v>12917066</v>
      </c>
      <c r="D12" s="23"/>
      <c r="E12" s="23">
        <v>54160277</v>
      </c>
      <c r="F12" s="23"/>
      <c r="G12" s="23">
        <v>303041</v>
      </c>
      <c r="H12" s="23"/>
      <c r="I12" s="23">
        <f>4934183+7346932+3580283+15547+849196</f>
        <v>16726141</v>
      </c>
      <c r="J12" s="23"/>
      <c r="K12" s="23">
        <v>8777806</v>
      </c>
      <c r="L12" s="23"/>
      <c r="M12" s="23">
        <v>0</v>
      </c>
      <c r="N12" s="23"/>
      <c r="O12" s="23">
        <v>2558748</v>
      </c>
      <c r="P12" s="23"/>
      <c r="Q12" s="23">
        <v>1618407</v>
      </c>
      <c r="R12" s="23"/>
      <c r="S12" s="23">
        <v>467344</v>
      </c>
      <c r="T12" s="23"/>
      <c r="U12" s="23">
        <v>51424</v>
      </c>
      <c r="V12" s="23"/>
      <c r="W12" s="23">
        <f t="shared" si="0"/>
        <v>30199870</v>
      </c>
      <c r="X12" s="23"/>
      <c r="Y12" s="23">
        <f t="shared" si="1"/>
        <v>97580254</v>
      </c>
    </row>
    <row r="13" spans="1:25" ht="12.75">
      <c r="A13" s="30" t="s">
        <v>16</v>
      </c>
      <c r="B13" s="30"/>
      <c r="C13" s="23">
        <v>4146448</v>
      </c>
      <c r="D13" s="23"/>
      <c r="E13" s="23">
        <v>26334833</v>
      </c>
      <c r="F13" s="23"/>
      <c r="G13" s="23">
        <v>2138819</v>
      </c>
      <c r="H13" s="23"/>
      <c r="I13" s="23">
        <f>1576711+2105790+3366791+1460817+590976</f>
        <v>9101085</v>
      </c>
      <c r="J13" s="23"/>
      <c r="K13" s="23">
        <f>4647237+1161202</f>
        <v>5808439</v>
      </c>
      <c r="L13" s="23"/>
      <c r="M13" s="23">
        <v>0</v>
      </c>
      <c r="N13" s="23"/>
      <c r="O13" s="23">
        <v>1770037</v>
      </c>
      <c r="P13" s="23"/>
      <c r="Q13" s="23">
        <v>627608</v>
      </c>
      <c r="R13" s="23"/>
      <c r="S13" s="23">
        <v>2160683</v>
      </c>
      <c r="T13" s="23"/>
      <c r="U13" s="23">
        <v>-3529</v>
      </c>
      <c r="V13" s="23"/>
      <c r="W13" s="23">
        <f t="shared" si="0"/>
        <v>19464323</v>
      </c>
      <c r="X13" s="23"/>
      <c r="Y13" s="23">
        <f t="shared" si="1"/>
        <v>52084423</v>
      </c>
    </row>
    <row r="14" spans="1:25" ht="12.75">
      <c r="A14" s="30" t="s">
        <v>17</v>
      </c>
      <c r="B14" s="30"/>
      <c r="C14" s="23">
        <v>3594228</v>
      </c>
      <c r="D14" s="23"/>
      <c r="E14" s="23">
        <v>9910491</v>
      </c>
      <c r="F14" s="23"/>
      <c r="G14" s="23">
        <v>2064350</v>
      </c>
      <c r="H14" s="23"/>
      <c r="I14" s="23">
        <v>6074973</v>
      </c>
      <c r="J14" s="23"/>
      <c r="K14" s="23">
        <f>5294410+1739473</f>
        <v>7033883</v>
      </c>
      <c r="L14" s="23"/>
      <c r="M14" s="23">
        <v>0</v>
      </c>
      <c r="N14" s="23"/>
      <c r="O14" s="23">
        <v>799374</v>
      </c>
      <c r="P14" s="23"/>
      <c r="Q14" s="23">
        <v>401564</v>
      </c>
      <c r="R14" s="23"/>
      <c r="S14" s="23">
        <f>-57842+461922+494962</f>
        <v>899042</v>
      </c>
      <c r="T14" s="23"/>
      <c r="U14" s="23">
        <v>0</v>
      </c>
      <c r="V14" s="23"/>
      <c r="W14" s="23">
        <f t="shared" si="0"/>
        <v>15208836</v>
      </c>
      <c r="X14" s="23"/>
      <c r="Y14" s="23">
        <f t="shared" si="1"/>
        <v>30777905</v>
      </c>
    </row>
    <row r="15" spans="1:25" ht="12.75">
      <c r="A15" s="30" t="s">
        <v>18</v>
      </c>
      <c r="B15" s="30"/>
      <c r="C15" s="23">
        <v>6395648</v>
      </c>
      <c r="D15" s="23"/>
      <c r="E15" s="23">
        <v>31084463</v>
      </c>
      <c r="F15" s="23"/>
      <c r="G15" s="23">
        <v>2600000</v>
      </c>
      <c r="H15" s="23"/>
      <c r="I15" s="23">
        <f>1979606+4506450+295310+819519+1289175+393852</f>
        <v>9283912</v>
      </c>
      <c r="J15" s="23"/>
      <c r="K15" s="23">
        <f>11817903+250000</f>
        <v>12067903</v>
      </c>
      <c r="L15" s="23"/>
      <c r="M15" s="23">
        <v>0</v>
      </c>
      <c r="N15" s="23"/>
      <c r="O15" s="23">
        <v>529761</v>
      </c>
      <c r="P15" s="23"/>
      <c r="Q15" s="23">
        <v>1338113</v>
      </c>
      <c r="R15" s="23"/>
      <c r="S15" s="23">
        <v>1082996</v>
      </c>
      <c r="T15" s="23"/>
      <c r="U15" s="23">
        <v>-342850</v>
      </c>
      <c r="V15" s="23"/>
      <c r="W15" s="23">
        <f t="shared" si="0"/>
        <v>23959835</v>
      </c>
      <c r="X15" s="23"/>
      <c r="Y15" s="23">
        <f t="shared" si="1"/>
        <v>64039946</v>
      </c>
    </row>
    <row r="16" spans="1:25" ht="12.75" hidden="1">
      <c r="A16" s="30" t="s">
        <v>133</v>
      </c>
      <c r="B16" s="30"/>
      <c r="C16" s="23">
        <v>0</v>
      </c>
      <c r="D16" s="23"/>
      <c r="E16" s="23">
        <v>0</v>
      </c>
      <c r="F16" s="23"/>
      <c r="G16" s="23">
        <v>0</v>
      </c>
      <c r="H16" s="23"/>
      <c r="I16" s="23">
        <v>0</v>
      </c>
      <c r="J16" s="23"/>
      <c r="K16" s="23">
        <v>0</v>
      </c>
      <c r="L16" s="23"/>
      <c r="M16" s="23">
        <v>0</v>
      </c>
      <c r="N16" s="23"/>
      <c r="O16" s="23">
        <v>0</v>
      </c>
      <c r="P16" s="23"/>
      <c r="Q16" s="23">
        <v>0</v>
      </c>
      <c r="R16" s="23"/>
      <c r="S16" s="23">
        <v>0</v>
      </c>
      <c r="T16" s="23"/>
      <c r="U16" s="23">
        <v>0</v>
      </c>
      <c r="V16" s="23"/>
      <c r="W16" s="23">
        <f t="shared" si="0"/>
        <v>0</v>
      </c>
      <c r="X16" s="23"/>
      <c r="Y16" s="23">
        <f t="shared" si="1"/>
        <v>0</v>
      </c>
    </row>
    <row r="17" spans="1:25" ht="12.75">
      <c r="A17" s="30" t="s">
        <v>19</v>
      </c>
      <c r="B17" s="30"/>
      <c r="C17" s="23">
        <v>63012448</v>
      </c>
      <c r="D17" s="23"/>
      <c r="E17" s="23">
        <v>85877036</v>
      </c>
      <c r="F17" s="23"/>
      <c r="G17" s="23">
        <v>14115402</v>
      </c>
      <c r="H17" s="23"/>
      <c r="I17" s="23">
        <f>12419287+14765474+12829080+1920227+7476865</f>
        <v>49410933</v>
      </c>
      <c r="J17" s="23"/>
      <c r="K17" s="23">
        <v>18414113</v>
      </c>
      <c r="L17" s="23"/>
      <c r="M17" s="23">
        <v>0</v>
      </c>
      <c r="N17" s="23"/>
      <c r="O17" s="23">
        <v>11232408</v>
      </c>
      <c r="P17" s="23"/>
      <c r="Q17" s="23">
        <v>2891968</v>
      </c>
      <c r="R17" s="23"/>
      <c r="S17" s="23">
        <f>-1159879+2412759</f>
        <v>1252880</v>
      </c>
      <c r="T17" s="23"/>
      <c r="U17" s="23">
        <v>0</v>
      </c>
      <c r="V17" s="23"/>
      <c r="W17" s="23">
        <f t="shared" si="0"/>
        <v>83202302</v>
      </c>
      <c r="X17" s="23"/>
      <c r="Y17" s="23">
        <f t="shared" si="1"/>
        <v>246207188</v>
      </c>
    </row>
    <row r="18" spans="1:25" ht="12.75">
      <c r="A18" s="30" t="s">
        <v>20</v>
      </c>
      <c r="B18" s="30"/>
      <c r="C18" s="23">
        <v>2687753</v>
      </c>
      <c r="D18" s="23"/>
      <c r="E18" s="23">
        <v>10826647</v>
      </c>
      <c r="F18" s="23"/>
      <c r="G18" s="23">
        <v>0</v>
      </c>
      <c r="H18" s="23"/>
      <c r="I18" s="23">
        <f>1451389+1872811+580454+227924</f>
        <v>4132578</v>
      </c>
      <c r="J18" s="23"/>
      <c r="K18" s="23">
        <v>1724716</v>
      </c>
      <c r="L18" s="23"/>
      <c r="M18" s="23">
        <v>0</v>
      </c>
      <c r="N18" s="23"/>
      <c r="O18" s="23">
        <v>1406227</v>
      </c>
      <c r="P18" s="23"/>
      <c r="Q18" s="23">
        <v>237462</v>
      </c>
      <c r="R18" s="23"/>
      <c r="S18" s="23">
        <v>1294146</v>
      </c>
      <c r="T18" s="23"/>
      <c r="U18" s="23">
        <v>-8528</v>
      </c>
      <c r="V18" s="23"/>
      <c r="W18" s="23">
        <f t="shared" si="0"/>
        <v>8786601</v>
      </c>
      <c r="X18" s="23"/>
      <c r="Y18" s="23">
        <f t="shared" si="1"/>
        <v>22301001</v>
      </c>
    </row>
    <row r="19" spans="1:25" ht="12.75" hidden="1">
      <c r="A19" s="30" t="s">
        <v>177</v>
      </c>
      <c r="B19" s="30"/>
      <c r="C19" s="23">
        <v>0</v>
      </c>
      <c r="D19" s="23"/>
      <c r="E19" s="23">
        <v>0</v>
      </c>
      <c r="F19" s="23"/>
      <c r="G19" s="23">
        <v>0</v>
      </c>
      <c r="H19" s="23"/>
      <c r="I19" s="23">
        <v>0</v>
      </c>
      <c r="J19" s="23"/>
      <c r="K19" s="23">
        <v>0</v>
      </c>
      <c r="L19" s="23"/>
      <c r="M19" s="23">
        <v>0</v>
      </c>
      <c r="N19" s="23"/>
      <c r="O19" s="23">
        <v>0</v>
      </c>
      <c r="P19" s="23"/>
      <c r="Q19" s="23">
        <v>0</v>
      </c>
      <c r="R19" s="23"/>
      <c r="S19" s="23">
        <v>0</v>
      </c>
      <c r="T19" s="23"/>
      <c r="U19" s="23">
        <v>0</v>
      </c>
      <c r="V19" s="23"/>
      <c r="W19" s="23">
        <f t="shared" si="0"/>
        <v>0</v>
      </c>
      <c r="X19" s="23"/>
      <c r="Y19" s="23">
        <f t="shared" si="1"/>
        <v>0</v>
      </c>
    </row>
    <row r="20" spans="1:25" ht="12.75">
      <c r="A20" s="30" t="s">
        <v>21</v>
      </c>
      <c r="B20" s="30"/>
      <c r="C20" s="23">
        <v>21651538</v>
      </c>
      <c r="D20" s="23"/>
      <c r="E20" s="23">
        <v>52477311</v>
      </c>
      <c r="F20" s="23"/>
      <c r="G20" s="23">
        <v>1230755</v>
      </c>
      <c r="H20" s="23"/>
      <c r="I20" s="23">
        <f>3505252+2853061+10647764+1303362</f>
        <v>18309439</v>
      </c>
      <c r="J20" s="23"/>
      <c r="K20" s="23">
        <v>15018094</v>
      </c>
      <c r="L20" s="23"/>
      <c r="M20" s="23">
        <v>0</v>
      </c>
      <c r="N20" s="23"/>
      <c r="O20" s="23">
        <v>6118338</v>
      </c>
      <c r="P20" s="23"/>
      <c r="Q20" s="23">
        <v>1599833</v>
      </c>
      <c r="R20" s="23"/>
      <c r="S20" s="23">
        <v>2023676</v>
      </c>
      <c r="T20" s="23"/>
      <c r="U20" s="23">
        <v>0</v>
      </c>
      <c r="V20" s="23"/>
      <c r="W20" s="23">
        <f t="shared" si="0"/>
        <v>43069380</v>
      </c>
      <c r="X20" s="23"/>
      <c r="Y20" s="23">
        <f t="shared" si="1"/>
        <v>118428984</v>
      </c>
    </row>
    <row r="21" spans="1:25" ht="12.75">
      <c r="A21" s="30" t="s">
        <v>188</v>
      </c>
      <c r="B21" s="30"/>
      <c r="C21" s="23">
        <v>25031392</v>
      </c>
      <c r="D21" s="23"/>
      <c r="E21" s="23">
        <v>33703743</v>
      </c>
      <c r="F21" s="23"/>
      <c r="G21" s="23">
        <v>12504470</v>
      </c>
      <c r="H21" s="23"/>
      <c r="I21" s="23">
        <f>7270232+6055984+3454195+430014</f>
        <v>17210425</v>
      </c>
      <c r="J21" s="23"/>
      <c r="K21" s="23">
        <v>22783754</v>
      </c>
      <c r="L21" s="23"/>
      <c r="M21" s="23">
        <v>0</v>
      </c>
      <c r="N21" s="23"/>
      <c r="O21" s="23">
        <v>5945983</v>
      </c>
      <c r="P21" s="23"/>
      <c r="Q21" s="23">
        <v>2921263</v>
      </c>
      <c r="R21" s="23"/>
      <c r="S21" s="23">
        <v>153919</v>
      </c>
      <c r="T21" s="23"/>
      <c r="U21" s="23">
        <v>-1789515</v>
      </c>
      <c r="V21" s="23"/>
      <c r="W21" s="23">
        <f t="shared" si="0"/>
        <v>47225829</v>
      </c>
      <c r="X21" s="23"/>
      <c r="Y21" s="23">
        <f t="shared" si="1"/>
        <v>118465434</v>
      </c>
    </row>
    <row r="22" spans="1:25" ht="12.75">
      <c r="A22" s="30" t="s">
        <v>22</v>
      </c>
      <c r="B22" s="30"/>
      <c r="C22" s="23">
        <v>6067746</v>
      </c>
      <c r="D22" s="23"/>
      <c r="E22" s="23">
        <v>10057845</v>
      </c>
      <c r="F22" s="23"/>
      <c r="G22" s="23">
        <v>426758</v>
      </c>
      <c r="H22" s="23"/>
      <c r="I22" s="23">
        <f>1644634+390712+1821490+866372+109614+405575+3718</f>
        <v>5242115</v>
      </c>
      <c r="J22" s="23"/>
      <c r="K22" s="23">
        <v>5364309</v>
      </c>
      <c r="L22" s="23"/>
      <c r="M22" s="23">
        <v>0</v>
      </c>
      <c r="N22" s="23"/>
      <c r="O22" s="23">
        <v>1342357</v>
      </c>
      <c r="P22" s="23"/>
      <c r="Q22" s="23">
        <v>386526</v>
      </c>
      <c r="R22" s="23"/>
      <c r="S22" s="23">
        <v>3372294</v>
      </c>
      <c r="T22" s="23"/>
      <c r="U22" s="23">
        <v>0</v>
      </c>
      <c r="V22" s="23"/>
      <c r="W22" s="23">
        <f t="shared" si="0"/>
        <v>15707601</v>
      </c>
      <c r="X22" s="23"/>
      <c r="Y22" s="23">
        <f t="shared" si="1"/>
        <v>32259950</v>
      </c>
    </row>
    <row r="23" spans="1:25" ht="12.75" hidden="1">
      <c r="A23" s="30" t="s">
        <v>23</v>
      </c>
      <c r="B23" s="30"/>
      <c r="C23" s="23">
        <v>0</v>
      </c>
      <c r="D23" s="23"/>
      <c r="E23" s="23">
        <v>0</v>
      </c>
      <c r="F23" s="23"/>
      <c r="G23" s="23">
        <v>0</v>
      </c>
      <c r="H23" s="23"/>
      <c r="I23" s="23">
        <v>0</v>
      </c>
      <c r="J23" s="23"/>
      <c r="K23" s="23">
        <v>0</v>
      </c>
      <c r="L23" s="23"/>
      <c r="M23" s="23">
        <v>0</v>
      </c>
      <c r="N23" s="23"/>
      <c r="O23" s="23">
        <v>0</v>
      </c>
      <c r="P23" s="23"/>
      <c r="Q23" s="23">
        <v>0</v>
      </c>
      <c r="R23" s="23"/>
      <c r="S23" s="23">
        <v>0</v>
      </c>
      <c r="T23" s="23"/>
      <c r="U23" s="23">
        <v>0</v>
      </c>
      <c r="V23" s="23"/>
      <c r="W23" s="23">
        <f t="shared" si="0"/>
        <v>0</v>
      </c>
      <c r="X23" s="23"/>
      <c r="Y23" s="23">
        <f t="shared" si="1"/>
        <v>0</v>
      </c>
    </row>
    <row r="24" spans="1:25" ht="12.75" hidden="1">
      <c r="A24" s="30" t="s">
        <v>24</v>
      </c>
      <c r="B24" s="30"/>
      <c r="C24" s="23">
        <v>0</v>
      </c>
      <c r="D24" s="23"/>
      <c r="E24" s="23">
        <v>0</v>
      </c>
      <c r="F24" s="23"/>
      <c r="G24" s="23">
        <v>0</v>
      </c>
      <c r="H24" s="23"/>
      <c r="I24" s="23">
        <v>0</v>
      </c>
      <c r="J24" s="23"/>
      <c r="K24" s="23">
        <v>0</v>
      </c>
      <c r="L24" s="23"/>
      <c r="M24" s="23">
        <v>0</v>
      </c>
      <c r="N24" s="23"/>
      <c r="O24" s="23">
        <v>0</v>
      </c>
      <c r="P24" s="23"/>
      <c r="Q24" s="23">
        <v>0</v>
      </c>
      <c r="R24" s="23"/>
      <c r="S24" s="23">
        <v>0</v>
      </c>
      <c r="T24" s="23"/>
      <c r="U24" s="23">
        <v>0</v>
      </c>
      <c r="V24" s="23"/>
      <c r="W24" s="23">
        <f t="shared" si="0"/>
        <v>0</v>
      </c>
      <c r="X24" s="23"/>
      <c r="Y24" s="23">
        <f t="shared" si="1"/>
        <v>0</v>
      </c>
    </row>
    <row r="25" spans="1:25" ht="12.75">
      <c r="A25" s="30" t="s">
        <v>186</v>
      </c>
      <c r="B25" s="30"/>
      <c r="C25" s="23">
        <v>7401638</v>
      </c>
      <c r="D25" s="23"/>
      <c r="E25" s="23">
        <v>12151101</v>
      </c>
      <c r="F25" s="23"/>
      <c r="G25" s="23">
        <v>729552</v>
      </c>
      <c r="H25" s="23"/>
      <c r="I25" s="23">
        <f>1356872+424472+2157592+226028+464974+307270</f>
        <v>4937208</v>
      </c>
      <c r="J25" s="23"/>
      <c r="K25" s="23">
        <f>3379027+1352767+336475</f>
        <v>5068269</v>
      </c>
      <c r="L25" s="23"/>
      <c r="M25" s="23">
        <v>0</v>
      </c>
      <c r="N25" s="23"/>
      <c r="O25" s="23">
        <v>1434342</v>
      </c>
      <c r="P25" s="23"/>
      <c r="Q25" s="23">
        <v>527577</v>
      </c>
      <c r="R25" s="23"/>
      <c r="S25" s="23">
        <v>1028562</v>
      </c>
      <c r="T25" s="23"/>
      <c r="U25" s="23">
        <v>-502</v>
      </c>
      <c r="V25" s="23"/>
      <c r="W25" s="23">
        <f t="shared" si="0"/>
        <v>12995456</v>
      </c>
      <c r="X25" s="23"/>
      <c r="Y25" s="23">
        <f t="shared" si="1"/>
        <v>33277747</v>
      </c>
    </row>
    <row r="26" spans="1:25" ht="12.75">
      <c r="A26" s="30" t="s">
        <v>25</v>
      </c>
      <c r="B26" s="30"/>
      <c r="C26" s="23">
        <v>96837000</v>
      </c>
      <c r="D26" s="23"/>
      <c r="E26" s="23">
        <v>622402000</v>
      </c>
      <c r="F26" s="23"/>
      <c r="G26" s="23">
        <v>36289000</v>
      </c>
      <c r="H26" s="23"/>
      <c r="I26" s="23">
        <v>313675000</v>
      </c>
      <c r="J26" s="23"/>
      <c r="K26" s="23">
        <v>167125000</v>
      </c>
      <c r="L26" s="23"/>
      <c r="M26" s="23">
        <v>27362000</v>
      </c>
      <c r="N26" s="23"/>
      <c r="O26" s="23">
        <f>38131000+41838000</f>
        <v>79969000</v>
      </c>
      <c r="P26" s="23"/>
      <c r="Q26" s="23">
        <v>17147000</v>
      </c>
      <c r="R26" s="23"/>
      <c r="S26" s="23">
        <v>13823000</v>
      </c>
      <c r="T26" s="23"/>
      <c r="U26" s="23">
        <v>-662000</v>
      </c>
      <c r="V26" s="23"/>
      <c r="W26" s="23">
        <f t="shared" si="0"/>
        <v>618439000</v>
      </c>
      <c r="X26" s="23"/>
      <c r="Y26" s="23">
        <f t="shared" si="1"/>
        <v>1373967000</v>
      </c>
    </row>
    <row r="27" spans="1:25" ht="12.75">
      <c r="A27" s="30" t="s">
        <v>26</v>
      </c>
      <c r="B27" s="30"/>
      <c r="C27" s="23">
        <v>4012731</v>
      </c>
      <c r="D27" s="23"/>
      <c r="E27" s="23">
        <v>11814468</v>
      </c>
      <c r="F27" s="23"/>
      <c r="G27" s="23">
        <v>670087</v>
      </c>
      <c r="H27" s="23"/>
      <c r="I27" s="23">
        <f>2339213+2508282</f>
        <v>4847495</v>
      </c>
      <c r="J27" s="23"/>
      <c r="K27" s="23">
        <v>4903446</v>
      </c>
      <c r="L27" s="23"/>
      <c r="M27" s="23">
        <v>0</v>
      </c>
      <c r="N27" s="23"/>
      <c r="O27" s="23">
        <v>1760128</v>
      </c>
      <c r="P27" s="23"/>
      <c r="Q27" s="23">
        <v>564892</v>
      </c>
      <c r="R27" s="23"/>
      <c r="S27" s="23">
        <v>1329610</v>
      </c>
      <c r="T27" s="23"/>
      <c r="U27" s="23">
        <v>0</v>
      </c>
      <c r="V27" s="23"/>
      <c r="W27" s="23">
        <f t="shared" si="0"/>
        <v>13405571</v>
      </c>
      <c r="X27" s="23"/>
      <c r="Y27" s="23">
        <f t="shared" si="1"/>
        <v>29902857</v>
      </c>
    </row>
    <row r="28" spans="1:25" ht="12.75">
      <c r="A28" s="30" t="s">
        <v>27</v>
      </c>
      <c r="B28" s="30"/>
      <c r="C28" s="23">
        <v>4371028</v>
      </c>
      <c r="D28" s="23"/>
      <c r="E28" s="23">
        <v>13095647</v>
      </c>
      <c r="F28" s="23"/>
      <c r="G28" s="23">
        <v>726449</v>
      </c>
      <c r="H28" s="23"/>
      <c r="I28" s="23">
        <f>1699633+762434+2039384+713206</f>
        <v>5214657</v>
      </c>
      <c r="J28" s="23"/>
      <c r="K28" s="23">
        <v>4433635</v>
      </c>
      <c r="L28" s="23"/>
      <c r="M28" s="23">
        <v>0</v>
      </c>
      <c r="N28" s="23"/>
      <c r="O28" s="23">
        <v>1169979</v>
      </c>
      <c r="P28" s="23"/>
      <c r="Q28" s="23">
        <v>1631377</v>
      </c>
      <c r="R28" s="23"/>
      <c r="S28" s="23">
        <f>1438794+1175551</f>
        <v>2614345</v>
      </c>
      <c r="T28" s="23"/>
      <c r="U28" s="23">
        <v>-485455</v>
      </c>
      <c r="V28" s="23"/>
      <c r="W28" s="23">
        <f aca="true" t="shared" si="2" ref="W28:W43">SUM(I28:U28)</f>
        <v>14578538</v>
      </c>
      <c r="X28" s="23"/>
      <c r="Y28" s="23">
        <f aca="true" t="shared" si="3" ref="Y28:Y74">SUM(B28:V28)</f>
        <v>32771662</v>
      </c>
    </row>
    <row r="29" spans="1:25" ht="12.75">
      <c r="A29" s="30" t="s">
        <v>28</v>
      </c>
      <c r="B29" s="30"/>
      <c r="C29" s="23">
        <v>22164463</v>
      </c>
      <c r="D29" s="23"/>
      <c r="E29" s="23">
        <v>19165595</v>
      </c>
      <c r="F29" s="23"/>
      <c r="G29" s="23">
        <v>580128</v>
      </c>
      <c r="H29" s="23"/>
      <c r="I29" s="23">
        <f>4498079+1023787+7878542+470380</f>
        <v>13870788</v>
      </c>
      <c r="J29" s="23"/>
      <c r="K29" s="23">
        <f>19523710+13016554</f>
        <v>32540264</v>
      </c>
      <c r="L29" s="23"/>
      <c r="M29" s="23">
        <v>140616</v>
      </c>
      <c r="N29" s="23"/>
      <c r="O29" s="23">
        <v>3331561</v>
      </c>
      <c r="P29" s="23"/>
      <c r="Q29" s="23">
        <v>4877806</v>
      </c>
      <c r="R29" s="23"/>
      <c r="S29" s="23">
        <v>1228948</v>
      </c>
      <c r="T29" s="23"/>
      <c r="U29" s="23">
        <v>-60000</v>
      </c>
      <c r="V29" s="23"/>
      <c r="W29" s="23">
        <f t="shared" si="2"/>
        <v>55929983</v>
      </c>
      <c r="X29" s="23"/>
      <c r="Y29" s="23">
        <f t="shared" si="3"/>
        <v>97840169</v>
      </c>
    </row>
    <row r="30" spans="1:25" ht="12.75">
      <c r="A30" s="30" t="s">
        <v>29</v>
      </c>
      <c r="B30" s="30"/>
      <c r="C30" s="23">
        <v>7214234</v>
      </c>
      <c r="D30" s="23"/>
      <c r="E30" s="23">
        <v>19408078</v>
      </c>
      <c r="F30" s="23"/>
      <c r="G30" s="23">
        <v>250000</v>
      </c>
      <c r="H30" s="23"/>
      <c r="I30" s="23">
        <f>5185358+5051749+842202</f>
        <v>11079309</v>
      </c>
      <c r="J30" s="23"/>
      <c r="K30" s="23">
        <v>13911581</v>
      </c>
      <c r="L30" s="23"/>
      <c r="M30" s="23">
        <v>0</v>
      </c>
      <c r="N30" s="23"/>
      <c r="O30" s="23">
        <v>3826400</v>
      </c>
      <c r="P30" s="23"/>
      <c r="Q30" s="23">
        <v>1637755</v>
      </c>
      <c r="R30" s="23"/>
      <c r="S30" s="23">
        <v>2102063</v>
      </c>
      <c r="T30" s="23"/>
      <c r="U30" s="23">
        <v>-53035</v>
      </c>
      <c r="V30" s="23"/>
      <c r="W30" s="23">
        <f t="shared" si="2"/>
        <v>32504073</v>
      </c>
      <c r="X30" s="23"/>
      <c r="Y30" s="23">
        <f t="shared" si="3"/>
        <v>59376385</v>
      </c>
    </row>
    <row r="31" spans="1:25" ht="12.75">
      <c r="A31" s="30" t="s">
        <v>30</v>
      </c>
      <c r="B31" s="30"/>
      <c r="C31" s="23">
        <v>12199025</v>
      </c>
      <c r="D31" s="23"/>
      <c r="E31" s="23">
        <v>32923107</v>
      </c>
      <c r="F31" s="23"/>
      <c r="G31" s="23">
        <v>4391378</v>
      </c>
      <c r="H31" s="23"/>
      <c r="I31" s="23">
        <f>8181777+1361799+5211046+1240542</f>
        <v>15995164</v>
      </c>
      <c r="J31" s="23"/>
      <c r="K31" s="23">
        <v>10863623</v>
      </c>
      <c r="L31" s="23"/>
      <c r="M31" s="23">
        <v>0</v>
      </c>
      <c r="N31" s="23"/>
      <c r="O31" s="23">
        <v>3476193</v>
      </c>
      <c r="P31" s="23"/>
      <c r="Q31" s="23">
        <v>1699686</v>
      </c>
      <c r="R31" s="23"/>
      <c r="S31" s="23">
        <v>1190515</v>
      </c>
      <c r="T31" s="23"/>
      <c r="U31" s="23">
        <v>0</v>
      </c>
      <c r="V31" s="23"/>
      <c r="W31" s="23">
        <f t="shared" si="2"/>
        <v>33225181</v>
      </c>
      <c r="X31" s="23"/>
      <c r="Y31" s="23">
        <f t="shared" si="3"/>
        <v>82738691</v>
      </c>
    </row>
    <row r="32" spans="1:25" ht="12.75" hidden="1">
      <c r="A32" s="30" t="s">
        <v>31</v>
      </c>
      <c r="B32" s="30"/>
      <c r="C32" s="23">
        <v>0</v>
      </c>
      <c r="D32" s="23"/>
      <c r="E32" s="23">
        <v>0</v>
      </c>
      <c r="F32" s="23"/>
      <c r="G32" s="23">
        <v>0</v>
      </c>
      <c r="H32" s="23"/>
      <c r="I32" s="23">
        <v>0</v>
      </c>
      <c r="J32" s="23"/>
      <c r="K32" s="23">
        <v>0</v>
      </c>
      <c r="L32" s="23"/>
      <c r="M32" s="23">
        <v>0</v>
      </c>
      <c r="N32" s="23"/>
      <c r="O32" s="23">
        <v>0</v>
      </c>
      <c r="P32" s="23"/>
      <c r="Q32" s="23">
        <v>0</v>
      </c>
      <c r="R32" s="23"/>
      <c r="S32" s="23">
        <v>0</v>
      </c>
      <c r="T32" s="23"/>
      <c r="U32" s="23">
        <v>0</v>
      </c>
      <c r="V32" s="23"/>
      <c r="W32" s="23">
        <f t="shared" si="2"/>
        <v>0</v>
      </c>
      <c r="X32" s="23"/>
      <c r="Y32" s="23">
        <f t="shared" si="3"/>
        <v>0</v>
      </c>
    </row>
    <row r="33" spans="1:25" ht="12.75">
      <c r="A33" s="30" t="s">
        <v>32</v>
      </c>
      <c r="B33" s="30"/>
      <c r="C33" s="23">
        <v>111617000</v>
      </c>
      <c r="D33" s="23"/>
      <c r="E33" s="23">
        <v>357331000</v>
      </c>
      <c r="F33" s="23"/>
      <c r="G33" s="23">
        <v>26232000</v>
      </c>
      <c r="H33" s="23"/>
      <c r="I33" s="23">
        <v>337991000</v>
      </c>
      <c r="J33" s="23"/>
      <c r="K33" s="23">
        <v>105886000</v>
      </c>
      <c r="L33" s="23"/>
      <c r="M33" s="23">
        <v>0</v>
      </c>
      <c r="N33" s="23"/>
      <c r="O33" s="23">
        <v>63506000</v>
      </c>
      <c r="P33" s="23"/>
      <c r="Q33" s="23">
        <v>18025000</v>
      </c>
      <c r="R33" s="23"/>
      <c r="S33" s="23">
        <v>0</v>
      </c>
      <c r="T33" s="23"/>
      <c r="U33" s="23">
        <v>31000</v>
      </c>
      <c r="V33" s="23"/>
      <c r="W33" s="23">
        <f t="shared" si="2"/>
        <v>525439000</v>
      </c>
      <c r="X33" s="23"/>
      <c r="Y33" s="23">
        <f>SUM(B33:V33)</f>
        <v>1020619000</v>
      </c>
    </row>
    <row r="34" spans="1:25" ht="12.75">
      <c r="A34" s="30" t="s">
        <v>33</v>
      </c>
      <c r="B34" s="30"/>
      <c r="C34" s="23">
        <v>4279795</v>
      </c>
      <c r="D34" s="23"/>
      <c r="E34" s="23">
        <v>8762924</v>
      </c>
      <c r="F34" s="23"/>
      <c r="G34" s="23">
        <v>933512</v>
      </c>
      <c r="H34" s="23"/>
      <c r="I34" s="23">
        <f>1587762+2431041+873846+1451797+341142+358580</f>
        <v>7044168</v>
      </c>
      <c r="J34" s="23"/>
      <c r="K34" s="23">
        <v>4370230</v>
      </c>
      <c r="L34" s="23"/>
      <c r="M34" s="23">
        <v>0</v>
      </c>
      <c r="N34" s="23"/>
      <c r="O34" s="23">
        <v>1947136</v>
      </c>
      <c r="P34" s="23"/>
      <c r="Q34" s="23">
        <v>542904</v>
      </c>
      <c r="R34" s="23"/>
      <c r="S34" s="23">
        <v>1751404</v>
      </c>
      <c r="T34" s="23"/>
      <c r="U34" s="23">
        <v>-38000</v>
      </c>
      <c r="V34" s="23"/>
      <c r="W34" s="23">
        <f t="shared" si="2"/>
        <v>15617842</v>
      </c>
      <c r="X34" s="23"/>
      <c r="Y34" s="23">
        <f>SUM(B34:V34)</f>
        <v>29594073</v>
      </c>
    </row>
    <row r="35" spans="1:25" ht="12.75">
      <c r="A35" s="30" t="s">
        <v>34</v>
      </c>
      <c r="B35" s="30"/>
      <c r="C35" s="23">
        <v>3154551</v>
      </c>
      <c r="D35" s="23"/>
      <c r="E35" s="23">
        <v>16108055</v>
      </c>
      <c r="F35" s="23"/>
      <c r="G35" s="23">
        <v>463277</v>
      </c>
      <c r="H35" s="23"/>
      <c r="I35" s="23">
        <f>1511600+881268</f>
        <v>2392868</v>
      </c>
      <c r="J35" s="23"/>
      <c r="K35" s="23">
        <f>2965880+1141433</f>
        <v>4107313</v>
      </c>
      <c r="L35" s="23"/>
      <c r="M35" s="23">
        <v>0</v>
      </c>
      <c r="N35" s="23"/>
      <c r="O35" s="23">
        <v>853112</v>
      </c>
      <c r="P35" s="23"/>
      <c r="Q35" s="23">
        <v>291896</v>
      </c>
      <c r="R35" s="23"/>
      <c r="S35" s="23">
        <v>560171</v>
      </c>
      <c r="T35" s="23"/>
      <c r="U35" s="23">
        <v>0</v>
      </c>
      <c r="V35" s="23"/>
      <c r="W35" s="23">
        <f t="shared" si="2"/>
        <v>8205360</v>
      </c>
      <c r="X35" s="23"/>
      <c r="Y35" s="23">
        <f t="shared" si="3"/>
        <v>27931243</v>
      </c>
    </row>
    <row r="36" spans="1:25" ht="12.75">
      <c r="A36" s="30" t="s">
        <v>35</v>
      </c>
      <c r="B36" s="30"/>
      <c r="C36" s="23">
        <v>7103990</v>
      </c>
      <c r="D36" s="23"/>
      <c r="E36" s="23">
        <v>25693478</v>
      </c>
      <c r="F36" s="23"/>
      <c r="G36" s="23">
        <v>4813140</v>
      </c>
      <c r="H36" s="23"/>
      <c r="I36" s="23">
        <f>7416017+1808812+1725899+2587206+8101028+53596+3415096</f>
        <v>25107654</v>
      </c>
      <c r="J36" s="23"/>
      <c r="K36" s="23">
        <v>10596652</v>
      </c>
      <c r="L36" s="23"/>
      <c r="M36" s="23">
        <v>0</v>
      </c>
      <c r="N36" s="23"/>
      <c r="O36" s="23">
        <v>3196774</v>
      </c>
      <c r="P36" s="23"/>
      <c r="Q36" s="23">
        <v>1199245</v>
      </c>
      <c r="R36" s="23"/>
      <c r="S36" s="23">
        <v>1759610</v>
      </c>
      <c r="T36" s="23"/>
      <c r="U36" s="23">
        <v>-50480</v>
      </c>
      <c r="V36" s="23"/>
      <c r="W36" s="23">
        <f t="shared" si="2"/>
        <v>41809455</v>
      </c>
      <c r="X36" s="23"/>
      <c r="Y36" s="23">
        <f t="shared" si="3"/>
        <v>79420063</v>
      </c>
    </row>
    <row r="37" spans="1:25" ht="12.75">
      <c r="A37" s="30" t="s">
        <v>189</v>
      </c>
      <c r="B37" s="30"/>
      <c r="C37" s="23">
        <v>19265648</v>
      </c>
      <c r="D37" s="23"/>
      <c r="E37" s="23">
        <v>34745216</v>
      </c>
      <c r="F37" s="23"/>
      <c r="G37" s="23">
        <v>139414</v>
      </c>
      <c r="H37" s="23"/>
      <c r="I37" s="23">
        <f>6713315+630511+3588513+2808235+9906813+2661297+2292652+303004+731669</f>
        <v>29636009</v>
      </c>
      <c r="J37" s="23"/>
      <c r="K37" s="23">
        <v>19258567</v>
      </c>
      <c r="L37" s="23"/>
      <c r="M37" s="23">
        <v>41722</v>
      </c>
      <c r="N37" s="23"/>
      <c r="O37" s="23">
        <v>4842854</v>
      </c>
      <c r="P37" s="23"/>
      <c r="Q37" s="23">
        <v>2397712</v>
      </c>
      <c r="R37" s="23"/>
      <c r="S37" s="23">
        <v>3013452</v>
      </c>
      <c r="T37" s="23"/>
      <c r="U37" s="23">
        <v>-314607</v>
      </c>
      <c r="V37" s="23"/>
      <c r="W37" s="23">
        <f t="shared" si="2"/>
        <v>58875709</v>
      </c>
      <c r="X37" s="23"/>
      <c r="Y37" s="23">
        <f t="shared" si="3"/>
        <v>113025987</v>
      </c>
    </row>
    <row r="38" spans="1:25" ht="12.75" hidden="1">
      <c r="A38" s="30" t="s">
        <v>36</v>
      </c>
      <c r="B38" s="30"/>
      <c r="C38" s="23">
        <v>0</v>
      </c>
      <c r="D38" s="23"/>
      <c r="E38" s="23">
        <v>0</v>
      </c>
      <c r="F38" s="23"/>
      <c r="G38" s="23">
        <v>0</v>
      </c>
      <c r="H38" s="23"/>
      <c r="I38" s="23">
        <v>0</v>
      </c>
      <c r="J38" s="23"/>
      <c r="K38" s="23">
        <v>0</v>
      </c>
      <c r="L38" s="23"/>
      <c r="M38" s="23">
        <v>0</v>
      </c>
      <c r="N38" s="23"/>
      <c r="O38" s="23">
        <v>0</v>
      </c>
      <c r="P38" s="23"/>
      <c r="Q38" s="23">
        <v>0</v>
      </c>
      <c r="R38" s="23"/>
      <c r="S38" s="23">
        <v>0</v>
      </c>
      <c r="T38" s="23"/>
      <c r="U38" s="23">
        <v>0</v>
      </c>
      <c r="V38" s="23"/>
      <c r="W38" s="23">
        <f t="shared" si="2"/>
        <v>0</v>
      </c>
      <c r="X38" s="23"/>
      <c r="Y38" s="23">
        <f t="shared" si="3"/>
        <v>0</v>
      </c>
    </row>
    <row r="39" spans="1:25" ht="12.75" hidden="1">
      <c r="A39" s="30" t="s">
        <v>37</v>
      </c>
      <c r="B39" s="30"/>
      <c r="C39" s="23">
        <v>0</v>
      </c>
      <c r="D39" s="23"/>
      <c r="E39" s="23">
        <v>0</v>
      </c>
      <c r="F39" s="23"/>
      <c r="G39" s="23">
        <v>0</v>
      </c>
      <c r="H39" s="23"/>
      <c r="I39" s="23">
        <v>0</v>
      </c>
      <c r="J39" s="23"/>
      <c r="K39" s="23">
        <v>0</v>
      </c>
      <c r="L39" s="23"/>
      <c r="M39" s="23">
        <v>0</v>
      </c>
      <c r="N39" s="23"/>
      <c r="O39" s="23">
        <v>0</v>
      </c>
      <c r="P39" s="23"/>
      <c r="Q39" s="23">
        <v>0</v>
      </c>
      <c r="R39" s="23"/>
      <c r="S39" s="23">
        <v>0</v>
      </c>
      <c r="T39" s="23"/>
      <c r="U39" s="23">
        <v>0</v>
      </c>
      <c r="V39" s="23"/>
      <c r="W39" s="23">
        <f t="shared" si="2"/>
        <v>0</v>
      </c>
      <c r="X39" s="23"/>
      <c r="Y39" s="23">
        <f t="shared" si="3"/>
        <v>0</v>
      </c>
    </row>
    <row r="40" spans="1:25" ht="12.75">
      <c r="A40" s="30" t="s">
        <v>38</v>
      </c>
      <c r="B40" s="30"/>
      <c r="C40" s="23">
        <v>7860541</v>
      </c>
      <c r="D40" s="23"/>
      <c r="E40" s="23">
        <v>22299731</v>
      </c>
      <c r="F40" s="23"/>
      <c r="G40" s="23">
        <v>3340630</v>
      </c>
      <c r="H40" s="23"/>
      <c r="I40" s="23">
        <f>1708397+1361797+3543617+544784+450020</f>
        <v>7608615</v>
      </c>
      <c r="J40" s="23"/>
      <c r="K40" s="23">
        <f>5453147+1596752</f>
        <v>7049899</v>
      </c>
      <c r="L40" s="23"/>
      <c r="M40" s="23">
        <v>1291074</v>
      </c>
      <c r="N40" s="23"/>
      <c r="O40" s="23">
        <v>2572558</v>
      </c>
      <c r="P40" s="23"/>
      <c r="Q40" s="23">
        <v>1006164</v>
      </c>
      <c r="R40" s="23"/>
      <c r="S40" s="23">
        <v>959183</v>
      </c>
      <c r="T40" s="23"/>
      <c r="U40" s="23">
        <v>0</v>
      </c>
      <c r="V40" s="23"/>
      <c r="W40" s="23">
        <f t="shared" si="2"/>
        <v>20487493</v>
      </c>
      <c r="X40" s="23"/>
      <c r="Y40" s="23">
        <f t="shared" si="3"/>
        <v>53988395</v>
      </c>
    </row>
    <row r="41" spans="1:25" ht="12.75" hidden="1">
      <c r="A41" s="30" t="s">
        <v>172</v>
      </c>
      <c r="B41" s="30"/>
      <c r="C41" s="23">
        <v>0</v>
      </c>
      <c r="D41" s="23"/>
      <c r="E41" s="23">
        <v>0</v>
      </c>
      <c r="F41" s="23"/>
      <c r="G41" s="23">
        <v>0</v>
      </c>
      <c r="H41" s="23"/>
      <c r="I41" s="23">
        <v>0</v>
      </c>
      <c r="J41" s="23"/>
      <c r="K41" s="23">
        <v>0</v>
      </c>
      <c r="L41" s="23"/>
      <c r="M41" s="23">
        <v>0</v>
      </c>
      <c r="N41" s="23"/>
      <c r="O41" s="23">
        <v>0</v>
      </c>
      <c r="P41" s="23"/>
      <c r="Q41" s="23">
        <v>0</v>
      </c>
      <c r="R41" s="23"/>
      <c r="S41" s="23">
        <v>0</v>
      </c>
      <c r="T41" s="23"/>
      <c r="U41" s="23">
        <v>0</v>
      </c>
      <c r="V41" s="23"/>
      <c r="W41" s="23">
        <f t="shared" si="2"/>
        <v>0</v>
      </c>
      <c r="X41" s="23"/>
      <c r="Y41" s="23">
        <f t="shared" si="3"/>
        <v>0</v>
      </c>
    </row>
    <row r="42" spans="1:25" ht="12.75" hidden="1">
      <c r="A42" s="30" t="s">
        <v>39</v>
      </c>
      <c r="B42" s="30"/>
      <c r="C42" s="23">
        <v>0</v>
      </c>
      <c r="D42" s="23"/>
      <c r="E42" s="23">
        <v>0</v>
      </c>
      <c r="F42" s="23"/>
      <c r="G42" s="23">
        <v>0</v>
      </c>
      <c r="H42" s="23"/>
      <c r="I42" s="23">
        <v>0</v>
      </c>
      <c r="J42" s="23"/>
      <c r="K42" s="23">
        <v>0</v>
      </c>
      <c r="L42" s="23"/>
      <c r="M42" s="23">
        <v>0</v>
      </c>
      <c r="N42" s="23"/>
      <c r="O42" s="23">
        <v>0</v>
      </c>
      <c r="P42" s="23"/>
      <c r="Q42" s="23">
        <v>0</v>
      </c>
      <c r="R42" s="23"/>
      <c r="S42" s="23">
        <v>0</v>
      </c>
      <c r="T42" s="23"/>
      <c r="U42" s="23">
        <v>0</v>
      </c>
      <c r="V42" s="23"/>
      <c r="W42" s="23">
        <f t="shared" si="2"/>
        <v>0</v>
      </c>
      <c r="X42" s="23"/>
      <c r="Y42" s="23">
        <f t="shared" si="3"/>
        <v>0</v>
      </c>
    </row>
    <row r="43" spans="1:25" ht="12.75">
      <c r="A43" s="30" t="s">
        <v>40</v>
      </c>
      <c r="B43" s="30"/>
      <c r="C43" s="23">
        <v>4097273</v>
      </c>
      <c r="D43" s="23"/>
      <c r="E43" s="23">
        <v>8014524</v>
      </c>
      <c r="F43" s="23"/>
      <c r="G43" s="23">
        <v>557247</v>
      </c>
      <c r="H43" s="23"/>
      <c r="I43" s="23">
        <f>1611429+3161651+809763</f>
        <v>5582843</v>
      </c>
      <c r="J43" s="23"/>
      <c r="K43" s="23">
        <v>4696846</v>
      </c>
      <c r="L43" s="23"/>
      <c r="M43" s="23">
        <v>0</v>
      </c>
      <c r="N43" s="23"/>
      <c r="O43" s="23">
        <v>1363095</v>
      </c>
      <c r="P43" s="23"/>
      <c r="Q43" s="23">
        <v>613750</v>
      </c>
      <c r="R43" s="23"/>
      <c r="S43" s="23">
        <v>1307646</v>
      </c>
      <c r="T43" s="23"/>
      <c r="U43" s="23">
        <v>-2871</v>
      </c>
      <c r="V43" s="23"/>
      <c r="W43" s="23">
        <f t="shared" si="2"/>
        <v>13561309</v>
      </c>
      <c r="X43" s="23"/>
      <c r="Y43" s="23">
        <f t="shared" si="3"/>
        <v>26230353</v>
      </c>
    </row>
    <row r="44" spans="1:25" ht="12.75" hidden="1">
      <c r="A44" s="30" t="s">
        <v>41</v>
      </c>
      <c r="B44" s="30"/>
      <c r="C44" s="23">
        <v>0</v>
      </c>
      <c r="D44" s="23"/>
      <c r="E44" s="23">
        <v>0</v>
      </c>
      <c r="F44" s="23"/>
      <c r="G44" s="23">
        <v>0</v>
      </c>
      <c r="H44" s="23"/>
      <c r="I44" s="23">
        <v>0</v>
      </c>
      <c r="J44" s="23"/>
      <c r="K44" s="23">
        <v>0</v>
      </c>
      <c r="L44" s="23"/>
      <c r="M44" s="23">
        <v>0</v>
      </c>
      <c r="N44" s="23"/>
      <c r="O44" s="23">
        <v>0</v>
      </c>
      <c r="P44" s="23"/>
      <c r="Q44" s="23">
        <v>0</v>
      </c>
      <c r="R44" s="23"/>
      <c r="S44" s="23">
        <v>0</v>
      </c>
      <c r="T44" s="23"/>
      <c r="U44" s="23">
        <v>0</v>
      </c>
      <c r="V44" s="23"/>
      <c r="W44" s="23">
        <f aca="true" t="shared" si="4" ref="W44:W68">SUM(I44:U44)</f>
        <v>0</v>
      </c>
      <c r="X44" s="23"/>
      <c r="Y44" s="23">
        <f t="shared" si="3"/>
        <v>0</v>
      </c>
    </row>
    <row r="45" spans="1:25" ht="12.75">
      <c r="A45" s="30" t="s">
        <v>42</v>
      </c>
      <c r="B45" s="30"/>
      <c r="C45" s="23">
        <v>2339036</v>
      </c>
      <c r="D45" s="23"/>
      <c r="E45" s="23">
        <v>12929257</v>
      </c>
      <c r="F45" s="23"/>
      <c r="G45" s="23">
        <v>0</v>
      </c>
      <c r="H45" s="23"/>
      <c r="I45" s="23">
        <f>1642108+3089879</f>
        <v>4731987</v>
      </c>
      <c r="J45" s="23"/>
      <c r="K45" s="23">
        <f>2124110+529062</f>
        <v>2653172</v>
      </c>
      <c r="L45" s="23"/>
      <c r="M45" s="23">
        <v>0</v>
      </c>
      <c r="N45" s="23"/>
      <c r="O45" s="23">
        <v>912445</v>
      </c>
      <c r="P45" s="23"/>
      <c r="Q45" s="23">
        <v>191570</v>
      </c>
      <c r="R45" s="23"/>
      <c r="S45" s="23">
        <f>738767+7409</f>
        <v>746176</v>
      </c>
      <c r="T45" s="23"/>
      <c r="U45" s="23">
        <v>0</v>
      </c>
      <c r="V45" s="23"/>
      <c r="W45" s="23">
        <f t="shared" si="4"/>
        <v>9235350</v>
      </c>
      <c r="X45" s="23"/>
      <c r="Y45" s="23">
        <f t="shared" si="3"/>
        <v>24503643</v>
      </c>
    </row>
    <row r="46" spans="1:25" ht="12.75">
      <c r="A46" s="30" t="s">
        <v>43</v>
      </c>
      <c r="B46" s="30"/>
      <c r="C46" s="23">
        <v>4443281</v>
      </c>
      <c r="D46" s="23"/>
      <c r="E46" s="23">
        <v>12150677</v>
      </c>
      <c r="F46" s="23"/>
      <c r="G46" s="23">
        <v>1582213</v>
      </c>
      <c r="H46" s="23"/>
      <c r="I46" s="23">
        <f>2177348+2999057+1209155</f>
        <v>6385560</v>
      </c>
      <c r="J46" s="23"/>
      <c r="K46" s="23">
        <v>4442924</v>
      </c>
      <c r="L46" s="23"/>
      <c r="M46" s="23">
        <v>0</v>
      </c>
      <c r="N46" s="23"/>
      <c r="O46" s="23">
        <v>953881</v>
      </c>
      <c r="P46" s="23"/>
      <c r="Q46" s="23">
        <v>486455</v>
      </c>
      <c r="R46" s="23"/>
      <c r="S46" s="23">
        <v>2237498</v>
      </c>
      <c r="T46" s="23"/>
      <c r="U46" s="23">
        <v>-72000</v>
      </c>
      <c r="V46" s="23"/>
      <c r="W46" s="23">
        <f t="shared" si="4"/>
        <v>14434318</v>
      </c>
      <c r="X46" s="23"/>
      <c r="Y46" s="23">
        <f t="shared" si="3"/>
        <v>32610489</v>
      </c>
    </row>
    <row r="47" spans="1:25" ht="12.75">
      <c r="A47" s="30" t="s">
        <v>44</v>
      </c>
      <c r="B47" s="30"/>
      <c r="C47" s="23">
        <v>4049170</v>
      </c>
      <c r="D47" s="23"/>
      <c r="E47" s="23">
        <v>22120650</v>
      </c>
      <c r="F47" s="23"/>
      <c r="G47" s="23">
        <v>54128</v>
      </c>
      <c r="H47" s="23"/>
      <c r="I47" s="23">
        <f>2315509+2529143+182513+470429</f>
        <v>5497594</v>
      </c>
      <c r="J47" s="23"/>
      <c r="K47" s="23">
        <v>7709110</v>
      </c>
      <c r="L47" s="23"/>
      <c r="M47" s="23">
        <v>0</v>
      </c>
      <c r="N47" s="23"/>
      <c r="O47" s="23">
        <v>1476456</v>
      </c>
      <c r="P47" s="23"/>
      <c r="Q47" s="23">
        <v>594846</v>
      </c>
      <c r="R47" s="23"/>
      <c r="S47" s="23">
        <v>1887465</v>
      </c>
      <c r="T47" s="23"/>
      <c r="U47" s="23">
        <v>-177662</v>
      </c>
      <c r="V47" s="23"/>
      <c r="W47" s="23">
        <f t="shared" si="4"/>
        <v>16987809</v>
      </c>
      <c r="X47" s="23"/>
      <c r="Y47" s="23">
        <f t="shared" si="3"/>
        <v>43211757</v>
      </c>
    </row>
    <row r="48" spans="1:25" ht="12.75" hidden="1">
      <c r="A48" s="30" t="s">
        <v>45</v>
      </c>
      <c r="B48" s="30"/>
      <c r="C48" s="23">
        <v>0</v>
      </c>
      <c r="D48" s="23"/>
      <c r="E48" s="23">
        <v>0</v>
      </c>
      <c r="F48" s="23"/>
      <c r="G48" s="23">
        <v>0</v>
      </c>
      <c r="H48" s="23"/>
      <c r="I48" s="23">
        <v>0</v>
      </c>
      <c r="J48" s="23"/>
      <c r="K48" s="23">
        <v>0</v>
      </c>
      <c r="L48" s="23"/>
      <c r="M48" s="23">
        <v>0</v>
      </c>
      <c r="N48" s="23"/>
      <c r="O48" s="23">
        <v>0</v>
      </c>
      <c r="P48" s="23"/>
      <c r="Q48" s="23">
        <v>0</v>
      </c>
      <c r="R48" s="23"/>
      <c r="S48" s="23">
        <v>0</v>
      </c>
      <c r="T48" s="23"/>
      <c r="U48" s="23">
        <v>0</v>
      </c>
      <c r="V48" s="23"/>
      <c r="W48" s="23">
        <f t="shared" si="4"/>
        <v>0</v>
      </c>
      <c r="X48" s="23"/>
      <c r="Y48" s="23">
        <f t="shared" si="3"/>
        <v>0</v>
      </c>
    </row>
    <row r="49" spans="1:25" ht="12.75">
      <c r="A49" s="30" t="s">
        <v>46</v>
      </c>
      <c r="B49" s="30"/>
      <c r="C49" s="23">
        <v>8244008</v>
      </c>
      <c r="D49" s="23"/>
      <c r="E49" s="23">
        <v>41118887</v>
      </c>
      <c r="F49" s="23"/>
      <c r="G49" s="23">
        <v>772694</v>
      </c>
      <c r="H49" s="23"/>
      <c r="I49" s="23">
        <f>1867766+325000+1259365+1052+789038+2591296+1132081+1243042+1112208</f>
        <v>10320848</v>
      </c>
      <c r="J49" s="23"/>
      <c r="K49" s="23">
        <f>4287327+2575836+1244595+1107087</f>
        <v>9214845</v>
      </c>
      <c r="L49" s="23"/>
      <c r="M49" s="23">
        <v>0</v>
      </c>
      <c r="N49" s="23"/>
      <c r="O49" s="23">
        <v>2604999</v>
      </c>
      <c r="P49" s="23"/>
      <c r="Q49" s="23">
        <v>539569</v>
      </c>
      <c r="R49" s="23"/>
      <c r="S49" s="23">
        <v>1100238</v>
      </c>
      <c r="T49" s="23"/>
      <c r="U49" s="23">
        <v>0</v>
      </c>
      <c r="V49" s="23"/>
      <c r="W49" s="23">
        <f t="shared" si="4"/>
        <v>23780499</v>
      </c>
      <c r="X49" s="23"/>
      <c r="Y49" s="23">
        <f t="shared" si="3"/>
        <v>73916088</v>
      </c>
    </row>
    <row r="50" spans="1:25" ht="12.75">
      <c r="A50" s="30" t="s">
        <v>47</v>
      </c>
      <c r="B50" s="30"/>
      <c r="C50" s="23">
        <v>3394846</v>
      </c>
      <c r="D50" s="23"/>
      <c r="E50" s="23">
        <v>12593812</v>
      </c>
      <c r="F50" s="23"/>
      <c r="G50" s="23">
        <v>1309141</v>
      </c>
      <c r="H50" s="23"/>
      <c r="I50" s="23">
        <f>3784744+4114004</f>
        <v>7898748</v>
      </c>
      <c r="J50" s="23"/>
      <c r="K50" s="23">
        <v>5262248</v>
      </c>
      <c r="L50" s="23"/>
      <c r="M50" s="23">
        <v>0</v>
      </c>
      <c r="N50" s="23"/>
      <c r="O50" s="23">
        <v>1849740</v>
      </c>
      <c r="P50" s="23"/>
      <c r="Q50" s="23">
        <v>734177</v>
      </c>
      <c r="R50" s="23"/>
      <c r="S50" s="23">
        <v>2161733</v>
      </c>
      <c r="T50" s="23"/>
      <c r="U50" s="23">
        <v>-60645</v>
      </c>
      <c r="V50" s="23"/>
      <c r="W50" s="23">
        <f t="shared" si="4"/>
        <v>17846001</v>
      </c>
      <c r="X50" s="23"/>
      <c r="Y50" s="23">
        <f t="shared" si="3"/>
        <v>35143800</v>
      </c>
    </row>
    <row r="51" spans="1:25" ht="12.75">
      <c r="A51" s="30" t="s">
        <v>48</v>
      </c>
      <c r="B51" s="30"/>
      <c r="C51" s="23">
        <v>20801352</v>
      </c>
      <c r="D51" s="23"/>
      <c r="E51" s="23">
        <v>62317026</v>
      </c>
      <c r="F51" s="23"/>
      <c r="G51" s="23">
        <v>7614603</v>
      </c>
      <c r="H51" s="23"/>
      <c r="I51" s="23">
        <f>12144593+20607121+6454158+3305616+1198474+1421267+1537904</f>
        <v>46669133</v>
      </c>
      <c r="J51" s="23"/>
      <c r="K51" s="23">
        <v>15042510</v>
      </c>
      <c r="L51" s="23"/>
      <c r="M51" s="23">
        <f>4559473+811030</f>
        <v>5370503</v>
      </c>
      <c r="N51" s="23"/>
      <c r="O51" s="23">
        <v>3463242</v>
      </c>
      <c r="P51" s="23"/>
      <c r="Q51" s="23">
        <v>5223503</v>
      </c>
      <c r="R51" s="23"/>
      <c r="S51" s="23">
        <v>8241861</v>
      </c>
      <c r="T51" s="23"/>
      <c r="U51" s="23">
        <v>0</v>
      </c>
      <c r="V51" s="23"/>
      <c r="W51" s="23">
        <f t="shared" si="4"/>
        <v>84010752</v>
      </c>
      <c r="X51" s="23"/>
      <c r="Y51" s="23">
        <f t="shared" si="3"/>
        <v>174743733</v>
      </c>
    </row>
    <row r="52" spans="1:25" ht="12.75" hidden="1">
      <c r="A52" s="30" t="s">
        <v>233</v>
      </c>
      <c r="B52" s="30"/>
      <c r="C52" s="23">
        <v>0</v>
      </c>
      <c r="D52" s="23"/>
      <c r="E52" s="23">
        <v>0</v>
      </c>
      <c r="F52" s="23"/>
      <c r="G52" s="23">
        <v>0</v>
      </c>
      <c r="H52" s="23"/>
      <c r="I52" s="23">
        <v>0</v>
      </c>
      <c r="J52" s="23"/>
      <c r="K52" s="23">
        <v>0</v>
      </c>
      <c r="L52" s="23"/>
      <c r="M52" s="23">
        <v>0</v>
      </c>
      <c r="N52" s="23"/>
      <c r="O52" s="23">
        <v>0</v>
      </c>
      <c r="P52" s="23"/>
      <c r="Q52" s="23">
        <v>0</v>
      </c>
      <c r="R52" s="23"/>
      <c r="S52" s="23">
        <v>0</v>
      </c>
      <c r="T52" s="23"/>
      <c r="U52" s="23">
        <v>0</v>
      </c>
      <c r="V52" s="23"/>
      <c r="W52" s="23">
        <f t="shared" si="4"/>
        <v>0</v>
      </c>
      <c r="X52" s="23"/>
      <c r="Y52" s="23">
        <f t="shared" si="3"/>
        <v>0</v>
      </c>
    </row>
    <row r="53" spans="1:25" ht="12.75">
      <c r="A53" s="30" t="s">
        <v>49</v>
      </c>
      <c r="B53" s="30"/>
      <c r="C53" s="23">
        <v>11452799</v>
      </c>
      <c r="D53" s="23"/>
      <c r="E53" s="23">
        <v>24619298</v>
      </c>
      <c r="F53" s="23"/>
      <c r="G53" s="23">
        <v>1443865</v>
      </c>
      <c r="H53" s="23"/>
      <c r="I53" s="23">
        <v>6586808</v>
      </c>
      <c r="J53" s="23"/>
      <c r="K53" s="23">
        <v>16784667</v>
      </c>
      <c r="L53" s="23"/>
      <c r="M53" s="23">
        <v>11489680</v>
      </c>
      <c r="N53" s="23"/>
      <c r="O53" s="23">
        <v>12065839</v>
      </c>
      <c r="P53" s="23"/>
      <c r="Q53" s="23">
        <v>2009217</v>
      </c>
      <c r="R53" s="23"/>
      <c r="S53" s="23">
        <v>2872240</v>
      </c>
      <c r="T53" s="23"/>
      <c r="U53" s="23">
        <v>28074</v>
      </c>
      <c r="V53" s="23"/>
      <c r="W53" s="23">
        <f t="shared" si="4"/>
        <v>51836525</v>
      </c>
      <c r="X53" s="23"/>
      <c r="Y53" s="23">
        <f t="shared" si="3"/>
        <v>89352487</v>
      </c>
    </row>
    <row r="54" spans="1:25" ht="12.75">
      <c r="A54" s="30" t="s">
        <v>50</v>
      </c>
      <c r="B54" s="30"/>
      <c r="C54" s="23">
        <v>6004826</v>
      </c>
      <c r="D54" s="23"/>
      <c r="E54" s="23">
        <v>13392377</v>
      </c>
      <c r="F54" s="23"/>
      <c r="G54" s="23">
        <v>52500</v>
      </c>
      <c r="H54" s="23"/>
      <c r="I54" s="23">
        <v>6910911</v>
      </c>
      <c r="J54" s="23"/>
      <c r="K54" s="23">
        <v>4948527</v>
      </c>
      <c r="L54" s="23"/>
      <c r="M54" s="23">
        <v>0</v>
      </c>
      <c r="N54" s="23"/>
      <c r="O54" s="23">
        <v>3664947</v>
      </c>
      <c r="P54" s="23"/>
      <c r="Q54" s="23">
        <v>1082090</v>
      </c>
      <c r="R54" s="23"/>
      <c r="S54" s="23">
        <f>1179681+46754</f>
        <v>1226435</v>
      </c>
      <c r="T54" s="23"/>
      <c r="U54" s="23">
        <v>-1200000</v>
      </c>
      <c r="V54" s="23"/>
      <c r="W54" s="23">
        <f t="shared" si="4"/>
        <v>16632910</v>
      </c>
      <c r="X54" s="23"/>
      <c r="Y54" s="23">
        <f t="shared" si="3"/>
        <v>36082613</v>
      </c>
    </row>
    <row r="55" spans="1:25" ht="12.75">
      <c r="A55" s="30" t="s">
        <v>51</v>
      </c>
      <c r="B55" s="30"/>
      <c r="C55" s="23">
        <v>39785498</v>
      </c>
      <c r="D55" s="23"/>
      <c r="E55" s="23">
        <v>90679370</v>
      </c>
      <c r="F55" s="23"/>
      <c r="G55" s="23">
        <v>4954657</v>
      </c>
      <c r="H55" s="23"/>
      <c r="I55" s="23">
        <v>52589365</v>
      </c>
      <c r="J55" s="23"/>
      <c r="K55" s="23">
        <v>22040916</v>
      </c>
      <c r="L55" s="23"/>
      <c r="M55" s="23">
        <v>0</v>
      </c>
      <c r="N55" s="23"/>
      <c r="O55" s="23">
        <v>10611950</v>
      </c>
      <c r="P55" s="23"/>
      <c r="Q55" s="23">
        <v>4708881</v>
      </c>
      <c r="R55" s="23"/>
      <c r="S55" s="23">
        <v>943088</v>
      </c>
      <c r="T55" s="23"/>
      <c r="U55" s="23">
        <v>-1204900</v>
      </c>
      <c r="V55" s="23"/>
      <c r="W55" s="23">
        <f t="shared" si="4"/>
        <v>89689300</v>
      </c>
      <c r="X55" s="23"/>
      <c r="Y55" s="23">
        <f t="shared" si="3"/>
        <v>225108825</v>
      </c>
    </row>
    <row r="56" spans="1:25" ht="12.75">
      <c r="A56" s="30" t="s">
        <v>195</v>
      </c>
      <c r="B56" s="30"/>
      <c r="C56" s="23">
        <v>28503000</v>
      </c>
      <c r="D56" s="23"/>
      <c r="E56" s="23">
        <v>191932000</v>
      </c>
      <c r="F56" s="23"/>
      <c r="G56" s="23">
        <v>3856000</v>
      </c>
      <c r="H56" s="23"/>
      <c r="I56" s="23">
        <v>100445000</v>
      </c>
      <c r="J56" s="23"/>
      <c r="K56" s="23">
        <v>70827000</v>
      </c>
      <c r="L56" s="23"/>
      <c r="M56" s="23">
        <v>8742000</v>
      </c>
      <c r="N56" s="23"/>
      <c r="O56" s="23">
        <f>757000+5208000</f>
        <v>5965000</v>
      </c>
      <c r="P56" s="23"/>
      <c r="Q56" s="23">
        <v>7061000</v>
      </c>
      <c r="R56" s="23"/>
      <c r="S56" s="23">
        <v>19837000</v>
      </c>
      <c r="T56" s="23"/>
      <c r="U56" s="23">
        <v>1268000</v>
      </c>
      <c r="V56" s="23"/>
      <c r="W56" s="23">
        <f t="shared" si="4"/>
        <v>214145000</v>
      </c>
      <c r="X56" s="23"/>
      <c r="Y56" s="23">
        <f t="shared" si="3"/>
        <v>438436000</v>
      </c>
    </row>
    <row r="57" spans="1:25" ht="12.75" hidden="1">
      <c r="A57" s="30" t="s">
        <v>52</v>
      </c>
      <c r="B57" s="30"/>
      <c r="C57" s="23">
        <v>0</v>
      </c>
      <c r="D57" s="23"/>
      <c r="E57" s="23">
        <v>0</v>
      </c>
      <c r="F57" s="23"/>
      <c r="G57" s="23">
        <v>0</v>
      </c>
      <c r="H57" s="23"/>
      <c r="I57" s="23">
        <v>0</v>
      </c>
      <c r="J57" s="23"/>
      <c r="K57" s="23">
        <v>0</v>
      </c>
      <c r="L57" s="23"/>
      <c r="M57" s="23">
        <v>0</v>
      </c>
      <c r="N57" s="23"/>
      <c r="O57" s="23">
        <v>0</v>
      </c>
      <c r="P57" s="23"/>
      <c r="Q57" s="23">
        <v>0</v>
      </c>
      <c r="R57" s="23"/>
      <c r="S57" s="23">
        <v>0</v>
      </c>
      <c r="T57" s="23"/>
      <c r="U57" s="23">
        <v>0</v>
      </c>
      <c r="V57" s="23"/>
      <c r="W57" s="23">
        <f t="shared" si="4"/>
        <v>0</v>
      </c>
      <c r="X57" s="23"/>
      <c r="Y57" s="23">
        <f t="shared" si="3"/>
        <v>0</v>
      </c>
    </row>
    <row r="58" spans="1:25" s="159" customFormat="1" ht="12.75" hidden="1">
      <c r="A58" s="158" t="s">
        <v>53</v>
      </c>
      <c r="B58" s="158"/>
      <c r="C58" s="154">
        <v>0</v>
      </c>
      <c r="D58" s="154"/>
      <c r="E58" s="154">
        <v>0</v>
      </c>
      <c r="F58" s="154"/>
      <c r="G58" s="154">
        <v>0</v>
      </c>
      <c r="H58" s="154"/>
      <c r="I58" s="154">
        <v>0</v>
      </c>
      <c r="J58" s="154"/>
      <c r="K58" s="154">
        <v>0</v>
      </c>
      <c r="L58" s="154"/>
      <c r="M58" s="154">
        <v>0</v>
      </c>
      <c r="N58" s="154"/>
      <c r="O58" s="154">
        <v>0</v>
      </c>
      <c r="P58" s="154"/>
      <c r="Q58" s="154">
        <v>0</v>
      </c>
      <c r="R58" s="154"/>
      <c r="S58" s="154">
        <v>0</v>
      </c>
      <c r="T58" s="154"/>
      <c r="U58" s="154">
        <v>0</v>
      </c>
      <c r="V58" s="154"/>
      <c r="W58" s="154">
        <f t="shared" si="4"/>
        <v>0</v>
      </c>
      <c r="X58" s="154"/>
      <c r="Y58" s="154">
        <f t="shared" si="3"/>
        <v>0</v>
      </c>
    </row>
    <row r="59" spans="1:25" s="82" customFormat="1" ht="12.75">
      <c r="A59" s="79" t="s">
        <v>54</v>
      </c>
      <c r="B59" s="79"/>
      <c r="C59" s="80">
        <v>4935630</v>
      </c>
      <c r="D59" s="80"/>
      <c r="E59" s="80">
        <v>20070808</v>
      </c>
      <c r="F59" s="80"/>
      <c r="G59" s="80">
        <v>195454</v>
      </c>
      <c r="H59" s="80"/>
      <c r="I59" s="80">
        <f>2254001+622349+2999864+1595685+318295+216536</f>
        <v>8006730</v>
      </c>
      <c r="J59" s="80"/>
      <c r="K59" s="80">
        <v>6385212</v>
      </c>
      <c r="L59" s="80"/>
      <c r="M59" s="80">
        <v>0</v>
      </c>
      <c r="N59" s="80"/>
      <c r="O59" s="80">
        <v>1629633</v>
      </c>
      <c r="P59" s="80"/>
      <c r="Q59" s="80">
        <v>1049757</v>
      </c>
      <c r="R59" s="80"/>
      <c r="S59" s="80">
        <v>1198088</v>
      </c>
      <c r="T59" s="80"/>
      <c r="U59" s="80">
        <v>0</v>
      </c>
      <c r="V59" s="80"/>
      <c r="W59" s="80">
        <f t="shared" si="4"/>
        <v>18269420</v>
      </c>
      <c r="X59" s="80"/>
      <c r="Y59" s="80">
        <f t="shared" si="3"/>
        <v>43471312</v>
      </c>
    </row>
    <row r="60" spans="1:25" ht="12.75">
      <c r="A60" s="79" t="s">
        <v>55</v>
      </c>
      <c r="B60" s="30"/>
      <c r="C60" s="23">
        <v>16665941</v>
      </c>
      <c r="D60" s="23"/>
      <c r="E60" s="23">
        <v>35596954</v>
      </c>
      <c r="F60" s="23"/>
      <c r="G60" s="23">
        <v>3104370</v>
      </c>
      <c r="H60" s="23"/>
      <c r="I60" s="23">
        <f>9939217+1055966+10468290+694283+1214090</f>
        <v>23371846</v>
      </c>
      <c r="J60" s="23"/>
      <c r="K60" s="23">
        <v>9247660</v>
      </c>
      <c r="L60" s="23"/>
      <c r="M60" s="23">
        <v>2113203</v>
      </c>
      <c r="N60" s="23"/>
      <c r="O60" s="23">
        <v>4787343</v>
      </c>
      <c r="P60" s="23"/>
      <c r="Q60" s="23">
        <v>2155344</v>
      </c>
      <c r="R60" s="23"/>
      <c r="S60" s="23">
        <v>3068137</v>
      </c>
      <c r="T60" s="23"/>
      <c r="U60" s="23">
        <v>144278</v>
      </c>
      <c r="V60" s="23"/>
      <c r="W60" s="23">
        <f t="shared" si="4"/>
        <v>44887811</v>
      </c>
      <c r="X60" s="23"/>
      <c r="Y60" s="23">
        <f t="shared" si="3"/>
        <v>100255076</v>
      </c>
    </row>
    <row r="61" spans="1:25" ht="12.75" hidden="1">
      <c r="A61" s="30" t="s">
        <v>175</v>
      </c>
      <c r="B61" s="30"/>
      <c r="C61" s="23">
        <v>0</v>
      </c>
      <c r="D61" s="23"/>
      <c r="E61" s="23">
        <v>0</v>
      </c>
      <c r="F61" s="23"/>
      <c r="G61" s="23">
        <v>0</v>
      </c>
      <c r="H61" s="23"/>
      <c r="I61" s="23">
        <v>0</v>
      </c>
      <c r="J61" s="23"/>
      <c r="K61" s="23">
        <v>0</v>
      </c>
      <c r="L61" s="23"/>
      <c r="M61" s="23">
        <v>0</v>
      </c>
      <c r="N61" s="23"/>
      <c r="O61" s="23">
        <v>0</v>
      </c>
      <c r="P61" s="23"/>
      <c r="Q61" s="23">
        <v>0</v>
      </c>
      <c r="R61" s="23"/>
      <c r="S61" s="23">
        <v>0</v>
      </c>
      <c r="T61" s="23"/>
      <c r="U61" s="23">
        <v>0</v>
      </c>
      <c r="V61" s="23"/>
      <c r="W61" s="23">
        <f t="shared" si="4"/>
        <v>0</v>
      </c>
      <c r="X61" s="23"/>
      <c r="Y61" s="23">
        <f t="shared" si="3"/>
        <v>0</v>
      </c>
    </row>
    <row r="62" spans="1:25" ht="12.75" hidden="1">
      <c r="A62" s="30" t="s">
        <v>56</v>
      </c>
      <c r="B62" s="30"/>
      <c r="C62" s="23">
        <v>0</v>
      </c>
      <c r="D62" s="23"/>
      <c r="E62" s="23">
        <v>0</v>
      </c>
      <c r="F62" s="23"/>
      <c r="G62" s="23">
        <v>0</v>
      </c>
      <c r="H62" s="23"/>
      <c r="I62" s="23">
        <v>0</v>
      </c>
      <c r="J62" s="23"/>
      <c r="K62" s="23">
        <v>0</v>
      </c>
      <c r="L62" s="23"/>
      <c r="M62" s="23">
        <v>0</v>
      </c>
      <c r="N62" s="23"/>
      <c r="O62" s="23">
        <v>0</v>
      </c>
      <c r="P62" s="23"/>
      <c r="Q62" s="23">
        <v>0</v>
      </c>
      <c r="R62" s="23"/>
      <c r="S62" s="23">
        <v>0</v>
      </c>
      <c r="T62" s="23"/>
      <c r="U62" s="23">
        <v>0</v>
      </c>
      <c r="V62" s="23"/>
      <c r="W62" s="23">
        <f t="shared" si="4"/>
        <v>0</v>
      </c>
      <c r="X62" s="23"/>
      <c r="Y62" s="23">
        <f t="shared" si="3"/>
        <v>0</v>
      </c>
    </row>
    <row r="63" spans="1:25" ht="12.75">
      <c r="A63" s="30" t="s">
        <v>57</v>
      </c>
      <c r="B63" s="30"/>
      <c r="C63" s="23">
        <v>15883031</v>
      </c>
      <c r="D63" s="23"/>
      <c r="E63" s="23">
        <v>17031842</v>
      </c>
      <c r="F63" s="23"/>
      <c r="G63" s="23">
        <v>5794396</v>
      </c>
      <c r="H63" s="23"/>
      <c r="I63" s="23">
        <v>11579852</v>
      </c>
      <c r="J63" s="23"/>
      <c r="K63" s="23">
        <v>10398794</v>
      </c>
      <c r="L63" s="23"/>
      <c r="M63" s="23">
        <v>0</v>
      </c>
      <c r="N63" s="23"/>
      <c r="O63" s="23">
        <v>3332363</v>
      </c>
      <c r="P63" s="23"/>
      <c r="Q63" s="23">
        <v>1458833</v>
      </c>
      <c r="R63" s="23"/>
      <c r="S63" s="23">
        <v>882953</v>
      </c>
      <c r="T63" s="23"/>
      <c r="U63" s="23">
        <v>0</v>
      </c>
      <c r="V63" s="23"/>
      <c r="W63" s="23">
        <f t="shared" si="4"/>
        <v>27652795</v>
      </c>
      <c r="X63" s="23"/>
      <c r="Y63" s="23">
        <f t="shared" si="3"/>
        <v>66362064</v>
      </c>
    </row>
    <row r="64" spans="1:25" ht="12.75">
      <c r="A64" s="30" t="s">
        <v>58</v>
      </c>
      <c r="B64" s="30"/>
      <c r="C64" s="23">
        <v>1308339</v>
      </c>
      <c r="D64" s="23"/>
      <c r="E64" s="23">
        <v>10115151</v>
      </c>
      <c r="F64" s="23"/>
      <c r="G64" s="23">
        <v>55132</v>
      </c>
      <c r="H64" s="23"/>
      <c r="I64" s="23">
        <f>773796+776289</f>
        <v>1550085</v>
      </c>
      <c r="J64" s="23"/>
      <c r="K64" s="23">
        <v>3303755</v>
      </c>
      <c r="L64" s="23"/>
      <c r="M64" s="23">
        <v>0</v>
      </c>
      <c r="N64" s="23"/>
      <c r="O64" s="23">
        <v>531155</v>
      </c>
      <c r="P64" s="23"/>
      <c r="Q64" s="23">
        <v>195987</v>
      </c>
      <c r="R64" s="23"/>
      <c r="S64" s="23">
        <v>673442</v>
      </c>
      <c r="T64" s="23"/>
      <c r="U64" s="23">
        <v>0</v>
      </c>
      <c r="V64" s="23"/>
      <c r="W64" s="23">
        <f t="shared" si="4"/>
        <v>6254424</v>
      </c>
      <c r="X64" s="23"/>
      <c r="Y64" s="23">
        <f t="shared" si="3"/>
        <v>17733046</v>
      </c>
    </row>
    <row r="65" spans="1:25" ht="12.75">
      <c r="A65" s="30" t="s">
        <v>59</v>
      </c>
      <c r="B65" s="30"/>
      <c r="C65" s="23">
        <v>57643606</v>
      </c>
      <c r="D65" s="23"/>
      <c r="E65" s="23">
        <v>217009995</v>
      </c>
      <c r="F65" s="23"/>
      <c r="G65" s="23">
        <v>18314683</v>
      </c>
      <c r="H65" s="23"/>
      <c r="I65" s="23">
        <f>17003267+3910012+88519306</f>
        <v>109432585</v>
      </c>
      <c r="J65" s="23"/>
      <c r="K65" s="23">
        <v>65308276</v>
      </c>
      <c r="L65" s="23"/>
      <c r="M65" s="23">
        <v>8929500</v>
      </c>
      <c r="N65" s="23"/>
      <c r="O65" s="23">
        <v>20956377</v>
      </c>
      <c r="P65" s="23"/>
      <c r="Q65" s="23">
        <v>12822158</v>
      </c>
      <c r="R65" s="23"/>
      <c r="S65" s="23">
        <f>193433+5981854</f>
        <v>6175287</v>
      </c>
      <c r="T65" s="23"/>
      <c r="U65" s="23">
        <v>-1469729</v>
      </c>
      <c r="V65" s="23"/>
      <c r="W65" s="23">
        <f t="shared" si="4"/>
        <v>222154454</v>
      </c>
      <c r="X65" s="23"/>
      <c r="Y65" s="23">
        <f t="shared" si="3"/>
        <v>515122738</v>
      </c>
    </row>
    <row r="66" spans="1:25" ht="12.75" hidden="1">
      <c r="A66" s="30" t="s">
        <v>60</v>
      </c>
      <c r="B66" s="30"/>
      <c r="C66" s="23">
        <v>0</v>
      </c>
      <c r="D66" s="23"/>
      <c r="E66" s="23">
        <v>0</v>
      </c>
      <c r="F66" s="23"/>
      <c r="G66" s="23">
        <v>0</v>
      </c>
      <c r="H66" s="23"/>
      <c r="I66" s="23">
        <v>0</v>
      </c>
      <c r="J66" s="23"/>
      <c r="K66" s="23">
        <v>0</v>
      </c>
      <c r="L66" s="23"/>
      <c r="M66" s="23">
        <v>0</v>
      </c>
      <c r="N66" s="23"/>
      <c r="O66" s="23">
        <v>0</v>
      </c>
      <c r="P66" s="23"/>
      <c r="Q66" s="23">
        <v>0</v>
      </c>
      <c r="R66" s="23"/>
      <c r="S66" s="23">
        <v>0</v>
      </c>
      <c r="T66" s="23"/>
      <c r="U66" s="23">
        <v>0</v>
      </c>
      <c r="V66" s="23"/>
      <c r="W66" s="23">
        <f t="shared" si="4"/>
        <v>0</v>
      </c>
      <c r="X66" s="23"/>
      <c r="Y66" s="23">
        <f t="shared" si="3"/>
        <v>0</v>
      </c>
    </row>
    <row r="67" spans="1:25" ht="12.75">
      <c r="A67" s="30" t="s">
        <v>97</v>
      </c>
      <c r="B67" s="30"/>
      <c r="C67" s="23">
        <v>4524430</v>
      </c>
      <c r="D67" s="23"/>
      <c r="E67" s="23">
        <v>12401348</v>
      </c>
      <c r="F67" s="23"/>
      <c r="G67" s="23">
        <v>160644</v>
      </c>
      <c r="H67" s="23"/>
      <c r="I67" s="23">
        <f>2139532+1586191</f>
        <v>3725723</v>
      </c>
      <c r="J67" s="23"/>
      <c r="K67" s="23">
        <v>2770678</v>
      </c>
      <c r="L67" s="23"/>
      <c r="M67" s="23">
        <v>0</v>
      </c>
      <c r="N67" s="23"/>
      <c r="O67" s="23">
        <v>757255</v>
      </c>
      <c r="P67" s="23"/>
      <c r="Q67" s="23">
        <v>495593</v>
      </c>
      <c r="R67" s="23"/>
      <c r="S67" s="23">
        <v>835067</v>
      </c>
      <c r="T67" s="23"/>
      <c r="U67" s="23">
        <v>13760</v>
      </c>
      <c r="V67" s="23"/>
      <c r="W67" s="23">
        <f t="shared" si="4"/>
        <v>8598076</v>
      </c>
      <c r="X67" s="23"/>
      <c r="Y67" s="23">
        <f t="shared" si="3"/>
        <v>25684498</v>
      </c>
    </row>
    <row r="68" spans="1:25" s="82" customFormat="1" ht="12.75">
      <c r="A68" s="79" t="s">
        <v>61</v>
      </c>
      <c r="B68" s="79"/>
      <c r="C68" s="80">
        <v>10580322</v>
      </c>
      <c r="D68" s="80"/>
      <c r="E68" s="80">
        <v>32201692</v>
      </c>
      <c r="F68" s="80"/>
      <c r="G68" s="80">
        <v>2362026</v>
      </c>
      <c r="H68" s="80"/>
      <c r="I68" s="80">
        <f>2629977+395525+400982+974550+584215+2107066+3275822+1444469</f>
        <v>11812606</v>
      </c>
      <c r="J68" s="80"/>
      <c r="K68" s="80">
        <v>14152780</v>
      </c>
      <c r="L68" s="80"/>
      <c r="M68" s="80">
        <v>0</v>
      </c>
      <c r="N68" s="80"/>
      <c r="O68" s="80">
        <v>1801309</v>
      </c>
      <c r="P68" s="80"/>
      <c r="Q68" s="80">
        <v>1942630</v>
      </c>
      <c r="R68" s="80"/>
      <c r="S68" s="80">
        <f>1038882+794915</f>
        <v>1833797</v>
      </c>
      <c r="T68" s="80"/>
      <c r="U68" s="80">
        <v>10184</v>
      </c>
      <c r="V68" s="80"/>
      <c r="W68" s="80">
        <f t="shared" si="4"/>
        <v>31553306</v>
      </c>
      <c r="X68" s="80"/>
      <c r="Y68" s="80">
        <f t="shared" si="3"/>
        <v>76697346</v>
      </c>
    </row>
    <row r="69" spans="1:25" ht="12.75">
      <c r="A69" s="30" t="s">
        <v>62</v>
      </c>
      <c r="B69" s="30"/>
      <c r="C69" s="23">
        <v>971623</v>
      </c>
      <c r="D69" s="23"/>
      <c r="E69" s="23">
        <v>5066306</v>
      </c>
      <c r="F69" s="23"/>
      <c r="G69" s="23">
        <v>409037</v>
      </c>
      <c r="H69" s="23"/>
      <c r="I69" s="23">
        <f>682385+46336+538883+223787+170372</f>
        <v>1661763</v>
      </c>
      <c r="J69" s="23"/>
      <c r="K69" s="23">
        <v>1008091</v>
      </c>
      <c r="L69" s="23"/>
      <c r="M69" s="23">
        <v>0</v>
      </c>
      <c r="N69" s="23"/>
      <c r="O69" s="23">
        <v>3606359</v>
      </c>
      <c r="P69" s="23"/>
      <c r="Q69" s="23">
        <v>155376</v>
      </c>
      <c r="R69" s="23"/>
      <c r="S69" s="23">
        <v>803802</v>
      </c>
      <c r="T69" s="23"/>
      <c r="U69" s="23">
        <v>0</v>
      </c>
      <c r="V69" s="23"/>
      <c r="W69" s="23">
        <f aca="true" t="shared" si="5" ref="W69:W74">SUM(I69:U69)</f>
        <v>7235391</v>
      </c>
      <c r="X69" s="23"/>
      <c r="Y69" s="23">
        <f t="shared" si="3"/>
        <v>13682357</v>
      </c>
    </row>
    <row r="70" spans="1:25" ht="12.75">
      <c r="A70" s="30" t="s">
        <v>63</v>
      </c>
      <c r="B70" s="30"/>
      <c r="C70" s="23">
        <v>6751149</v>
      </c>
      <c r="D70" s="23"/>
      <c r="E70" s="23">
        <v>14157097</v>
      </c>
      <c r="F70" s="23"/>
      <c r="G70" s="23">
        <v>81810</v>
      </c>
      <c r="H70" s="23"/>
      <c r="I70" s="23">
        <f>2765689+4287295+420281+217282</f>
        <v>7690547</v>
      </c>
      <c r="J70" s="23"/>
      <c r="K70" s="23">
        <v>4834958</v>
      </c>
      <c r="L70" s="23"/>
      <c r="M70" s="23">
        <v>0</v>
      </c>
      <c r="N70" s="23"/>
      <c r="O70" s="23">
        <v>1718137</v>
      </c>
      <c r="P70" s="23"/>
      <c r="Q70" s="23">
        <v>1129984</v>
      </c>
      <c r="R70" s="23"/>
      <c r="S70" s="23">
        <v>2020952</v>
      </c>
      <c r="T70" s="23"/>
      <c r="U70" s="23">
        <v>-504592</v>
      </c>
      <c r="V70" s="23"/>
      <c r="W70" s="23">
        <f t="shared" si="5"/>
        <v>16889986</v>
      </c>
      <c r="X70" s="23"/>
      <c r="Y70" s="23">
        <f t="shared" si="3"/>
        <v>37880042</v>
      </c>
    </row>
    <row r="71" spans="1:25" ht="12.75" hidden="1">
      <c r="A71" s="30" t="s">
        <v>132</v>
      </c>
      <c r="B71" s="30"/>
      <c r="C71" s="23">
        <v>0</v>
      </c>
      <c r="D71" s="23"/>
      <c r="E71" s="23">
        <v>0</v>
      </c>
      <c r="F71" s="23"/>
      <c r="G71" s="23">
        <v>0</v>
      </c>
      <c r="H71" s="23"/>
      <c r="I71" s="23">
        <v>0</v>
      </c>
      <c r="J71" s="23"/>
      <c r="K71" s="23">
        <v>0</v>
      </c>
      <c r="L71" s="23"/>
      <c r="M71" s="23">
        <v>0</v>
      </c>
      <c r="N71" s="23"/>
      <c r="O71" s="23">
        <v>0</v>
      </c>
      <c r="P71" s="23"/>
      <c r="Q71" s="23">
        <v>0</v>
      </c>
      <c r="R71" s="23"/>
      <c r="S71" s="23">
        <v>0</v>
      </c>
      <c r="T71" s="23"/>
      <c r="U71" s="23">
        <v>0</v>
      </c>
      <c r="V71" s="23"/>
      <c r="W71" s="23">
        <f t="shared" si="5"/>
        <v>0</v>
      </c>
      <c r="X71" s="23"/>
      <c r="Y71" s="23">
        <f t="shared" si="3"/>
        <v>0</v>
      </c>
    </row>
    <row r="72" spans="1:25" ht="12.75" hidden="1">
      <c r="A72" s="30" t="s">
        <v>64</v>
      </c>
      <c r="B72" s="30"/>
      <c r="C72" s="23">
        <v>0</v>
      </c>
      <c r="D72" s="23"/>
      <c r="E72" s="23">
        <v>0</v>
      </c>
      <c r="F72" s="23"/>
      <c r="G72" s="23">
        <v>0</v>
      </c>
      <c r="H72" s="23"/>
      <c r="I72" s="23">
        <v>0</v>
      </c>
      <c r="J72" s="23"/>
      <c r="K72" s="23">
        <v>0</v>
      </c>
      <c r="L72" s="23"/>
      <c r="M72" s="23">
        <v>0</v>
      </c>
      <c r="N72" s="23"/>
      <c r="O72" s="23">
        <v>0</v>
      </c>
      <c r="P72" s="23"/>
      <c r="Q72" s="23">
        <v>0</v>
      </c>
      <c r="R72" s="23"/>
      <c r="S72" s="23">
        <v>0</v>
      </c>
      <c r="T72" s="23"/>
      <c r="U72" s="23">
        <v>0</v>
      </c>
      <c r="V72" s="23"/>
      <c r="W72" s="23">
        <f t="shared" si="5"/>
        <v>0</v>
      </c>
      <c r="X72" s="23"/>
      <c r="Y72" s="23">
        <f t="shared" si="3"/>
        <v>0</v>
      </c>
    </row>
    <row r="73" spans="1:25" ht="12.75">
      <c r="A73" s="30" t="s">
        <v>65</v>
      </c>
      <c r="B73" s="30"/>
      <c r="C73" s="23">
        <v>3317588</v>
      </c>
      <c r="D73" s="23"/>
      <c r="E73" s="23">
        <v>14797174</v>
      </c>
      <c r="F73" s="23"/>
      <c r="G73" s="23">
        <v>621602</v>
      </c>
      <c r="H73" s="23"/>
      <c r="I73" s="23">
        <f>2433675+2012397</f>
        <v>4446072</v>
      </c>
      <c r="J73" s="23"/>
      <c r="K73" s="23">
        <f>5155599+389890</f>
        <v>5545489</v>
      </c>
      <c r="L73" s="23"/>
      <c r="M73" s="23">
        <v>0</v>
      </c>
      <c r="N73" s="23"/>
      <c r="O73" s="23">
        <v>1134908</v>
      </c>
      <c r="P73" s="23"/>
      <c r="Q73" s="23">
        <v>385756</v>
      </c>
      <c r="R73" s="23"/>
      <c r="S73" s="23">
        <v>1765130</v>
      </c>
      <c r="T73" s="23"/>
      <c r="U73" s="23">
        <v>372</v>
      </c>
      <c r="V73" s="23"/>
      <c r="W73" s="23">
        <f t="shared" si="5"/>
        <v>13277727</v>
      </c>
      <c r="X73" s="23"/>
      <c r="Y73" s="23">
        <f t="shared" si="3"/>
        <v>32014091</v>
      </c>
    </row>
    <row r="74" spans="1:25" ht="12.75">
      <c r="A74" s="30" t="s">
        <v>66</v>
      </c>
      <c r="B74" s="30"/>
      <c r="C74" s="23">
        <v>2104728</v>
      </c>
      <c r="D74" s="23"/>
      <c r="E74" s="23">
        <v>11177434</v>
      </c>
      <c r="F74" s="23"/>
      <c r="G74" s="23">
        <v>543143</v>
      </c>
      <c r="H74" s="23"/>
      <c r="I74" s="23">
        <v>3673611</v>
      </c>
      <c r="J74" s="23"/>
      <c r="K74" s="23">
        <v>1865802</v>
      </c>
      <c r="L74" s="23"/>
      <c r="M74" s="23">
        <v>0</v>
      </c>
      <c r="N74" s="23"/>
      <c r="O74" s="23">
        <v>459033</v>
      </c>
      <c r="P74" s="23"/>
      <c r="Q74" s="23">
        <v>807012</v>
      </c>
      <c r="R74" s="23"/>
      <c r="S74" s="23">
        <v>1441671</v>
      </c>
      <c r="T74" s="23"/>
      <c r="U74" s="23">
        <v>0</v>
      </c>
      <c r="V74" s="23"/>
      <c r="W74" s="23">
        <f t="shared" si="5"/>
        <v>8247129</v>
      </c>
      <c r="X74" s="23"/>
      <c r="Y74" s="23">
        <f t="shared" si="3"/>
        <v>22072434</v>
      </c>
    </row>
    <row r="75" spans="1:25" ht="12.75">
      <c r="A75" s="30" t="s">
        <v>67</v>
      </c>
      <c r="B75" s="30"/>
      <c r="C75" s="23">
        <v>17796822</v>
      </c>
      <c r="D75" s="23"/>
      <c r="E75" s="23">
        <v>40307405</v>
      </c>
      <c r="F75" s="23"/>
      <c r="G75" s="23">
        <v>2492166</v>
      </c>
      <c r="H75" s="23"/>
      <c r="I75" s="23">
        <f>4367392+3744720+14190319+2569506+1376136</f>
        <v>26248073</v>
      </c>
      <c r="J75" s="23"/>
      <c r="K75" s="23">
        <v>13751342</v>
      </c>
      <c r="L75" s="23"/>
      <c r="M75" s="23">
        <v>0</v>
      </c>
      <c r="N75" s="23"/>
      <c r="O75" s="23">
        <v>7937932</v>
      </c>
      <c r="P75" s="23"/>
      <c r="Q75" s="23">
        <v>2195258</v>
      </c>
      <c r="R75" s="23"/>
      <c r="S75" s="23">
        <v>465138</v>
      </c>
      <c r="T75" s="23"/>
      <c r="U75" s="23">
        <v>0</v>
      </c>
      <c r="V75" s="23"/>
      <c r="W75" s="23">
        <f aca="true" t="shared" si="6" ref="W75:W96">SUM(I75:U75)</f>
        <v>50597743</v>
      </c>
      <c r="X75" s="23"/>
      <c r="Y75" s="23">
        <f aca="true" t="shared" si="7" ref="Y75:Y96">SUM(B75:V75)</f>
        <v>111194136</v>
      </c>
    </row>
    <row r="76" spans="1:25" ht="12.75">
      <c r="A76" s="30" t="s">
        <v>68</v>
      </c>
      <c r="B76" s="30"/>
      <c r="C76" s="23">
        <v>3627324</v>
      </c>
      <c r="D76" s="23"/>
      <c r="E76" s="23">
        <v>14061639</v>
      </c>
      <c r="F76" s="23"/>
      <c r="G76" s="23">
        <v>423474</v>
      </c>
      <c r="H76" s="23"/>
      <c r="I76" s="23">
        <f>1651272+257270+355980+1013280+220826</f>
        <v>3498628</v>
      </c>
      <c r="J76" s="23"/>
      <c r="K76" s="23">
        <v>4436627</v>
      </c>
      <c r="L76" s="23"/>
      <c r="M76" s="23">
        <v>0</v>
      </c>
      <c r="N76" s="23"/>
      <c r="O76" s="23">
        <v>1104905</v>
      </c>
      <c r="P76" s="23"/>
      <c r="Q76" s="23">
        <v>423906</v>
      </c>
      <c r="R76" s="23"/>
      <c r="S76" s="23">
        <v>653902</v>
      </c>
      <c r="T76" s="23"/>
      <c r="U76" s="23">
        <v>0</v>
      </c>
      <c r="V76" s="23"/>
      <c r="W76" s="23">
        <f t="shared" si="6"/>
        <v>10117968</v>
      </c>
      <c r="X76" s="23"/>
      <c r="Y76" s="23">
        <f t="shared" si="7"/>
        <v>28230405</v>
      </c>
    </row>
    <row r="77" spans="1:25" ht="12.75" hidden="1">
      <c r="A77" s="30" t="s">
        <v>180</v>
      </c>
      <c r="B77" s="30"/>
      <c r="C77" s="23">
        <v>0</v>
      </c>
      <c r="D77" s="23"/>
      <c r="E77" s="23">
        <v>0</v>
      </c>
      <c r="F77" s="23"/>
      <c r="G77" s="23">
        <v>0</v>
      </c>
      <c r="H77" s="23"/>
      <c r="I77" s="23">
        <v>0</v>
      </c>
      <c r="J77" s="23"/>
      <c r="K77" s="23">
        <v>0</v>
      </c>
      <c r="L77" s="23"/>
      <c r="M77" s="23">
        <v>0</v>
      </c>
      <c r="N77" s="23"/>
      <c r="O77" s="23">
        <v>0</v>
      </c>
      <c r="P77" s="23"/>
      <c r="Q77" s="23">
        <v>0</v>
      </c>
      <c r="R77" s="23"/>
      <c r="S77" s="23">
        <v>0</v>
      </c>
      <c r="T77" s="23"/>
      <c r="U77" s="23">
        <v>0</v>
      </c>
      <c r="V77" s="23"/>
      <c r="W77" s="23">
        <f t="shared" si="6"/>
        <v>0</v>
      </c>
      <c r="X77" s="23"/>
      <c r="Y77" s="23">
        <f t="shared" si="7"/>
        <v>0</v>
      </c>
    </row>
    <row r="78" spans="1:25" ht="12.75">
      <c r="A78" s="30" t="s">
        <v>185</v>
      </c>
      <c r="B78" s="30"/>
      <c r="C78" s="23">
        <v>12081749</v>
      </c>
      <c r="D78" s="23"/>
      <c r="E78" s="23">
        <v>51222216</v>
      </c>
      <c r="F78" s="23"/>
      <c r="G78" s="23">
        <v>4069830</v>
      </c>
      <c r="H78" s="23"/>
      <c r="I78" s="23">
        <f>3277212+1612797+8508515+2950559+774411</f>
        <v>17123494</v>
      </c>
      <c r="J78" s="23"/>
      <c r="K78" s="23">
        <v>13505295</v>
      </c>
      <c r="L78" s="23"/>
      <c r="M78" s="23">
        <v>0</v>
      </c>
      <c r="N78" s="23"/>
      <c r="O78" s="23">
        <v>4754975</v>
      </c>
      <c r="P78" s="23"/>
      <c r="Q78" s="23">
        <v>1218825</v>
      </c>
      <c r="R78" s="23"/>
      <c r="S78" s="23">
        <v>1297795</v>
      </c>
      <c r="T78" s="23"/>
      <c r="U78" s="23">
        <v>-1315643</v>
      </c>
      <c r="V78" s="23"/>
      <c r="W78" s="23">
        <f t="shared" si="6"/>
        <v>36584741</v>
      </c>
      <c r="X78" s="23"/>
      <c r="Y78" s="23">
        <f t="shared" si="7"/>
        <v>103958536</v>
      </c>
    </row>
    <row r="79" spans="1:25" ht="12.75">
      <c r="A79" s="30" t="s">
        <v>69</v>
      </c>
      <c r="B79" s="30"/>
      <c r="C79" s="23">
        <v>7670309</v>
      </c>
      <c r="D79" s="23"/>
      <c r="E79" s="23">
        <v>20659818</v>
      </c>
      <c r="F79" s="23"/>
      <c r="G79" s="23">
        <v>805799</v>
      </c>
      <c r="H79" s="23"/>
      <c r="I79" s="23">
        <f>949133+4842474+284740+1992328</f>
        <v>8068675</v>
      </c>
      <c r="J79" s="23"/>
      <c r="K79" s="23">
        <v>10668370</v>
      </c>
      <c r="L79" s="23"/>
      <c r="M79" s="23"/>
      <c r="N79" s="23"/>
      <c r="O79" s="23">
        <v>1729969</v>
      </c>
      <c r="P79" s="23"/>
      <c r="Q79" s="23">
        <v>605428</v>
      </c>
      <c r="R79" s="23"/>
      <c r="S79" s="23">
        <v>867072</v>
      </c>
      <c r="T79" s="23"/>
      <c r="U79" s="23">
        <v>1129</v>
      </c>
      <c r="V79" s="23"/>
      <c r="W79" s="23">
        <f t="shared" si="6"/>
        <v>21940643</v>
      </c>
      <c r="X79" s="23"/>
      <c r="Y79" s="23">
        <f t="shared" si="7"/>
        <v>51076569</v>
      </c>
    </row>
    <row r="80" spans="1:25" ht="12.75">
      <c r="A80" s="30" t="s">
        <v>98</v>
      </c>
      <c r="B80" s="30"/>
      <c r="C80" s="23">
        <v>6663183</v>
      </c>
      <c r="D80" s="23"/>
      <c r="E80" s="23">
        <v>20158293</v>
      </c>
      <c r="F80" s="23"/>
      <c r="G80" s="23">
        <v>425522</v>
      </c>
      <c r="H80" s="23"/>
      <c r="I80" s="23">
        <f>2780898+4354338+165034+269038</f>
        <v>7569308</v>
      </c>
      <c r="J80" s="23"/>
      <c r="K80" s="23">
        <v>6051944</v>
      </c>
      <c r="L80" s="23"/>
      <c r="M80" s="23">
        <v>0</v>
      </c>
      <c r="N80" s="23"/>
      <c r="O80" s="23">
        <v>2113026</v>
      </c>
      <c r="P80" s="23"/>
      <c r="Q80" s="23">
        <v>515080</v>
      </c>
      <c r="R80" s="23"/>
      <c r="S80" s="23">
        <v>1787877</v>
      </c>
      <c r="T80" s="23"/>
      <c r="U80" s="23">
        <v>130445</v>
      </c>
      <c r="V80" s="23"/>
      <c r="W80" s="23">
        <f t="shared" si="6"/>
        <v>18167680</v>
      </c>
      <c r="X80" s="23"/>
      <c r="Y80" s="23">
        <f t="shared" si="7"/>
        <v>45414678</v>
      </c>
    </row>
    <row r="81" spans="1:25" ht="12.75">
      <c r="A81" s="30" t="s">
        <v>70</v>
      </c>
      <c r="B81" s="30"/>
      <c r="C81" s="23">
        <v>5949107</v>
      </c>
      <c r="D81" s="23"/>
      <c r="E81" s="23">
        <v>26663228</v>
      </c>
      <c r="F81" s="23"/>
      <c r="G81" s="23">
        <v>6740402</v>
      </c>
      <c r="H81" s="23"/>
      <c r="I81" s="23">
        <f>1838216+2330792+593546+183194</f>
        <v>4945748</v>
      </c>
      <c r="J81" s="23"/>
      <c r="K81" s="23">
        <v>8449420</v>
      </c>
      <c r="L81" s="23"/>
      <c r="M81" s="23">
        <v>40648</v>
      </c>
      <c r="N81" s="23"/>
      <c r="O81" s="23">
        <v>1603520</v>
      </c>
      <c r="P81" s="23"/>
      <c r="Q81" s="23">
        <v>509822</v>
      </c>
      <c r="R81" s="23"/>
      <c r="S81" s="23">
        <v>618934</v>
      </c>
      <c r="T81" s="23"/>
      <c r="U81" s="23">
        <v>-68452</v>
      </c>
      <c r="V81" s="23"/>
      <c r="W81" s="23">
        <f t="shared" si="6"/>
        <v>16099640</v>
      </c>
      <c r="X81" s="23"/>
      <c r="Y81" s="23">
        <f t="shared" si="7"/>
        <v>55452377</v>
      </c>
    </row>
    <row r="82" spans="1:25" ht="12.75">
      <c r="A82" s="30" t="s">
        <v>71</v>
      </c>
      <c r="B82" s="30"/>
      <c r="C82" s="23">
        <v>4555556</v>
      </c>
      <c r="D82" s="23"/>
      <c r="E82" s="23">
        <v>16624376</v>
      </c>
      <c r="F82" s="23"/>
      <c r="G82" s="23">
        <v>5435150</v>
      </c>
      <c r="H82" s="23"/>
      <c r="I82" s="23">
        <v>6605308</v>
      </c>
      <c r="J82" s="23"/>
      <c r="K82" s="23">
        <v>5727145</v>
      </c>
      <c r="L82" s="23"/>
      <c r="M82" s="23">
        <v>0</v>
      </c>
      <c r="N82" s="23"/>
      <c r="O82" s="23">
        <v>2545838</v>
      </c>
      <c r="P82" s="23"/>
      <c r="Q82" s="23">
        <v>513327</v>
      </c>
      <c r="R82" s="23"/>
      <c r="S82" s="23">
        <f>6886+1197144+2171+1007</f>
        <v>1207208</v>
      </c>
      <c r="T82" s="23"/>
      <c r="U82" s="23">
        <v>-204531</v>
      </c>
      <c r="V82" s="23"/>
      <c r="W82" s="23">
        <f t="shared" si="6"/>
        <v>16394295</v>
      </c>
      <c r="X82" s="23"/>
      <c r="Y82" s="23">
        <f t="shared" si="7"/>
        <v>43009377</v>
      </c>
    </row>
    <row r="83" spans="1:25" ht="12.75">
      <c r="A83" s="30"/>
      <c r="B83" s="30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88" t="s">
        <v>242</v>
      </c>
    </row>
    <row r="84" spans="1:25" ht="12.75">
      <c r="A84" s="30" t="s">
        <v>72</v>
      </c>
      <c r="B84" s="30"/>
      <c r="C84" s="143">
        <v>6140752</v>
      </c>
      <c r="D84" s="143"/>
      <c r="E84" s="143">
        <v>13294983</v>
      </c>
      <c r="F84" s="143"/>
      <c r="G84" s="143">
        <v>0</v>
      </c>
      <c r="H84" s="143"/>
      <c r="I84" s="143">
        <f>2300777+5279619+469974</f>
        <v>8050370</v>
      </c>
      <c r="J84" s="143"/>
      <c r="K84" s="143">
        <f>4131052+1080627+2607532</f>
        <v>7819211</v>
      </c>
      <c r="L84" s="143"/>
      <c r="M84" s="143">
        <v>138509</v>
      </c>
      <c r="N84" s="143"/>
      <c r="O84" s="143">
        <v>2059370</v>
      </c>
      <c r="P84" s="143"/>
      <c r="Q84" s="143">
        <v>501621</v>
      </c>
      <c r="R84" s="143"/>
      <c r="S84" s="143">
        <v>39616</v>
      </c>
      <c r="T84" s="143"/>
      <c r="U84" s="143">
        <v>-210889</v>
      </c>
      <c r="V84" s="143"/>
      <c r="W84" s="143">
        <f t="shared" si="6"/>
        <v>18397808</v>
      </c>
      <c r="X84" s="143"/>
      <c r="Y84" s="143">
        <f t="shared" si="7"/>
        <v>37833543</v>
      </c>
    </row>
    <row r="85" spans="1:25" ht="12.75">
      <c r="A85" s="30" t="s">
        <v>73</v>
      </c>
      <c r="B85" s="30"/>
      <c r="C85" s="23">
        <v>28967727</v>
      </c>
      <c r="D85" s="23"/>
      <c r="E85" s="23">
        <v>111435590</v>
      </c>
      <c r="F85" s="23"/>
      <c r="G85" s="23">
        <v>15819442</v>
      </c>
      <c r="H85" s="23"/>
      <c r="I85" s="23">
        <f>14132539+30144064+587883+5193474+5441622</f>
        <v>55499582</v>
      </c>
      <c r="J85" s="23"/>
      <c r="K85" s="23">
        <v>11262016</v>
      </c>
      <c r="L85" s="23"/>
      <c r="M85" s="23">
        <v>0</v>
      </c>
      <c r="N85" s="23"/>
      <c r="O85" s="23">
        <v>16009531</v>
      </c>
      <c r="P85" s="23"/>
      <c r="Q85" s="23">
        <v>3218995</v>
      </c>
      <c r="R85" s="23"/>
      <c r="S85" s="23">
        <f>6665289+47477</f>
        <v>6712766</v>
      </c>
      <c r="T85" s="23"/>
      <c r="U85" s="23">
        <v>0</v>
      </c>
      <c r="V85" s="23"/>
      <c r="W85" s="23">
        <f t="shared" si="6"/>
        <v>92702890</v>
      </c>
      <c r="X85" s="23"/>
      <c r="Y85" s="23">
        <f t="shared" si="7"/>
        <v>248925649</v>
      </c>
    </row>
    <row r="86" spans="1:25" ht="12.75">
      <c r="A86" s="30" t="s">
        <v>74</v>
      </c>
      <c r="B86" s="30"/>
      <c r="C86" s="23">
        <v>46679653</v>
      </c>
      <c r="D86" s="23"/>
      <c r="E86" s="23">
        <v>159192125</v>
      </c>
      <c r="F86" s="23"/>
      <c r="G86" s="23">
        <v>0</v>
      </c>
      <c r="H86" s="23"/>
      <c r="I86" s="23">
        <f>102936881+7189102</f>
        <v>110125983</v>
      </c>
      <c r="J86" s="23"/>
      <c r="K86" s="23">
        <v>35781363</v>
      </c>
      <c r="L86" s="23"/>
      <c r="M86" s="23">
        <v>13700660</v>
      </c>
      <c r="N86" s="23"/>
      <c r="O86" s="23">
        <v>24917245</v>
      </c>
      <c r="P86" s="23"/>
      <c r="Q86" s="23">
        <v>6697962</v>
      </c>
      <c r="R86" s="23"/>
      <c r="S86" s="23">
        <f>174950+281618</f>
        <v>456568</v>
      </c>
      <c r="T86" s="23"/>
      <c r="U86" s="23">
        <f>21585936+91481</f>
        <v>21677417</v>
      </c>
      <c r="V86" s="23"/>
      <c r="W86" s="23">
        <f t="shared" si="6"/>
        <v>213357198</v>
      </c>
      <c r="X86" s="23"/>
      <c r="Y86" s="23">
        <f t="shared" si="7"/>
        <v>419228976</v>
      </c>
    </row>
    <row r="87" spans="1:25" ht="12.75">
      <c r="A87" s="30" t="s">
        <v>75</v>
      </c>
      <c r="B87" s="30"/>
      <c r="C87" s="23">
        <v>15086064</v>
      </c>
      <c r="D87" s="23"/>
      <c r="E87" s="23">
        <v>68822067</v>
      </c>
      <c r="F87" s="23"/>
      <c r="G87" s="23">
        <v>1729808</v>
      </c>
      <c r="H87" s="23"/>
      <c r="I87" s="23">
        <f>7029038+10731910+2175897+5635188+493478</f>
        <v>26065511</v>
      </c>
      <c r="J87" s="23"/>
      <c r="K87" s="23">
        <f>12498014+2149766</f>
        <v>14647780</v>
      </c>
      <c r="L87" s="23"/>
      <c r="M87" s="23">
        <v>0</v>
      </c>
      <c r="N87" s="23"/>
      <c r="O87" s="23">
        <v>8047988</v>
      </c>
      <c r="P87" s="23"/>
      <c r="Q87" s="23">
        <v>1716470</v>
      </c>
      <c r="R87" s="23"/>
      <c r="S87" s="23">
        <v>318443</v>
      </c>
      <c r="T87" s="23"/>
      <c r="U87" s="23">
        <v>165181</v>
      </c>
      <c r="V87" s="23"/>
      <c r="W87" s="23">
        <f t="shared" si="6"/>
        <v>50961373</v>
      </c>
      <c r="X87" s="23"/>
      <c r="Y87" s="23">
        <f t="shared" si="7"/>
        <v>136599312</v>
      </c>
    </row>
    <row r="88" spans="1:25" ht="12.75">
      <c r="A88" s="30" t="s">
        <v>76</v>
      </c>
      <c r="B88" s="30"/>
      <c r="C88" s="23">
        <v>6770824</v>
      </c>
      <c r="D88" s="23"/>
      <c r="E88" s="23">
        <v>20164530</v>
      </c>
      <c r="F88" s="23"/>
      <c r="G88" s="23">
        <v>686414</v>
      </c>
      <c r="H88" s="23"/>
      <c r="I88" s="23">
        <f>3911803+5029982+793581+437421</f>
        <v>10172787</v>
      </c>
      <c r="J88" s="23"/>
      <c r="K88" s="23">
        <v>9024769</v>
      </c>
      <c r="L88" s="23"/>
      <c r="M88" s="23">
        <v>0</v>
      </c>
      <c r="N88" s="23"/>
      <c r="O88" s="23">
        <v>2895713</v>
      </c>
      <c r="P88" s="23"/>
      <c r="Q88" s="23">
        <v>1710584</v>
      </c>
      <c r="R88" s="23"/>
      <c r="S88" s="23">
        <v>1232674</v>
      </c>
      <c r="T88" s="23"/>
      <c r="U88" s="23">
        <v>0</v>
      </c>
      <c r="V88" s="23"/>
      <c r="W88" s="23">
        <f t="shared" si="6"/>
        <v>25036527</v>
      </c>
      <c r="X88" s="23"/>
      <c r="Y88" s="23">
        <f t="shared" si="7"/>
        <v>52658295</v>
      </c>
    </row>
    <row r="89" spans="1:25" ht="12.75">
      <c r="A89" s="30" t="s">
        <v>77</v>
      </c>
      <c r="B89" s="30"/>
      <c r="C89" s="23">
        <v>6635871</v>
      </c>
      <c r="D89" s="23"/>
      <c r="E89" s="23">
        <v>8436482</v>
      </c>
      <c r="F89" s="23"/>
      <c r="G89" s="23">
        <v>1019808</v>
      </c>
      <c r="H89" s="23"/>
      <c r="I89" s="23">
        <f>4002234+6589300+547058+467020</f>
        <v>11605612</v>
      </c>
      <c r="J89" s="23"/>
      <c r="K89" s="23">
        <v>7115148</v>
      </c>
      <c r="L89" s="23"/>
      <c r="M89" s="23">
        <v>0</v>
      </c>
      <c r="N89" s="23"/>
      <c r="O89" s="23">
        <v>9157542</v>
      </c>
      <c r="P89" s="23"/>
      <c r="Q89" s="23">
        <v>903077</v>
      </c>
      <c r="R89" s="23"/>
      <c r="S89" s="23">
        <v>1380009</v>
      </c>
      <c r="T89" s="23"/>
      <c r="U89" s="23">
        <v>0</v>
      </c>
      <c r="V89" s="23"/>
      <c r="W89" s="23">
        <f t="shared" si="6"/>
        <v>30161388</v>
      </c>
      <c r="X89" s="23"/>
      <c r="Y89" s="23">
        <f t="shared" si="7"/>
        <v>46253549</v>
      </c>
    </row>
    <row r="90" spans="1:25" ht="12.75">
      <c r="A90" s="30" t="s">
        <v>78</v>
      </c>
      <c r="B90" s="30"/>
      <c r="C90" s="23">
        <v>3245909</v>
      </c>
      <c r="D90" s="23"/>
      <c r="E90" s="23">
        <v>11765488</v>
      </c>
      <c r="F90" s="23"/>
      <c r="G90" s="23">
        <v>486495</v>
      </c>
      <c r="H90" s="23"/>
      <c r="I90" s="23">
        <f>742258+1464654+916477</f>
        <v>3123389</v>
      </c>
      <c r="J90" s="23"/>
      <c r="K90" s="23">
        <v>3691052</v>
      </c>
      <c r="L90" s="23"/>
      <c r="M90" s="23">
        <v>102229</v>
      </c>
      <c r="N90" s="23"/>
      <c r="O90" s="23">
        <v>515851</v>
      </c>
      <c r="P90" s="23"/>
      <c r="Q90" s="23">
        <v>408298</v>
      </c>
      <c r="R90" s="23"/>
      <c r="S90" s="23">
        <v>43645</v>
      </c>
      <c r="T90" s="23"/>
      <c r="U90" s="23">
        <v>0</v>
      </c>
      <c r="V90" s="23"/>
      <c r="W90" s="23">
        <f t="shared" si="6"/>
        <v>7884464</v>
      </c>
      <c r="X90" s="23"/>
      <c r="Y90" s="23">
        <f t="shared" si="7"/>
        <v>23382356</v>
      </c>
    </row>
    <row r="91" spans="1:25" ht="12.75">
      <c r="A91" s="30" t="s">
        <v>79</v>
      </c>
      <c r="B91" s="30"/>
      <c r="C91" s="23">
        <v>1190046</v>
      </c>
      <c r="D91" s="23"/>
      <c r="E91" s="23">
        <v>11386192</v>
      </c>
      <c r="F91" s="23"/>
      <c r="G91" s="23">
        <v>917822</v>
      </c>
      <c r="H91" s="23"/>
      <c r="I91" s="23">
        <f>754533+1047127</f>
        <v>1801660</v>
      </c>
      <c r="J91" s="23"/>
      <c r="K91" s="23">
        <v>710558</v>
      </c>
      <c r="L91" s="23"/>
      <c r="M91" s="23">
        <v>0</v>
      </c>
      <c r="N91" s="23"/>
      <c r="O91" s="23">
        <v>528831</v>
      </c>
      <c r="P91" s="23"/>
      <c r="Q91" s="23">
        <v>124836</v>
      </c>
      <c r="R91" s="23"/>
      <c r="S91" s="23">
        <v>1357271</v>
      </c>
      <c r="T91" s="23"/>
      <c r="U91" s="23">
        <v>0</v>
      </c>
      <c r="V91" s="23"/>
      <c r="W91" s="23">
        <f t="shared" si="6"/>
        <v>4523156</v>
      </c>
      <c r="X91" s="23"/>
      <c r="Y91" s="23">
        <f t="shared" si="7"/>
        <v>18017216</v>
      </c>
    </row>
    <row r="92" spans="1:25" ht="12.75">
      <c r="A92" s="30" t="s">
        <v>80</v>
      </c>
      <c r="B92" s="30"/>
      <c r="C92" s="23">
        <v>15926239</v>
      </c>
      <c r="D92" s="23"/>
      <c r="E92" s="23">
        <v>19021085</v>
      </c>
      <c r="F92" s="23"/>
      <c r="G92" s="23">
        <v>5729622</v>
      </c>
      <c r="H92" s="23"/>
      <c r="I92" s="23">
        <v>33888269</v>
      </c>
      <c r="J92" s="23"/>
      <c r="K92" s="23">
        <v>24605086</v>
      </c>
      <c r="L92" s="23"/>
      <c r="M92" s="23">
        <f>216141+7517416</f>
        <v>7733557</v>
      </c>
      <c r="N92" s="23"/>
      <c r="O92" s="23">
        <v>6870742</v>
      </c>
      <c r="P92" s="23"/>
      <c r="Q92" s="23">
        <v>3892655</v>
      </c>
      <c r="R92" s="23"/>
      <c r="S92" s="23">
        <v>14934</v>
      </c>
      <c r="T92" s="23"/>
      <c r="U92" s="23">
        <v>0</v>
      </c>
      <c r="V92" s="23"/>
      <c r="W92" s="23">
        <f t="shared" si="6"/>
        <v>77005243</v>
      </c>
      <c r="X92" s="23"/>
      <c r="Y92" s="23">
        <f t="shared" si="7"/>
        <v>117682189</v>
      </c>
    </row>
    <row r="93" spans="1:25" ht="12.75">
      <c r="A93" s="30" t="s">
        <v>81</v>
      </c>
      <c r="B93" s="30"/>
      <c r="C93" s="23">
        <v>4412251</v>
      </c>
      <c r="D93" s="23"/>
      <c r="E93" s="23">
        <v>20241972</v>
      </c>
      <c r="F93" s="23"/>
      <c r="G93" s="23">
        <v>1001731</v>
      </c>
      <c r="H93" s="23"/>
      <c r="I93" s="23">
        <f>2573854+1979015+3688293+826931+220938</f>
        <v>9289031</v>
      </c>
      <c r="J93" s="23"/>
      <c r="K93" s="23">
        <v>8956176</v>
      </c>
      <c r="L93" s="23"/>
      <c r="M93" s="23">
        <v>79247</v>
      </c>
      <c r="N93" s="23"/>
      <c r="O93" s="23">
        <v>1744528</v>
      </c>
      <c r="P93" s="23"/>
      <c r="Q93" s="23">
        <v>554841</v>
      </c>
      <c r="R93" s="23"/>
      <c r="S93" s="23">
        <v>660656</v>
      </c>
      <c r="T93" s="23"/>
      <c r="U93" s="23">
        <v>-36287</v>
      </c>
      <c r="V93" s="23"/>
      <c r="W93" s="23">
        <f t="shared" si="6"/>
        <v>21248192</v>
      </c>
      <c r="X93" s="23"/>
      <c r="Y93" s="23">
        <f t="shared" si="7"/>
        <v>46904146</v>
      </c>
    </row>
    <row r="94" spans="1:25" ht="12.75">
      <c r="A94" s="30" t="s">
        <v>82</v>
      </c>
      <c r="B94" s="30"/>
      <c r="C94" s="23">
        <v>13564291</v>
      </c>
      <c r="D94" s="23"/>
      <c r="E94" s="23">
        <v>24323349</v>
      </c>
      <c r="F94" s="23"/>
      <c r="G94" s="23">
        <v>19818207</v>
      </c>
      <c r="H94" s="23"/>
      <c r="I94" s="23">
        <f>3731097+6593307+3785863+1074937</f>
        <v>15185204</v>
      </c>
      <c r="J94" s="23"/>
      <c r="K94" s="23">
        <v>9538188</v>
      </c>
      <c r="L94" s="23"/>
      <c r="M94" s="23">
        <v>0</v>
      </c>
      <c r="N94" s="23"/>
      <c r="O94" s="23">
        <v>4491322</v>
      </c>
      <c r="P94" s="23"/>
      <c r="Q94" s="23">
        <v>1645951</v>
      </c>
      <c r="R94" s="23"/>
      <c r="S94" s="23">
        <v>983131</v>
      </c>
      <c r="T94" s="23"/>
      <c r="U94" s="23">
        <v>534583</v>
      </c>
      <c r="V94" s="23"/>
      <c r="W94" s="23">
        <f t="shared" si="6"/>
        <v>32378379</v>
      </c>
      <c r="X94" s="23"/>
      <c r="Y94" s="23">
        <f t="shared" si="7"/>
        <v>90084226</v>
      </c>
    </row>
    <row r="95" spans="1:25" ht="12.75" hidden="1">
      <c r="A95" s="30" t="s">
        <v>178</v>
      </c>
      <c r="B95" s="30"/>
      <c r="C95" s="23">
        <v>0</v>
      </c>
      <c r="D95" s="23"/>
      <c r="E95" s="23">
        <v>0</v>
      </c>
      <c r="F95" s="23"/>
      <c r="G95" s="23">
        <v>0</v>
      </c>
      <c r="H95" s="23"/>
      <c r="I95" s="23">
        <v>0</v>
      </c>
      <c r="J95" s="23"/>
      <c r="K95" s="23">
        <v>0</v>
      </c>
      <c r="L95" s="23"/>
      <c r="M95" s="23">
        <v>0</v>
      </c>
      <c r="N95" s="23"/>
      <c r="O95" s="23">
        <v>0</v>
      </c>
      <c r="P95" s="23"/>
      <c r="Q95" s="23">
        <v>0</v>
      </c>
      <c r="R95" s="23"/>
      <c r="S95" s="23">
        <v>0</v>
      </c>
      <c r="T95" s="23"/>
      <c r="U95" s="23">
        <v>0</v>
      </c>
      <c r="V95" s="23"/>
      <c r="W95" s="23">
        <f t="shared" si="6"/>
        <v>0</v>
      </c>
      <c r="X95" s="23"/>
      <c r="Y95" s="23">
        <f t="shared" si="7"/>
        <v>0</v>
      </c>
    </row>
    <row r="96" spans="1:25" ht="12.75">
      <c r="A96" s="30" t="s">
        <v>83</v>
      </c>
      <c r="B96" s="30"/>
      <c r="C96" s="23">
        <v>19329707</v>
      </c>
      <c r="D96" s="23"/>
      <c r="E96" s="23">
        <v>34013720</v>
      </c>
      <c r="F96" s="23"/>
      <c r="G96" s="23">
        <v>1981652</v>
      </c>
      <c r="H96" s="23"/>
      <c r="I96" s="23">
        <f>5444271+3840202+2366677+11029987+1545406+115254</f>
        <v>24341797</v>
      </c>
      <c r="J96" s="23"/>
      <c r="K96" s="23">
        <v>14802878</v>
      </c>
      <c r="L96" s="23"/>
      <c r="M96" s="23">
        <v>177723</v>
      </c>
      <c r="N96" s="23"/>
      <c r="O96" s="23">
        <v>3026241</v>
      </c>
      <c r="P96" s="23"/>
      <c r="Q96" s="23">
        <v>2171228</v>
      </c>
      <c r="R96" s="23"/>
      <c r="S96" s="23">
        <v>1378559</v>
      </c>
      <c r="T96" s="23"/>
      <c r="U96" s="23">
        <v>-561364</v>
      </c>
      <c r="V96" s="23"/>
      <c r="W96" s="23">
        <f t="shared" si="6"/>
        <v>45337062</v>
      </c>
      <c r="X96" s="23"/>
      <c r="Y96" s="23">
        <f t="shared" si="7"/>
        <v>100662141</v>
      </c>
    </row>
    <row r="97" spans="1:25" ht="12.75" hidden="1">
      <c r="A97" s="30" t="s">
        <v>179</v>
      </c>
      <c r="B97" s="30"/>
      <c r="C97" s="23">
        <v>0</v>
      </c>
      <c r="D97" s="23"/>
      <c r="E97" s="23">
        <v>0</v>
      </c>
      <c r="F97" s="23"/>
      <c r="G97" s="23">
        <v>0</v>
      </c>
      <c r="H97" s="23"/>
      <c r="I97" s="23">
        <v>0</v>
      </c>
      <c r="J97" s="23"/>
      <c r="K97" s="23">
        <v>0</v>
      </c>
      <c r="L97" s="23"/>
      <c r="M97" s="23">
        <v>0</v>
      </c>
      <c r="N97" s="23"/>
      <c r="O97" s="23">
        <v>0</v>
      </c>
      <c r="P97" s="23"/>
      <c r="Q97" s="23">
        <v>0</v>
      </c>
      <c r="R97" s="23"/>
      <c r="S97" s="23">
        <v>0</v>
      </c>
      <c r="T97" s="23"/>
      <c r="U97" s="23">
        <v>0</v>
      </c>
      <c r="V97" s="23"/>
      <c r="W97" s="23">
        <f>SUM(I97:U97)</f>
        <v>0</v>
      </c>
      <c r="X97" s="23"/>
      <c r="Y97" s="23">
        <f>SUM(B97:V97)</f>
        <v>0</v>
      </c>
    </row>
    <row r="98" spans="1:25" ht="12.75">
      <c r="A98" s="30"/>
      <c r="B98" s="30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2.75">
      <c r="A99" s="30"/>
      <c r="B99" s="30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2.75">
      <c r="A100" s="20"/>
      <c r="B100" s="20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2.75">
      <c r="A101" s="20"/>
      <c r="B101" s="20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</sheetData>
  <printOptions horizontalCentered="1"/>
  <pageMargins left="1" right="1" top="0.5" bottom="0.5" header="0" footer="0.25"/>
  <pageSetup firstPageNumber="8" useFirstPageNumber="1" horizontalDpi="600" verticalDpi="600" orientation="portrait" pageOrder="overThenDown" scale="91" r:id="rId1"/>
  <headerFooter alignWithMargins="0">
    <oddFooter>&amp;C&amp;"Times New Roman,Regular"&amp;11&amp;P</oddFooter>
  </headerFooter>
  <rowBreaks count="1" manualBreakCount="1">
    <brk id="83" max="24" man="1"/>
  </rowBreaks>
  <colBreaks count="1" manualBreakCount="1">
    <brk id="13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G108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5" sqref="E5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" width="11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710937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11.7109375" style="0" customWidth="1"/>
    <col min="16" max="16" width="1.7109375" style="0" customWidth="1"/>
    <col min="17" max="17" width="11.7109375" style="0" customWidth="1"/>
    <col min="18" max="18" width="1.7109375" style="0" customWidth="1"/>
    <col min="19" max="19" width="11.7109375" style="0" customWidth="1"/>
    <col min="20" max="20" width="1.7109375" style="0" customWidth="1"/>
    <col min="21" max="21" width="11.7109375" style="0" customWidth="1"/>
    <col min="22" max="22" width="1.7109375" style="0" customWidth="1"/>
    <col min="23" max="23" width="11.7109375" style="0" customWidth="1"/>
    <col min="24" max="24" width="1.7109375" style="0" customWidth="1"/>
    <col min="25" max="25" width="11.7109375" style="0" customWidth="1"/>
    <col min="26" max="26" width="2.7109375" style="0" customWidth="1"/>
    <col min="27" max="27" width="12.7109375" style="0" customWidth="1"/>
    <col min="28" max="28" width="2.7109375" style="0" customWidth="1"/>
    <col min="29" max="29" width="12.7109375" style="0" customWidth="1"/>
    <col min="30" max="30" width="2.7109375" style="0" customWidth="1"/>
    <col min="31" max="32" width="12.7109375" style="0" customWidth="1"/>
    <col min="33" max="33" width="9.8515625" style="0" bestFit="1" customWidth="1"/>
  </cols>
  <sheetData>
    <row r="1" spans="1:33" ht="12.75">
      <c r="A1" s="19" t="s">
        <v>249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69"/>
      <c r="AG1" s="69"/>
    </row>
    <row r="2" spans="1:33" ht="12.75">
      <c r="A2" s="19" t="s">
        <v>253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69"/>
      <c r="AG2" s="69"/>
    </row>
    <row r="3" spans="1:33" ht="12.75">
      <c r="A3" s="20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69"/>
      <c r="AG3" s="69"/>
    </row>
    <row r="4" spans="1:33" ht="12.75">
      <c r="A4" s="19" t="s">
        <v>191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69"/>
      <c r="AG4" s="69"/>
    </row>
    <row r="5" spans="1:33" ht="12.75">
      <c r="A5" s="20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69"/>
      <c r="AG5" s="69"/>
    </row>
    <row r="6" spans="1:33" ht="12.75">
      <c r="A6" s="19"/>
      <c r="B6" s="23"/>
      <c r="C6" s="50" t="s">
        <v>149</v>
      </c>
      <c r="D6" s="50"/>
      <c r="E6" s="50"/>
      <c r="F6" s="50"/>
      <c r="G6" s="50"/>
      <c r="H6" s="50"/>
      <c r="I6" s="50"/>
      <c r="J6" s="50"/>
      <c r="K6" s="50"/>
      <c r="L6" s="96" t="s">
        <v>201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73"/>
      <c r="Y6" s="23"/>
      <c r="Z6" s="23"/>
      <c r="AA6" s="23"/>
      <c r="AB6" s="23"/>
      <c r="AC6" s="23"/>
      <c r="AD6" s="23"/>
      <c r="AE6" s="23"/>
      <c r="AF6" s="69"/>
      <c r="AG6" s="69"/>
    </row>
    <row r="7" spans="1:33" ht="12.75">
      <c r="A7" s="21"/>
      <c r="B7" s="23"/>
      <c r="C7" s="48" t="s">
        <v>192</v>
      </c>
      <c r="D7" s="48"/>
      <c r="E7" s="48"/>
      <c r="F7" s="48"/>
      <c r="G7" s="48" t="s">
        <v>84</v>
      </c>
      <c r="H7" s="48"/>
      <c r="I7" s="48" t="s">
        <v>84</v>
      </c>
      <c r="J7" s="48"/>
      <c r="K7" s="48"/>
      <c r="L7" s="48"/>
      <c r="M7" s="48" t="s">
        <v>85</v>
      </c>
      <c r="N7" s="48"/>
      <c r="O7" s="48" t="s">
        <v>169</v>
      </c>
      <c r="P7" s="48"/>
      <c r="Q7" s="48" t="s">
        <v>86</v>
      </c>
      <c r="R7" s="48"/>
      <c r="S7" s="48"/>
      <c r="T7" s="48"/>
      <c r="U7" s="48" t="s">
        <v>1</v>
      </c>
      <c r="V7" s="48"/>
      <c r="W7" s="52" t="s">
        <v>100</v>
      </c>
      <c r="X7" s="52"/>
      <c r="Y7" s="52"/>
      <c r="Z7" s="52"/>
      <c r="AA7" s="52" t="s">
        <v>153</v>
      </c>
      <c r="AB7" s="52"/>
      <c r="AC7" s="52" t="s">
        <v>141</v>
      </c>
      <c r="AD7" s="52"/>
      <c r="AE7" s="52" t="s">
        <v>141</v>
      </c>
      <c r="AF7" s="69"/>
      <c r="AG7" s="69"/>
    </row>
    <row r="8" spans="1:33" ht="12.75">
      <c r="A8" s="22" t="s">
        <v>5</v>
      </c>
      <c r="B8" s="23"/>
      <c r="C8" s="63" t="s">
        <v>193</v>
      </c>
      <c r="D8" s="23"/>
      <c r="E8" s="63" t="s">
        <v>88</v>
      </c>
      <c r="F8" s="23"/>
      <c r="G8" s="63" t="s">
        <v>89</v>
      </c>
      <c r="H8" s="23"/>
      <c r="I8" s="63" t="s">
        <v>90</v>
      </c>
      <c r="J8" s="23"/>
      <c r="K8" s="63" t="s">
        <v>91</v>
      </c>
      <c r="L8" s="23"/>
      <c r="M8" s="63" t="s">
        <v>8</v>
      </c>
      <c r="N8" s="23"/>
      <c r="O8" s="63" t="s">
        <v>170</v>
      </c>
      <c r="P8" s="23"/>
      <c r="Q8" s="63" t="s">
        <v>196</v>
      </c>
      <c r="R8" s="23"/>
      <c r="S8" s="63" t="s">
        <v>105</v>
      </c>
      <c r="T8" s="23"/>
      <c r="U8" s="63" t="s">
        <v>9</v>
      </c>
      <c r="V8" s="23"/>
      <c r="W8" s="59" t="s">
        <v>95</v>
      </c>
      <c r="X8" s="23"/>
      <c r="Y8" s="59" t="s">
        <v>4</v>
      </c>
      <c r="Z8" s="23"/>
      <c r="AA8" s="59" t="s">
        <v>141</v>
      </c>
      <c r="AB8" s="23"/>
      <c r="AC8" s="74">
        <v>38353</v>
      </c>
      <c r="AD8" s="23"/>
      <c r="AE8" s="74">
        <v>38717</v>
      </c>
      <c r="AF8" s="69" t="s">
        <v>216</v>
      </c>
      <c r="AG8" s="69"/>
    </row>
    <row r="9" spans="1:33" s="82" customFormat="1" ht="12.75">
      <c r="A9" s="83"/>
      <c r="B9" s="80"/>
      <c r="C9" s="84"/>
      <c r="D9" s="80"/>
      <c r="E9" s="84"/>
      <c r="F9" s="80"/>
      <c r="G9" s="84"/>
      <c r="H9" s="80"/>
      <c r="I9" s="84"/>
      <c r="J9" s="80"/>
      <c r="K9" s="84"/>
      <c r="L9" s="80"/>
      <c r="M9" s="84"/>
      <c r="N9" s="80"/>
      <c r="O9" s="84"/>
      <c r="P9" s="80"/>
      <c r="Q9" s="84"/>
      <c r="R9" s="80"/>
      <c r="S9" s="84"/>
      <c r="T9" s="80"/>
      <c r="U9" s="84"/>
      <c r="V9" s="80"/>
      <c r="W9" s="75"/>
      <c r="X9" s="80"/>
      <c r="Y9" s="75"/>
      <c r="Z9" s="80"/>
      <c r="AA9" s="75"/>
      <c r="AB9" s="80"/>
      <c r="AC9" s="85"/>
      <c r="AD9" s="80"/>
      <c r="AE9" s="85"/>
      <c r="AF9" s="86"/>
      <c r="AG9" s="86"/>
    </row>
    <row r="10" spans="1:33" s="82" customFormat="1" ht="12.75">
      <c r="A10" s="79" t="s">
        <v>13</v>
      </c>
      <c r="B10" s="80"/>
      <c r="C10" s="142">
        <v>14912863</v>
      </c>
      <c r="D10" s="142"/>
      <c r="E10" s="142">
        <v>8924749</v>
      </c>
      <c r="F10" s="142"/>
      <c r="G10" s="142">
        <v>10298109</v>
      </c>
      <c r="H10" s="142"/>
      <c r="I10" s="142">
        <v>6598668</v>
      </c>
      <c r="J10" s="142"/>
      <c r="K10" s="142">
        <f>11008957+351968</f>
        <v>11360925</v>
      </c>
      <c r="L10" s="142"/>
      <c r="M10" s="142">
        <f>11128616+5486694+917281</f>
        <v>17532591</v>
      </c>
      <c r="N10" s="142"/>
      <c r="O10" s="142">
        <v>0</v>
      </c>
      <c r="P10" s="142"/>
      <c r="Q10" s="142">
        <v>2128113</v>
      </c>
      <c r="R10" s="142"/>
      <c r="S10" s="142">
        <f>125592+6796766+1621554</f>
        <v>8543912</v>
      </c>
      <c r="T10" s="142"/>
      <c r="U10" s="142">
        <v>101631</v>
      </c>
      <c r="V10" s="142"/>
      <c r="W10" s="142">
        <v>1716565</v>
      </c>
      <c r="X10" s="142"/>
      <c r="Y10" s="142">
        <f>SUM(C10:W10)</f>
        <v>82118126</v>
      </c>
      <c r="Z10" s="80"/>
      <c r="AA10" s="80">
        <v>8258656</v>
      </c>
      <c r="AB10" s="80"/>
      <c r="AC10" s="142">
        <v>77361004</v>
      </c>
      <c r="AD10" s="80"/>
      <c r="AE10" s="80">
        <f>+AC10+AA10</f>
        <v>85619660</v>
      </c>
      <c r="AF10" s="81">
        <v>0</v>
      </c>
      <c r="AG10" s="86"/>
    </row>
    <row r="11" spans="1:33" s="82" customFormat="1" ht="12.75">
      <c r="A11" s="79" t="s">
        <v>14</v>
      </c>
      <c r="B11" s="80"/>
      <c r="C11" s="80">
        <v>5904447</v>
      </c>
      <c r="D11" s="80"/>
      <c r="E11" s="80">
        <v>1541401</v>
      </c>
      <c r="F11" s="80"/>
      <c r="G11" s="80">
        <f>5405118+520259</f>
        <v>5925377</v>
      </c>
      <c r="H11" s="80"/>
      <c r="I11" s="80">
        <v>4492160</v>
      </c>
      <c r="J11" s="80"/>
      <c r="K11" s="80">
        <f>4353949+5266378+253210</f>
        <v>9873537</v>
      </c>
      <c r="L11" s="80"/>
      <c r="M11" s="80">
        <f>1079751+3458993+1528293</f>
        <v>6067037</v>
      </c>
      <c r="N11" s="80"/>
      <c r="O11" s="80">
        <v>0</v>
      </c>
      <c r="P11" s="80"/>
      <c r="Q11" s="80">
        <v>77409</v>
      </c>
      <c r="R11" s="80"/>
      <c r="S11" s="80">
        <v>140185</v>
      </c>
      <c r="T11" s="80"/>
      <c r="U11" s="80">
        <v>335884</v>
      </c>
      <c r="V11" s="80"/>
      <c r="W11" s="80">
        <v>295068</v>
      </c>
      <c r="X11" s="80"/>
      <c r="Y11" s="80">
        <f aca="true" t="shared" si="0" ref="Y11:Y27">SUM(C11:W11)</f>
        <v>34652505</v>
      </c>
      <c r="Z11" s="80"/>
      <c r="AA11" s="80">
        <v>1963821</v>
      </c>
      <c r="AB11" s="80"/>
      <c r="AC11" s="80">
        <v>55532353</v>
      </c>
      <c r="AD11" s="80"/>
      <c r="AE11" s="80">
        <f aca="true" t="shared" si="1" ref="AE11:AE27">+AC11+AA11</f>
        <v>57496174</v>
      </c>
      <c r="AF11" s="81">
        <v>0</v>
      </c>
      <c r="AG11" s="86"/>
    </row>
    <row r="12" spans="1:33" s="82" customFormat="1" ht="12.75">
      <c r="A12" s="79" t="s">
        <v>15</v>
      </c>
      <c r="B12" s="80"/>
      <c r="C12" s="80">
        <v>8380653</v>
      </c>
      <c r="D12" s="80"/>
      <c r="E12" s="80">
        <v>3371464</v>
      </c>
      <c r="F12" s="80"/>
      <c r="G12" s="80">
        <v>8472908</v>
      </c>
      <c r="H12" s="80"/>
      <c r="I12" s="80">
        <v>5302290</v>
      </c>
      <c r="J12" s="80"/>
      <c r="K12" s="80">
        <v>25024308</v>
      </c>
      <c r="L12" s="80"/>
      <c r="M12" s="80">
        <v>32961653</v>
      </c>
      <c r="N12" s="80"/>
      <c r="O12" s="80">
        <v>0</v>
      </c>
      <c r="P12" s="80"/>
      <c r="Q12" s="80">
        <v>276224</v>
      </c>
      <c r="R12" s="80"/>
      <c r="S12" s="80">
        <v>2728111</v>
      </c>
      <c r="T12" s="80"/>
      <c r="U12" s="80">
        <v>0</v>
      </c>
      <c r="V12" s="80"/>
      <c r="W12" s="80">
        <v>328751</v>
      </c>
      <c r="X12" s="80"/>
      <c r="Y12" s="80">
        <f t="shared" si="0"/>
        <v>86846362</v>
      </c>
      <c r="Z12" s="80"/>
      <c r="AA12" s="80">
        <v>10733892</v>
      </c>
      <c r="AB12" s="80"/>
      <c r="AC12" s="80">
        <v>155601992</v>
      </c>
      <c r="AD12" s="80"/>
      <c r="AE12" s="80">
        <f t="shared" si="1"/>
        <v>166335884</v>
      </c>
      <c r="AF12" s="81">
        <v>0</v>
      </c>
      <c r="AG12" s="86"/>
    </row>
    <row r="13" spans="1:33" s="82" customFormat="1" ht="12.75">
      <c r="A13" s="79" t="s">
        <v>16</v>
      </c>
      <c r="B13" s="80"/>
      <c r="C13" s="80">
        <v>5388878</v>
      </c>
      <c r="D13" s="80"/>
      <c r="E13" s="80">
        <v>2396367</v>
      </c>
      <c r="F13" s="80"/>
      <c r="G13" s="80">
        <v>4078211</v>
      </c>
      <c r="H13" s="80"/>
      <c r="I13" s="80">
        <v>4769293</v>
      </c>
      <c r="J13" s="80"/>
      <c r="K13" s="80">
        <v>2440297</v>
      </c>
      <c r="L13" s="80"/>
      <c r="M13" s="80">
        <v>29398185</v>
      </c>
      <c r="N13" s="80"/>
      <c r="O13" s="80">
        <v>34636</v>
      </c>
      <c r="P13" s="80"/>
      <c r="Q13" s="80">
        <v>16712</v>
      </c>
      <c r="R13" s="80"/>
      <c r="S13" s="80">
        <v>0</v>
      </c>
      <c r="T13" s="80"/>
      <c r="U13" s="80">
        <v>0</v>
      </c>
      <c r="V13" s="80"/>
      <c r="W13" s="80">
        <v>194158</v>
      </c>
      <c r="X13" s="80"/>
      <c r="Y13" s="80">
        <f t="shared" si="0"/>
        <v>48716737</v>
      </c>
      <c r="Z13" s="80"/>
      <c r="AA13" s="80">
        <v>3367686</v>
      </c>
      <c r="AB13" s="80"/>
      <c r="AC13" s="80">
        <v>71249802</v>
      </c>
      <c r="AD13" s="80"/>
      <c r="AE13" s="80">
        <f t="shared" si="1"/>
        <v>74617488</v>
      </c>
      <c r="AF13" s="81">
        <v>0</v>
      </c>
      <c r="AG13" s="86"/>
    </row>
    <row r="14" spans="1:33" s="82" customFormat="1" ht="12.75">
      <c r="A14" s="79" t="s">
        <v>17</v>
      </c>
      <c r="B14" s="80"/>
      <c r="C14" s="80">
        <v>4518159</v>
      </c>
      <c r="D14" s="80"/>
      <c r="E14" s="80">
        <v>1636027</v>
      </c>
      <c r="F14" s="80"/>
      <c r="G14" s="80">
        <v>4615887</v>
      </c>
      <c r="H14" s="80"/>
      <c r="I14" s="80">
        <v>5941539</v>
      </c>
      <c r="J14" s="80"/>
      <c r="K14" s="80">
        <v>5177007</v>
      </c>
      <c r="L14" s="80"/>
      <c r="M14" s="80">
        <v>4827331</v>
      </c>
      <c r="N14" s="80"/>
      <c r="O14" s="80">
        <v>0</v>
      </c>
      <c r="P14" s="80"/>
      <c r="Q14" s="80">
        <v>0</v>
      </c>
      <c r="R14" s="80"/>
      <c r="S14" s="80">
        <v>1339011</v>
      </c>
      <c r="T14" s="80"/>
      <c r="U14" s="80">
        <v>0</v>
      </c>
      <c r="V14" s="80"/>
      <c r="W14" s="80">
        <v>198164</v>
      </c>
      <c r="X14" s="80"/>
      <c r="Y14" s="80">
        <f t="shared" si="0"/>
        <v>28253125</v>
      </c>
      <c r="Z14" s="80"/>
      <c r="AA14" s="80">
        <v>2524780</v>
      </c>
      <c r="AB14" s="80"/>
      <c r="AC14" s="80">
        <v>37238760</v>
      </c>
      <c r="AD14" s="80"/>
      <c r="AE14" s="80">
        <f t="shared" si="1"/>
        <v>39763540</v>
      </c>
      <c r="AF14" s="81">
        <v>0</v>
      </c>
      <c r="AG14" s="86"/>
    </row>
    <row r="15" spans="1:33" s="82" customFormat="1" ht="12.75">
      <c r="A15" s="79" t="s">
        <v>18</v>
      </c>
      <c r="B15" s="80"/>
      <c r="C15" s="80">
        <v>8506362</v>
      </c>
      <c r="D15" s="80"/>
      <c r="E15" s="80">
        <v>3077922</v>
      </c>
      <c r="F15" s="80"/>
      <c r="G15" s="80">
        <v>8799940</v>
      </c>
      <c r="H15" s="80"/>
      <c r="I15" s="80">
        <v>6765150</v>
      </c>
      <c r="J15" s="80"/>
      <c r="K15" s="80">
        <v>11548635</v>
      </c>
      <c r="L15" s="80"/>
      <c r="M15" s="80">
        <v>17281713</v>
      </c>
      <c r="N15" s="80"/>
      <c r="O15" s="80">
        <v>276427</v>
      </c>
      <c r="P15" s="80"/>
      <c r="Q15" s="80">
        <v>0</v>
      </c>
      <c r="R15" s="80"/>
      <c r="S15" s="80">
        <v>0</v>
      </c>
      <c r="T15" s="80"/>
      <c r="U15" s="80">
        <v>2045558</v>
      </c>
      <c r="V15" s="80"/>
      <c r="W15" s="80">
        <v>317042</v>
      </c>
      <c r="X15" s="80"/>
      <c r="Y15" s="80">
        <f t="shared" si="0"/>
        <v>58618749</v>
      </c>
      <c r="Z15" s="80"/>
      <c r="AA15" s="80">
        <v>5421197</v>
      </c>
      <c r="AB15" s="80"/>
      <c r="AC15" s="80">
        <v>84131820</v>
      </c>
      <c r="AD15" s="80"/>
      <c r="AE15" s="80">
        <f>+AC15+AA15</f>
        <v>89553017</v>
      </c>
      <c r="AF15" s="81">
        <v>0</v>
      </c>
      <c r="AG15" s="86"/>
    </row>
    <row r="16" spans="1:33" s="82" customFormat="1" ht="12.75" hidden="1">
      <c r="A16" s="79" t="s">
        <v>133</v>
      </c>
      <c r="B16" s="80"/>
      <c r="C16" s="80">
        <v>0</v>
      </c>
      <c r="D16" s="80"/>
      <c r="E16" s="80">
        <v>0</v>
      </c>
      <c r="F16" s="80"/>
      <c r="G16" s="80">
        <v>0</v>
      </c>
      <c r="H16" s="80"/>
      <c r="I16" s="80">
        <v>0</v>
      </c>
      <c r="J16" s="80"/>
      <c r="K16" s="80">
        <v>0</v>
      </c>
      <c r="L16" s="80"/>
      <c r="M16" s="80">
        <v>0</v>
      </c>
      <c r="N16" s="80"/>
      <c r="O16" s="80">
        <v>0</v>
      </c>
      <c r="P16" s="80"/>
      <c r="Q16" s="80">
        <v>0</v>
      </c>
      <c r="R16" s="80"/>
      <c r="S16" s="80">
        <v>0</v>
      </c>
      <c r="T16" s="80"/>
      <c r="U16" s="80">
        <v>0</v>
      </c>
      <c r="V16" s="80"/>
      <c r="W16" s="80">
        <v>0</v>
      </c>
      <c r="X16" s="80"/>
      <c r="Y16" s="80">
        <f t="shared" si="0"/>
        <v>0</v>
      </c>
      <c r="Z16" s="80"/>
      <c r="AA16" s="80">
        <v>0</v>
      </c>
      <c r="AB16" s="80"/>
      <c r="AC16" s="80">
        <v>0</v>
      </c>
      <c r="AD16" s="80"/>
      <c r="AE16" s="80">
        <f t="shared" si="1"/>
        <v>0</v>
      </c>
      <c r="AF16" s="81">
        <v>0</v>
      </c>
      <c r="AG16" s="86"/>
    </row>
    <row r="17" spans="1:33" s="82" customFormat="1" ht="12.75">
      <c r="A17" s="79" t="s">
        <v>19</v>
      </c>
      <c r="B17" s="80"/>
      <c r="C17" s="80">
        <v>41811607</v>
      </c>
      <c r="D17" s="80"/>
      <c r="E17" s="80">
        <v>13961424</v>
      </c>
      <c r="F17" s="80"/>
      <c r="G17" s="80">
        <v>39076252</v>
      </c>
      <c r="H17" s="80"/>
      <c r="I17" s="80">
        <v>20443207</v>
      </c>
      <c r="J17" s="80"/>
      <c r="K17" s="80">
        <v>47785590</v>
      </c>
      <c r="L17" s="80"/>
      <c r="M17" s="80">
        <v>70220434</v>
      </c>
      <c r="N17" s="80"/>
      <c r="O17" s="80">
        <v>0</v>
      </c>
      <c r="P17" s="80"/>
      <c r="Q17" s="80">
        <v>477828</v>
      </c>
      <c r="R17" s="80"/>
      <c r="S17" s="80">
        <v>0</v>
      </c>
      <c r="T17" s="80"/>
      <c r="U17" s="80">
        <v>0</v>
      </c>
      <c r="V17" s="80"/>
      <c r="W17" s="80">
        <v>4445020</v>
      </c>
      <c r="X17" s="80"/>
      <c r="Y17" s="80">
        <f t="shared" si="0"/>
        <v>238221362</v>
      </c>
      <c r="Z17" s="80"/>
      <c r="AA17" s="80">
        <v>7985826</v>
      </c>
      <c r="AB17" s="80"/>
      <c r="AC17" s="80">
        <v>350173366</v>
      </c>
      <c r="AD17" s="80"/>
      <c r="AE17" s="80">
        <f t="shared" si="1"/>
        <v>358159192</v>
      </c>
      <c r="AF17" s="81">
        <v>0</v>
      </c>
      <c r="AG17" s="86"/>
    </row>
    <row r="18" spans="1:33" s="82" customFormat="1" ht="12.75">
      <c r="A18" s="79" t="s">
        <v>20</v>
      </c>
      <c r="B18" s="80"/>
      <c r="C18" s="80">
        <v>2401559</v>
      </c>
      <c r="D18" s="80"/>
      <c r="E18" s="80">
        <v>849376</v>
      </c>
      <c r="F18" s="80"/>
      <c r="G18" s="80">
        <v>2541247</v>
      </c>
      <c r="H18" s="80"/>
      <c r="I18" s="80">
        <v>6256775</v>
      </c>
      <c r="J18" s="80"/>
      <c r="K18" s="80">
        <v>3972499</v>
      </c>
      <c r="L18" s="80"/>
      <c r="M18" s="80">
        <v>5058299</v>
      </c>
      <c r="N18" s="80"/>
      <c r="O18" s="80">
        <f>516461+300739</f>
        <v>817200</v>
      </c>
      <c r="P18" s="80"/>
      <c r="Q18" s="80">
        <v>0</v>
      </c>
      <c r="R18" s="80"/>
      <c r="S18" s="80">
        <v>587006</v>
      </c>
      <c r="T18" s="80"/>
      <c r="U18" s="80">
        <v>0</v>
      </c>
      <c r="V18" s="80"/>
      <c r="W18" s="80">
        <v>17430</v>
      </c>
      <c r="X18" s="80"/>
      <c r="Y18" s="80">
        <f t="shared" si="0"/>
        <v>22501391</v>
      </c>
      <c r="Z18" s="80"/>
      <c r="AA18" s="80">
        <v>-200390</v>
      </c>
      <c r="AB18" s="80"/>
      <c r="AC18" s="80">
        <v>17143799</v>
      </c>
      <c r="AD18" s="80"/>
      <c r="AE18" s="80">
        <f t="shared" si="1"/>
        <v>16943409</v>
      </c>
      <c r="AF18" s="81">
        <v>0</v>
      </c>
      <c r="AG18" s="87"/>
    </row>
    <row r="19" spans="1:33" s="82" customFormat="1" ht="12.75" hidden="1">
      <c r="A19" s="79" t="s">
        <v>177</v>
      </c>
      <c r="B19" s="80"/>
      <c r="C19" s="80">
        <v>0</v>
      </c>
      <c r="D19" s="80"/>
      <c r="E19" s="80">
        <v>0</v>
      </c>
      <c r="F19" s="80"/>
      <c r="G19" s="80">
        <v>0</v>
      </c>
      <c r="H19" s="80"/>
      <c r="I19" s="80">
        <v>0</v>
      </c>
      <c r="J19" s="80"/>
      <c r="K19" s="80">
        <v>0</v>
      </c>
      <c r="L19" s="80"/>
      <c r="M19" s="80">
        <v>0</v>
      </c>
      <c r="N19" s="80"/>
      <c r="O19" s="80">
        <v>0</v>
      </c>
      <c r="P19" s="80"/>
      <c r="Q19" s="80">
        <v>0</v>
      </c>
      <c r="R19" s="80"/>
      <c r="S19" s="80">
        <v>0</v>
      </c>
      <c r="T19" s="80"/>
      <c r="U19" s="80">
        <v>0</v>
      </c>
      <c r="V19" s="80"/>
      <c r="W19" s="80">
        <v>0</v>
      </c>
      <c r="X19" s="80"/>
      <c r="Y19" s="80">
        <f t="shared" si="0"/>
        <v>0</v>
      </c>
      <c r="Z19" s="80"/>
      <c r="AA19" s="80">
        <v>0</v>
      </c>
      <c r="AB19" s="80"/>
      <c r="AC19" s="80">
        <v>0</v>
      </c>
      <c r="AD19" s="80"/>
      <c r="AE19" s="80">
        <f t="shared" si="1"/>
        <v>0</v>
      </c>
      <c r="AF19" s="81">
        <v>0</v>
      </c>
      <c r="AG19" s="86"/>
    </row>
    <row r="20" spans="1:33" s="82" customFormat="1" ht="12.75">
      <c r="A20" s="79" t="s">
        <v>21</v>
      </c>
      <c r="B20" s="80"/>
      <c r="C20" s="80">
        <v>14116897</v>
      </c>
      <c r="D20" s="80"/>
      <c r="E20" s="80">
        <v>8239131</v>
      </c>
      <c r="F20" s="80"/>
      <c r="G20" s="80">
        <v>16860783</v>
      </c>
      <c r="H20" s="80"/>
      <c r="I20" s="80">
        <v>11023440</v>
      </c>
      <c r="J20" s="80"/>
      <c r="K20" s="80">
        <v>23233276</v>
      </c>
      <c r="L20" s="80"/>
      <c r="M20" s="80">
        <v>41625545</v>
      </c>
      <c r="N20" s="80"/>
      <c r="O20" s="80">
        <v>0</v>
      </c>
      <c r="P20" s="80"/>
      <c r="Q20" s="80">
        <v>1695351</v>
      </c>
      <c r="R20" s="80"/>
      <c r="S20" s="80">
        <v>430601</v>
      </c>
      <c r="T20" s="80"/>
      <c r="U20" s="80">
        <v>0</v>
      </c>
      <c r="V20" s="80"/>
      <c r="W20" s="80">
        <v>0</v>
      </c>
      <c r="X20" s="80"/>
      <c r="Y20" s="80">
        <f t="shared" si="0"/>
        <v>117225024</v>
      </c>
      <c r="Z20" s="80"/>
      <c r="AA20" s="80">
        <v>1203960</v>
      </c>
      <c r="AB20" s="80"/>
      <c r="AC20" s="80">
        <v>80845016</v>
      </c>
      <c r="AD20" s="80"/>
      <c r="AE20" s="80">
        <f t="shared" si="1"/>
        <v>82048976</v>
      </c>
      <c r="AF20" s="81">
        <v>0</v>
      </c>
      <c r="AG20" s="86"/>
    </row>
    <row r="21" spans="1:33" s="82" customFormat="1" ht="12.75">
      <c r="A21" s="79" t="s">
        <v>188</v>
      </c>
      <c r="B21" s="80"/>
      <c r="C21" s="80">
        <v>22705828</v>
      </c>
      <c r="D21" s="80"/>
      <c r="E21" s="80">
        <v>9832777</v>
      </c>
      <c r="F21" s="80"/>
      <c r="G21" s="80">
        <v>27358585</v>
      </c>
      <c r="H21" s="80"/>
      <c r="I21" s="80">
        <v>7645345</v>
      </c>
      <c r="J21" s="80"/>
      <c r="K21" s="80">
        <v>621688</v>
      </c>
      <c r="L21" s="80"/>
      <c r="M21" s="80">
        <v>30203142</v>
      </c>
      <c r="N21" s="80"/>
      <c r="O21" s="80">
        <v>3810015</v>
      </c>
      <c r="P21" s="80"/>
      <c r="Q21" s="80">
        <v>0</v>
      </c>
      <c r="R21" s="80"/>
      <c r="S21" s="80">
        <v>1550036</v>
      </c>
      <c r="T21" s="80"/>
      <c r="U21" s="80">
        <v>0</v>
      </c>
      <c r="V21" s="80"/>
      <c r="W21" s="80">
        <v>1419119</v>
      </c>
      <c r="X21" s="80"/>
      <c r="Y21" s="80">
        <f t="shared" si="0"/>
        <v>105146535</v>
      </c>
      <c r="Z21" s="80"/>
      <c r="AA21" s="80">
        <v>13318899</v>
      </c>
      <c r="AB21" s="80"/>
      <c r="AC21" s="80">
        <v>184132580</v>
      </c>
      <c r="AD21" s="80"/>
      <c r="AE21" s="80">
        <f t="shared" si="1"/>
        <v>197451479</v>
      </c>
      <c r="AF21" s="81">
        <v>0</v>
      </c>
      <c r="AG21" s="86"/>
    </row>
    <row r="22" spans="1:33" s="82" customFormat="1" ht="12.75">
      <c r="A22" s="79" t="s">
        <v>22</v>
      </c>
      <c r="B22" s="80"/>
      <c r="C22" s="80">
        <v>4824690</v>
      </c>
      <c r="D22" s="80"/>
      <c r="E22" s="80">
        <v>2894278</v>
      </c>
      <c r="F22" s="80"/>
      <c r="G22" s="80">
        <v>3955795</v>
      </c>
      <c r="H22" s="80"/>
      <c r="I22" s="80">
        <v>5205237</v>
      </c>
      <c r="J22" s="80"/>
      <c r="K22" s="80">
        <v>4115776</v>
      </c>
      <c r="L22" s="80"/>
      <c r="M22" s="80">
        <v>9556832</v>
      </c>
      <c r="N22" s="80"/>
      <c r="O22" s="80">
        <v>213991</v>
      </c>
      <c r="P22" s="80"/>
      <c r="Q22" s="80">
        <v>0</v>
      </c>
      <c r="R22" s="80"/>
      <c r="S22" s="80">
        <v>1143439</v>
      </c>
      <c r="T22" s="80"/>
      <c r="U22" s="80">
        <v>0</v>
      </c>
      <c r="V22" s="80"/>
      <c r="W22" s="80">
        <v>393629</v>
      </c>
      <c r="X22" s="80"/>
      <c r="Y22" s="80">
        <f t="shared" si="0"/>
        <v>32303667</v>
      </c>
      <c r="Z22" s="80"/>
      <c r="AA22" s="80">
        <v>-43717</v>
      </c>
      <c r="AB22" s="80"/>
      <c r="AC22" s="80">
        <v>39736083</v>
      </c>
      <c r="AD22" s="80"/>
      <c r="AE22" s="80">
        <f t="shared" si="1"/>
        <v>39692366</v>
      </c>
      <c r="AF22" s="81">
        <v>0</v>
      </c>
      <c r="AG22" s="86"/>
    </row>
    <row r="23" spans="1:33" s="82" customFormat="1" ht="12.75" hidden="1">
      <c r="A23" s="79" t="s">
        <v>23</v>
      </c>
      <c r="B23" s="80"/>
      <c r="C23" s="80">
        <v>0</v>
      </c>
      <c r="D23" s="80"/>
      <c r="E23" s="80">
        <v>0</v>
      </c>
      <c r="F23" s="80"/>
      <c r="G23" s="80">
        <v>0</v>
      </c>
      <c r="H23" s="80"/>
      <c r="I23" s="80">
        <v>0</v>
      </c>
      <c r="J23" s="80"/>
      <c r="K23" s="80">
        <v>0</v>
      </c>
      <c r="L23" s="80"/>
      <c r="M23" s="80">
        <v>0</v>
      </c>
      <c r="N23" s="80"/>
      <c r="O23" s="80">
        <v>0</v>
      </c>
      <c r="P23" s="80"/>
      <c r="Q23" s="80">
        <v>0</v>
      </c>
      <c r="R23" s="80"/>
      <c r="S23" s="80">
        <v>0</v>
      </c>
      <c r="T23" s="80"/>
      <c r="U23" s="80">
        <v>0</v>
      </c>
      <c r="V23" s="80"/>
      <c r="W23" s="80">
        <v>0</v>
      </c>
      <c r="X23" s="80"/>
      <c r="Y23" s="80">
        <f t="shared" si="0"/>
        <v>0</v>
      </c>
      <c r="Z23" s="80"/>
      <c r="AA23" s="80">
        <v>0</v>
      </c>
      <c r="AB23" s="80"/>
      <c r="AC23" s="80">
        <v>0</v>
      </c>
      <c r="AD23" s="80"/>
      <c r="AE23" s="80">
        <f t="shared" si="1"/>
        <v>0</v>
      </c>
      <c r="AF23" s="81">
        <v>0</v>
      </c>
      <c r="AG23" s="86"/>
    </row>
    <row r="24" spans="1:33" s="82" customFormat="1" ht="12.75" hidden="1">
      <c r="A24" s="79" t="s">
        <v>24</v>
      </c>
      <c r="B24" s="80"/>
      <c r="C24" s="80">
        <v>0</v>
      </c>
      <c r="D24" s="80"/>
      <c r="E24" s="80">
        <v>0</v>
      </c>
      <c r="F24" s="80"/>
      <c r="G24" s="80">
        <v>0</v>
      </c>
      <c r="H24" s="80"/>
      <c r="I24" s="80">
        <v>0</v>
      </c>
      <c r="J24" s="80"/>
      <c r="K24" s="80">
        <v>0</v>
      </c>
      <c r="L24" s="80"/>
      <c r="M24" s="80">
        <v>0</v>
      </c>
      <c r="N24" s="80"/>
      <c r="O24" s="80">
        <v>0</v>
      </c>
      <c r="P24" s="80"/>
      <c r="Q24" s="80">
        <v>0</v>
      </c>
      <c r="R24" s="80"/>
      <c r="S24" s="80">
        <v>0</v>
      </c>
      <c r="T24" s="80"/>
      <c r="U24" s="80">
        <v>0</v>
      </c>
      <c r="V24" s="80"/>
      <c r="W24" s="80">
        <v>0</v>
      </c>
      <c r="X24" s="80"/>
      <c r="Y24" s="80">
        <f t="shared" si="0"/>
        <v>0</v>
      </c>
      <c r="Z24" s="80"/>
      <c r="AA24" s="80">
        <v>0</v>
      </c>
      <c r="AB24" s="80"/>
      <c r="AC24" s="80">
        <v>0</v>
      </c>
      <c r="AD24" s="80"/>
      <c r="AE24" s="80">
        <f t="shared" si="1"/>
        <v>0</v>
      </c>
      <c r="AF24" s="81">
        <v>0</v>
      </c>
      <c r="AG24" s="86"/>
    </row>
    <row r="25" spans="1:33" s="82" customFormat="1" ht="12.75">
      <c r="A25" s="79" t="s">
        <v>186</v>
      </c>
      <c r="B25" s="80"/>
      <c r="C25" s="80">
        <v>4083474</v>
      </c>
      <c r="D25" s="80"/>
      <c r="E25" s="80">
        <v>2035724</v>
      </c>
      <c r="F25" s="80"/>
      <c r="G25" s="80">
        <f>2189785+3394749</f>
        <v>5584534</v>
      </c>
      <c r="H25" s="80"/>
      <c r="I25" s="80">
        <v>4667665</v>
      </c>
      <c r="J25" s="80"/>
      <c r="K25" s="80">
        <f>3540244+852069</f>
        <v>4392313</v>
      </c>
      <c r="L25" s="80"/>
      <c r="M25" s="80">
        <f>1489404+1801938+5610459+1896512</f>
        <v>10798313</v>
      </c>
      <c r="N25" s="80"/>
      <c r="O25" s="80">
        <v>0</v>
      </c>
      <c r="P25" s="80"/>
      <c r="Q25" s="80">
        <v>0</v>
      </c>
      <c r="R25" s="80"/>
      <c r="S25" s="80">
        <v>0</v>
      </c>
      <c r="T25" s="80"/>
      <c r="U25" s="80">
        <v>480828</v>
      </c>
      <c r="V25" s="80"/>
      <c r="W25" s="80">
        <v>650907</v>
      </c>
      <c r="X25" s="80"/>
      <c r="Y25" s="80">
        <f t="shared" si="0"/>
        <v>32693758</v>
      </c>
      <c r="Z25" s="80"/>
      <c r="AA25" s="80">
        <v>583989</v>
      </c>
      <c r="AB25" s="80"/>
      <c r="AC25" s="80">
        <v>44487635</v>
      </c>
      <c r="AD25" s="80"/>
      <c r="AE25" s="80">
        <f t="shared" si="1"/>
        <v>45071624</v>
      </c>
      <c r="AF25" s="81">
        <v>0</v>
      </c>
      <c r="AG25" s="86"/>
    </row>
    <row r="26" spans="1:33" s="82" customFormat="1" ht="12.75">
      <c r="A26" s="79" t="s">
        <v>25</v>
      </c>
      <c r="B26" s="80"/>
      <c r="C26" s="80">
        <v>81196000</v>
      </c>
      <c r="D26" s="80"/>
      <c r="E26" s="80">
        <v>297292000</v>
      </c>
      <c r="F26" s="80"/>
      <c r="G26" s="80">
        <v>0</v>
      </c>
      <c r="H26" s="80"/>
      <c r="I26" s="80">
        <v>64765000</v>
      </c>
      <c r="J26" s="80"/>
      <c r="K26" s="80">
        <v>207386000</v>
      </c>
      <c r="L26" s="80"/>
      <c r="M26" s="80">
        <v>580962000</v>
      </c>
      <c r="N26" s="80"/>
      <c r="O26" s="80">
        <v>31653000</v>
      </c>
      <c r="P26" s="80"/>
      <c r="Q26" s="80">
        <v>0</v>
      </c>
      <c r="R26" s="80"/>
      <c r="S26" s="80">
        <v>0</v>
      </c>
      <c r="T26" s="80"/>
      <c r="U26" s="80">
        <v>0</v>
      </c>
      <c r="V26" s="80"/>
      <c r="W26" s="80">
        <v>15932000</v>
      </c>
      <c r="X26" s="80"/>
      <c r="Y26" s="80">
        <f>SUM(C26:W26)</f>
        <v>1279186000</v>
      </c>
      <c r="Z26" s="80"/>
      <c r="AA26" s="80">
        <v>94781000</v>
      </c>
      <c r="AB26" s="80"/>
      <c r="AC26" s="80">
        <v>595645000</v>
      </c>
      <c r="AD26" s="80"/>
      <c r="AE26" s="80">
        <f t="shared" si="1"/>
        <v>690426000</v>
      </c>
      <c r="AF26" s="81">
        <v>0</v>
      </c>
      <c r="AG26" s="86"/>
    </row>
    <row r="27" spans="1:33" s="82" customFormat="1" ht="12.75">
      <c r="A27" s="79" t="s">
        <v>26</v>
      </c>
      <c r="B27" s="80"/>
      <c r="C27" s="80">
        <v>6869520</v>
      </c>
      <c r="D27" s="80"/>
      <c r="E27" s="80">
        <v>0</v>
      </c>
      <c r="F27" s="80"/>
      <c r="G27" s="80">
        <v>4184707</v>
      </c>
      <c r="H27" s="80"/>
      <c r="I27" s="80">
        <v>5672790</v>
      </c>
      <c r="J27" s="80"/>
      <c r="K27" s="80">
        <v>316371</v>
      </c>
      <c r="L27" s="80"/>
      <c r="M27" s="80">
        <v>11464494</v>
      </c>
      <c r="N27" s="80"/>
      <c r="O27" s="80">
        <v>995081</v>
      </c>
      <c r="P27" s="80"/>
      <c r="Q27" s="80">
        <v>0</v>
      </c>
      <c r="R27" s="80"/>
      <c r="S27" s="80">
        <v>0</v>
      </c>
      <c r="T27" s="80"/>
      <c r="U27" s="80">
        <v>0</v>
      </c>
      <c r="V27" s="80"/>
      <c r="W27" s="80">
        <v>335314</v>
      </c>
      <c r="X27" s="80"/>
      <c r="Y27" s="80">
        <f t="shared" si="0"/>
        <v>29838277</v>
      </c>
      <c r="Z27" s="80"/>
      <c r="AA27" s="80">
        <v>64580</v>
      </c>
      <c r="AB27" s="80"/>
      <c r="AC27" s="80">
        <v>90433076</v>
      </c>
      <c r="AD27" s="80"/>
      <c r="AE27" s="80">
        <f t="shared" si="1"/>
        <v>90497656</v>
      </c>
      <c r="AF27" s="81">
        <v>0</v>
      </c>
      <c r="AG27" s="86"/>
    </row>
    <row r="28" spans="1:33" s="82" customFormat="1" ht="12.75">
      <c r="A28" s="79" t="s">
        <v>27</v>
      </c>
      <c r="B28" s="80"/>
      <c r="C28" s="80">
        <v>5828899</v>
      </c>
      <c r="D28" s="80"/>
      <c r="E28" s="80">
        <v>1542892</v>
      </c>
      <c r="F28" s="80"/>
      <c r="G28" s="80">
        <v>4421557</v>
      </c>
      <c r="H28" s="80"/>
      <c r="I28" s="80">
        <v>6883882</v>
      </c>
      <c r="J28" s="80"/>
      <c r="K28" s="80">
        <v>4216895</v>
      </c>
      <c r="L28" s="80"/>
      <c r="M28" s="80">
        <v>5910202</v>
      </c>
      <c r="N28" s="80"/>
      <c r="O28" s="80">
        <v>483702</v>
      </c>
      <c r="P28" s="80"/>
      <c r="Q28" s="80">
        <v>6438</v>
      </c>
      <c r="R28" s="80"/>
      <c r="S28" s="80">
        <v>0</v>
      </c>
      <c r="T28" s="80"/>
      <c r="U28" s="80">
        <v>0</v>
      </c>
      <c r="V28" s="80"/>
      <c r="W28" s="80">
        <v>246246</v>
      </c>
      <c r="X28" s="80"/>
      <c r="Y28" s="80">
        <f aca="true" t="shared" si="2" ref="Y28:Y74">SUM(C28:W28)</f>
        <v>29540713</v>
      </c>
      <c r="Z28" s="80"/>
      <c r="AA28" s="80">
        <f>+'St of Activities - GA Rev'!Y28-'St of Activities - GA Exp'!Y28</f>
        <v>3230949</v>
      </c>
      <c r="AB28" s="80"/>
      <c r="AC28" s="80">
        <v>70866350</v>
      </c>
      <c r="AD28" s="80"/>
      <c r="AE28" s="80">
        <f aca="true" t="shared" si="3" ref="AE28:AE43">+AC28+AA28</f>
        <v>74097299</v>
      </c>
      <c r="AF28" s="81">
        <f>+'St of Net Assets - GA'!W28-'St of Activities - GA Exp'!AE28</f>
        <v>0</v>
      </c>
      <c r="AG28" s="86"/>
    </row>
    <row r="29" spans="1:33" s="82" customFormat="1" ht="12.75">
      <c r="A29" s="79" t="s">
        <v>28</v>
      </c>
      <c r="B29" s="80"/>
      <c r="C29" s="80">
        <v>13804750</v>
      </c>
      <c r="D29" s="80"/>
      <c r="E29" s="80">
        <v>6478773</v>
      </c>
      <c r="F29" s="80"/>
      <c r="G29" s="80">
        <f>4098232+11800396+7468274+1698446</f>
        <v>25065348</v>
      </c>
      <c r="H29" s="80"/>
      <c r="I29" s="80">
        <v>14677345</v>
      </c>
      <c r="J29" s="80"/>
      <c r="K29" s="80">
        <v>10518395</v>
      </c>
      <c r="L29" s="80"/>
      <c r="M29" s="80">
        <f>438224+1638485+1379157+6586812</f>
        <v>10042678</v>
      </c>
      <c r="N29" s="80"/>
      <c r="O29" s="80">
        <v>0</v>
      </c>
      <c r="P29" s="80"/>
      <c r="Q29" s="80">
        <v>0</v>
      </c>
      <c r="R29" s="80"/>
      <c r="S29" s="80">
        <v>0</v>
      </c>
      <c r="T29" s="80"/>
      <c r="U29" s="80">
        <v>551901</v>
      </c>
      <c r="V29" s="80"/>
      <c r="W29" s="80">
        <v>1658337</v>
      </c>
      <c r="X29" s="80"/>
      <c r="Y29" s="80">
        <f t="shared" si="2"/>
        <v>82797527</v>
      </c>
      <c r="Z29" s="80"/>
      <c r="AA29" s="80">
        <f>+'St of Activities - GA Rev'!Y29-'St of Activities - GA Exp'!Y29</f>
        <v>15042642</v>
      </c>
      <c r="AB29" s="80"/>
      <c r="AC29" s="80">
        <v>153469197</v>
      </c>
      <c r="AD29" s="80"/>
      <c r="AE29" s="80">
        <f t="shared" si="3"/>
        <v>168511839</v>
      </c>
      <c r="AF29" s="81">
        <f>+'St of Net Assets - GA'!W29-'St of Activities - GA Exp'!AE29</f>
        <v>0</v>
      </c>
      <c r="AG29" s="86"/>
    </row>
    <row r="30" spans="1:33" s="82" customFormat="1" ht="12.75">
      <c r="A30" s="79" t="s">
        <v>29</v>
      </c>
      <c r="B30" s="80"/>
      <c r="C30" s="80">
        <v>11458727</v>
      </c>
      <c r="D30" s="80"/>
      <c r="E30" s="80">
        <v>4477457</v>
      </c>
      <c r="F30" s="80"/>
      <c r="G30" s="80">
        <v>11060190</v>
      </c>
      <c r="H30" s="80"/>
      <c r="I30" s="80">
        <v>8868660</v>
      </c>
      <c r="J30" s="80"/>
      <c r="K30" s="80">
        <v>7052513</v>
      </c>
      <c r="L30" s="80"/>
      <c r="M30" s="80">
        <v>13132395</v>
      </c>
      <c r="N30" s="80"/>
      <c r="O30" s="80">
        <v>5101153</v>
      </c>
      <c r="P30" s="80"/>
      <c r="Q30" s="80">
        <v>119624</v>
      </c>
      <c r="R30" s="80"/>
      <c r="S30" s="80">
        <v>665</v>
      </c>
      <c r="T30" s="80"/>
      <c r="U30" s="80">
        <v>0</v>
      </c>
      <c r="V30" s="80"/>
      <c r="W30" s="80">
        <v>592492</v>
      </c>
      <c r="X30" s="80"/>
      <c r="Y30" s="80">
        <f t="shared" si="2"/>
        <v>61863876</v>
      </c>
      <c r="Z30" s="80"/>
      <c r="AA30" s="80">
        <f>+'St of Activities - GA Rev'!Y30-'St of Activities - GA Exp'!Y30</f>
        <v>-2487491</v>
      </c>
      <c r="AB30" s="80"/>
      <c r="AC30" s="80">
        <v>68362160</v>
      </c>
      <c r="AD30" s="80"/>
      <c r="AE30" s="80">
        <f t="shared" si="3"/>
        <v>65874669</v>
      </c>
      <c r="AF30" s="81">
        <f>+'St of Net Assets - GA'!W30-'St of Activities - GA Exp'!AE30</f>
        <v>0</v>
      </c>
      <c r="AG30" s="86"/>
    </row>
    <row r="31" spans="1:33" s="82" customFormat="1" ht="12.75">
      <c r="A31" s="79" t="s">
        <v>30</v>
      </c>
      <c r="B31" s="80"/>
      <c r="C31" s="80">
        <v>8748759</v>
      </c>
      <c r="D31" s="80"/>
      <c r="E31" s="80">
        <v>4466402</v>
      </c>
      <c r="F31" s="80"/>
      <c r="G31" s="80">
        <v>11945218</v>
      </c>
      <c r="H31" s="80"/>
      <c r="I31" s="80">
        <v>10280770</v>
      </c>
      <c r="J31" s="80"/>
      <c r="K31" s="80">
        <v>19041502</v>
      </c>
      <c r="L31" s="80"/>
      <c r="M31" s="80">
        <v>17785448</v>
      </c>
      <c r="N31" s="80"/>
      <c r="O31" s="80">
        <v>263569</v>
      </c>
      <c r="P31" s="80"/>
      <c r="Q31" s="80">
        <v>0</v>
      </c>
      <c r="R31" s="80"/>
      <c r="S31" s="80">
        <v>216466</v>
      </c>
      <c r="T31" s="80"/>
      <c r="U31" s="80">
        <v>2050150</v>
      </c>
      <c r="V31" s="80"/>
      <c r="W31" s="80">
        <v>1177427</v>
      </c>
      <c r="X31" s="80"/>
      <c r="Y31" s="80">
        <f t="shared" si="2"/>
        <v>75975711</v>
      </c>
      <c r="Z31" s="80"/>
      <c r="AA31" s="80">
        <f>+'St of Activities - GA Rev'!Y31-'St of Activities - GA Exp'!Y31</f>
        <v>6762980</v>
      </c>
      <c r="AB31" s="80"/>
      <c r="AC31" s="80">
        <v>179960264</v>
      </c>
      <c r="AD31" s="80"/>
      <c r="AE31" s="80">
        <f t="shared" si="3"/>
        <v>186723244</v>
      </c>
      <c r="AF31" s="81">
        <f>+'St of Net Assets - GA'!W31-'St of Activities - GA Exp'!AE31</f>
        <v>0</v>
      </c>
      <c r="AG31" s="86"/>
    </row>
    <row r="32" spans="1:33" s="82" customFormat="1" ht="12.75" hidden="1">
      <c r="A32" s="79" t="s">
        <v>31</v>
      </c>
      <c r="B32" s="80"/>
      <c r="C32" s="80">
        <v>0</v>
      </c>
      <c r="D32" s="80"/>
      <c r="E32" s="80">
        <v>0</v>
      </c>
      <c r="F32" s="80"/>
      <c r="G32" s="80">
        <v>0</v>
      </c>
      <c r="H32" s="80"/>
      <c r="I32" s="80">
        <v>0</v>
      </c>
      <c r="J32" s="80"/>
      <c r="K32" s="80">
        <v>0</v>
      </c>
      <c r="L32" s="80"/>
      <c r="M32" s="80">
        <v>0</v>
      </c>
      <c r="N32" s="80"/>
      <c r="O32" s="80">
        <v>0</v>
      </c>
      <c r="P32" s="80"/>
      <c r="Q32" s="80">
        <v>0</v>
      </c>
      <c r="R32" s="80"/>
      <c r="S32" s="80">
        <v>0</v>
      </c>
      <c r="T32" s="80"/>
      <c r="U32" s="80">
        <v>0</v>
      </c>
      <c r="V32" s="80"/>
      <c r="W32" s="80">
        <v>0</v>
      </c>
      <c r="X32" s="80"/>
      <c r="Y32" s="80">
        <f t="shared" si="2"/>
        <v>0</v>
      </c>
      <c r="Z32" s="80"/>
      <c r="AA32" s="80">
        <f>+'St of Activities - GA Rev'!Y32-'St of Activities - GA Exp'!Y32</f>
        <v>0</v>
      </c>
      <c r="AB32" s="80"/>
      <c r="AC32" s="80">
        <v>0</v>
      </c>
      <c r="AD32" s="80"/>
      <c r="AE32" s="80">
        <f t="shared" si="3"/>
        <v>0</v>
      </c>
      <c r="AF32" s="81">
        <f>+'St of Net Assets - GA'!W32-'St of Activities - GA Exp'!AE32</f>
        <v>0</v>
      </c>
      <c r="AG32" s="86"/>
    </row>
    <row r="33" spans="1:33" s="82" customFormat="1" ht="12.75">
      <c r="A33" s="79" t="s">
        <v>32</v>
      </c>
      <c r="B33" s="80"/>
      <c r="C33" s="80">
        <v>89376000</v>
      </c>
      <c r="D33" s="80"/>
      <c r="E33" s="80">
        <v>64428000</v>
      </c>
      <c r="F33" s="80"/>
      <c r="G33" s="80">
        <v>130197000</v>
      </c>
      <c r="H33" s="80"/>
      <c r="I33" s="80">
        <v>41313000</v>
      </c>
      <c r="J33" s="80"/>
      <c r="K33" s="80">
        <v>291569000</v>
      </c>
      <c r="L33" s="80"/>
      <c r="M33" s="80">
        <v>317211000</v>
      </c>
      <c r="N33" s="80"/>
      <c r="O33" s="80">
        <v>7834000</v>
      </c>
      <c r="P33" s="80"/>
      <c r="Q33" s="80">
        <v>14505000</v>
      </c>
      <c r="R33" s="80"/>
      <c r="S33" s="80">
        <v>0</v>
      </c>
      <c r="T33" s="80"/>
      <c r="U33" s="80">
        <v>0</v>
      </c>
      <c r="V33" s="80"/>
      <c r="W33" s="80">
        <v>5553000</v>
      </c>
      <c r="X33" s="80"/>
      <c r="Y33" s="80">
        <f t="shared" si="2"/>
        <v>961986000</v>
      </c>
      <c r="Z33" s="80"/>
      <c r="AA33" s="80">
        <f>+'St of Activities - GA Rev'!Y33-'St of Activities - GA Exp'!Y33</f>
        <v>58633000</v>
      </c>
      <c r="AB33" s="80"/>
      <c r="AC33" s="80">
        <v>724403000</v>
      </c>
      <c r="AD33" s="80"/>
      <c r="AE33" s="80">
        <f t="shared" si="3"/>
        <v>783036000</v>
      </c>
      <c r="AF33" s="81">
        <f>+'St of Net Assets - GA'!W33-'St of Activities - GA Exp'!AE33</f>
        <v>0</v>
      </c>
      <c r="AG33" s="86"/>
    </row>
    <row r="34" spans="1:33" s="82" customFormat="1" ht="12.75">
      <c r="A34" s="79" t="s">
        <v>33</v>
      </c>
      <c r="B34" s="80"/>
      <c r="C34" s="80">
        <v>5332890</v>
      </c>
      <c r="D34" s="80"/>
      <c r="E34" s="80">
        <v>1484125</v>
      </c>
      <c r="F34" s="80"/>
      <c r="G34" s="80">
        <v>6065937</v>
      </c>
      <c r="H34" s="80"/>
      <c r="I34" s="80">
        <v>4095957</v>
      </c>
      <c r="J34" s="80"/>
      <c r="K34" s="80">
        <v>4776754</v>
      </c>
      <c r="L34" s="80"/>
      <c r="M34" s="80">
        <v>5956999</v>
      </c>
      <c r="N34" s="80"/>
      <c r="O34" s="80">
        <v>943492</v>
      </c>
      <c r="P34" s="80"/>
      <c r="Q34" s="80">
        <v>0</v>
      </c>
      <c r="R34" s="80"/>
      <c r="S34" s="80">
        <v>174578</v>
      </c>
      <c r="T34" s="80"/>
      <c r="U34" s="80">
        <v>749678</v>
      </c>
      <c r="V34" s="80"/>
      <c r="W34" s="80">
        <v>82994</v>
      </c>
      <c r="X34" s="80"/>
      <c r="Y34" s="80">
        <f t="shared" si="2"/>
        <v>29663404</v>
      </c>
      <c r="Z34" s="80"/>
      <c r="AA34" s="80">
        <f>+'St of Activities - GA Rev'!Y34-'St of Activities - GA Exp'!Y34</f>
        <v>-69331</v>
      </c>
      <c r="AB34" s="80"/>
      <c r="AC34" s="80">
        <v>56068552</v>
      </c>
      <c r="AD34" s="80"/>
      <c r="AE34" s="80">
        <f t="shared" si="3"/>
        <v>55999221</v>
      </c>
      <c r="AF34" s="81">
        <f>+'St of Net Assets - GA'!W34-'St of Activities - GA Exp'!AE34</f>
        <v>0</v>
      </c>
      <c r="AG34" s="86"/>
    </row>
    <row r="35" spans="1:33" s="82" customFormat="1" ht="12.75">
      <c r="A35" s="79" t="s">
        <v>34</v>
      </c>
      <c r="B35" s="80"/>
      <c r="C35" s="80">
        <v>3349527</v>
      </c>
      <c r="D35" s="80"/>
      <c r="E35" s="80">
        <v>1205127</v>
      </c>
      <c r="F35" s="80"/>
      <c r="G35" s="80">
        <v>4955671</v>
      </c>
      <c r="H35" s="80"/>
      <c r="I35" s="80">
        <v>5124972</v>
      </c>
      <c r="J35" s="80"/>
      <c r="K35" s="80">
        <v>2513482</v>
      </c>
      <c r="L35" s="80"/>
      <c r="M35" s="80">
        <v>8990234</v>
      </c>
      <c r="N35" s="80"/>
      <c r="O35" s="80">
        <v>870133</v>
      </c>
      <c r="P35" s="80"/>
      <c r="Q35" s="80">
        <v>247661</v>
      </c>
      <c r="R35" s="80"/>
      <c r="S35" s="80">
        <v>843589</v>
      </c>
      <c r="T35" s="80"/>
      <c r="U35" s="80">
        <v>0</v>
      </c>
      <c r="V35" s="80"/>
      <c r="W35" s="80">
        <v>31971</v>
      </c>
      <c r="X35" s="80"/>
      <c r="Y35" s="80">
        <f t="shared" si="2"/>
        <v>28132367</v>
      </c>
      <c r="Z35" s="80"/>
      <c r="AA35" s="80">
        <f>+'St of Activities - GA Rev'!Y35-'St of Activities - GA Exp'!Y35</f>
        <v>-201124</v>
      </c>
      <c r="AB35" s="80"/>
      <c r="AC35" s="80">
        <v>16540898</v>
      </c>
      <c r="AD35" s="80"/>
      <c r="AE35" s="80">
        <f t="shared" si="3"/>
        <v>16339774</v>
      </c>
      <c r="AF35" s="81">
        <f>+'St of Net Assets - GA'!W35-'St of Activities - GA Exp'!AE35</f>
        <v>0</v>
      </c>
      <c r="AG35" s="86"/>
    </row>
    <row r="36" spans="1:33" s="82" customFormat="1" ht="12.75">
      <c r="A36" s="79" t="s">
        <v>35</v>
      </c>
      <c r="B36" s="80"/>
      <c r="C36" s="80">
        <v>10149155</v>
      </c>
      <c r="D36" s="80"/>
      <c r="E36" s="80">
        <v>3492722</v>
      </c>
      <c r="F36" s="80"/>
      <c r="G36" s="80">
        <v>10452022</v>
      </c>
      <c r="H36" s="80"/>
      <c r="I36" s="80">
        <v>5763430</v>
      </c>
      <c r="J36" s="80"/>
      <c r="K36" s="80">
        <v>6074232</v>
      </c>
      <c r="L36" s="80"/>
      <c r="M36" s="80">
        <v>27625810</v>
      </c>
      <c r="N36" s="80"/>
      <c r="O36" s="80">
        <v>80926</v>
      </c>
      <c r="P36" s="80"/>
      <c r="Q36" s="80">
        <v>0</v>
      </c>
      <c r="R36" s="80"/>
      <c r="S36" s="80">
        <v>841134</v>
      </c>
      <c r="T36" s="80"/>
      <c r="U36" s="80">
        <v>661340</v>
      </c>
      <c r="V36" s="80"/>
      <c r="W36" s="80">
        <v>531441</v>
      </c>
      <c r="X36" s="80"/>
      <c r="Y36" s="80">
        <f t="shared" si="2"/>
        <v>65672212</v>
      </c>
      <c r="Z36" s="80"/>
      <c r="AA36" s="80">
        <f>+'St of Activities - GA Rev'!Y36-'St of Activities - GA Exp'!Y36</f>
        <v>13747851</v>
      </c>
      <c r="AB36" s="80"/>
      <c r="AC36" s="80">
        <v>163043269</v>
      </c>
      <c r="AD36" s="80"/>
      <c r="AE36" s="80">
        <f t="shared" si="3"/>
        <v>176791120</v>
      </c>
      <c r="AF36" s="81">
        <f>+'St of Net Assets - GA'!W36-'St of Activities - GA Exp'!AE36</f>
        <v>0</v>
      </c>
      <c r="AG36" s="86"/>
    </row>
    <row r="37" spans="1:33" s="82" customFormat="1" ht="12.75">
      <c r="A37" s="79" t="s">
        <v>189</v>
      </c>
      <c r="B37" s="80"/>
      <c r="C37" s="80">
        <v>15156726</v>
      </c>
      <c r="D37" s="80"/>
      <c r="E37" s="80">
        <v>6776673</v>
      </c>
      <c r="F37" s="80"/>
      <c r="G37" s="80">
        <v>21675297</v>
      </c>
      <c r="H37" s="80"/>
      <c r="I37" s="80">
        <v>8154614</v>
      </c>
      <c r="J37" s="80"/>
      <c r="K37" s="80">
        <v>16608515</v>
      </c>
      <c r="L37" s="80"/>
      <c r="M37" s="80">
        <v>29289859</v>
      </c>
      <c r="N37" s="80"/>
      <c r="O37" s="80">
        <v>6174493</v>
      </c>
      <c r="P37" s="80"/>
      <c r="Q37" s="80">
        <v>3033045</v>
      </c>
      <c r="R37" s="80"/>
      <c r="S37" s="80">
        <v>0</v>
      </c>
      <c r="T37" s="80"/>
      <c r="U37" s="80">
        <v>0</v>
      </c>
      <c r="V37" s="80"/>
      <c r="W37" s="80">
        <v>1040957</v>
      </c>
      <c r="X37" s="80"/>
      <c r="Y37" s="80">
        <f t="shared" si="2"/>
        <v>107910179</v>
      </c>
      <c r="Z37" s="80"/>
      <c r="AA37" s="80">
        <f>+'St of Activities - GA Rev'!Y37-'St of Activities - GA Exp'!Y37</f>
        <v>5115808</v>
      </c>
      <c r="AB37" s="80"/>
      <c r="AC37" s="80">
        <v>182318986</v>
      </c>
      <c r="AD37" s="80"/>
      <c r="AE37" s="80">
        <f t="shared" si="3"/>
        <v>187434794</v>
      </c>
      <c r="AF37" s="81">
        <f>+'St of Net Assets - GA'!W37-'St of Activities - GA Exp'!AE37</f>
        <v>0</v>
      </c>
      <c r="AG37" s="86"/>
    </row>
    <row r="38" spans="1:33" s="82" customFormat="1" ht="12.75" hidden="1">
      <c r="A38" s="79" t="s">
        <v>36</v>
      </c>
      <c r="B38" s="80"/>
      <c r="C38" s="80">
        <v>0</v>
      </c>
      <c r="D38" s="80"/>
      <c r="E38" s="80">
        <v>0</v>
      </c>
      <c r="F38" s="80"/>
      <c r="G38" s="80">
        <v>0</v>
      </c>
      <c r="H38" s="80"/>
      <c r="I38" s="80">
        <v>0</v>
      </c>
      <c r="J38" s="80"/>
      <c r="K38" s="80">
        <v>0</v>
      </c>
      <c r="L38" s="80"/>
      <c r="M38" s="80">
        <v>0</v>
      </c>
      <c r="N38" s="80"/>
      <c r="O38" s="80">
        <v>0</v>
      </c>
      <c r="P38" s="80"/>
      <c r="Q38" s="80">
        <v>0</v>
      </c>
      <c r="R38" s="80"/>
      <c r="S38" s="80">
        <v>0</v>
      </c>
      <c r="T38" s="80"/>
      <c r="U38" s="80">
        <v>0</v>
      </c>
      <c r="V38" s="80"/>
      <c r="W38" s="80">
        <v>0</v>
      </c>
      <c r="X38" s="80"/>
      <c r="Y38" s="80">
        <f t="shared" si="2"/>
        <v>0</v>
      </c>
      <c r="Z38" s="80"/>
      <c r="AA38" s="80">
        <f>+'St of Activities - GA Rev'!Y38-'St of Activities - GA Exp'!Y38</f>
        <v>0</v>
      </c>
      <c r="AB38" s="80"/>
      <c r="AC38" s="80">
        <v>0</v>
      </c>
      <c r="AD38" s="80"/>
      <c r="AE38" s="80">
        <f t="shared" si="3"/>
        <v>0</v>
      </c>
      <c r="AF38" s="81">
        <f>+'St of Net Assets - GA'!W38-'St of Activities - GA Exp'!AE38</f>
        <v>0</v>
      </c>
      <c r="AG38" s="86"/>
    </row>
    <row r="39" spans="1:33" s="82" customFormat="1" ht="12.75" hidden="1">
      <c r="A39" s="79" t="s">
        <v>37</v>
      </c>
      <c r="B39" s="80"/>
      <c r="C39" s="80">
        <v>0</v>
      </c>
      <c r="D39" s="80"/>
      <c r="E39" s="80">
        <v>0</v>
      </c>
      <c r="F39" s="80"/>
      <c r="G39" s="80">
        <v>0</v>
      </c>
      <c r="H39" s="80"/>
      <c r="I39" s="80">
        <v>0</v>
      </c>
      <c r="J39" s="80"/>
      <c r="K39" s="80">
        <v>0</v>
      </c>
      <c r="L39" s="80"/>
      <c r="M39" s="80">
        <v>0</v>
      </c>
      <c r="N39" s="80"/>
      <c r="O39" s="80">
        <v>0</v>
      </c>
      <c r="P39" s="80"/>
      <c r="Q39" s="80">
        <v>0</v>
      </c>
      <c r="R39" s="80"/>
      <c r="S39" s="80">
        <v>0</v>
      </c>
      <c r="T39" s="80"/>
      <c r="U39" s="80">
        <v>0</v>
      </c>
      <c r="V39" s="80"/>
      <c r="W39" s="80">
        <v>0</v>
      </c>
      <c r="X39" s="80"/>
      <c r="Y39" s="80">
        <f t="shared" si="2"/>
        <v>0</v>
      </c>
      <c r="Z39" s="80"/>
      <c r="AA39" s="80">
        <f>+'St of Activities - GA Rev'!Y39-'St of Activities - GA Exp'!Y39</f>
        <v>0</v>
      </c>
      <c r="AB39" s="80"/>
      <c r="AC39" s="80">
        <v>0</v>
      </c>
      <c r="AD39" s="80"/>
      <c r="AE39" s="80">
        <f t="shared" si="3"/>
        <v>0</v>
      </c>
      <c r="AF39" s="81">
        <f>+'St of Net Assets - GA'!W39-'St of Activities - GA Exp'!AE39</f>
        <v>0</v>
      </c>
      <c r="AG39" s="86"/>
    </row>
    <row r="40" spans="1:33" s="82" customFormat="1" ht="12.75">
      <c r="A40" s="79" t="s">
        <v>38</v>
      </c>
      <c r="B40" s="80"/>
      <c r="C40" s="80">
        <v>5611192</v>
      </c>
      <c r="D40" s="80"/>
      <c r="E40" s="80">
        <v>3208601</v>
      </c>
      <c r="F40" s="80"/>
      <c r="G40" s="80">
        <v>7367162</v>
      </c>
      <c r="H40" s="80"/>
      <c r="I40" s="80">
        <v>7216843</v>
      </c>
      <c r="J40" s="80"/>
      <c r="K40" s="80">
        <f>4960390+9304969+1015562</f>
        <v>15280921</v>
      </c>
      <c r="L40" s="80"/>
      <c r="M40" s="80">
        <f>5640206+3429995</f>
        <v>9070201</v>
      </c>
      <c r="N40" s="80"/>
      <c r="O40" s="80">
        <v>219644</v>
      </c>
      <c r="P40" s="80"/>
      <c r="Q40" s="80">
        <v>0</v>
      </c>
      <c r="R40" s="80"/>
      <c r="S40" s="80">
        <v>0</v>
      </c>
      <c r="T40" s="80"/>
      <c r="U40" s="80">
        <v>493286</v>
      </c>
      <c r="V40" s="80"/>
      <c r="W40" s="80">
        <v>726885</v>
      </c>
      <c r="X40" s="80"/>
      <c r="Y40" s="80">
        <f>SUM(C40:W40)</f>
        <v>49194735</v>
      </c>
      <c r="Z40" s="80"/>
      <c r="AA40" s="80">
        <f>+'St of Activities - GA Rev'!Y40-'St of Activities - GA Exp'!Y40</f>
        <v>4793660</v>
      </c>
      <c r="AB40" s="80"/>
      <c r="AC40" s="80">
        <v>87782368</v>
      </c>
      <c r="AD40" s="80"/>
      <c r="AE40" s="80">
        <f t="shared" si="3"/>
        <v>92576028</v>
      </c>
      <c r="AF40" s="81">
        <f>+'St of Net Assets - GA'!W40-'St of Activities - GA Exp'!AE40</f>
        <v>0</v>
      </c>
      <c r="AG40" s="86"/>
    </row>
    <row r="41" spans="1:33" s="82" customFormat="1" ht="12.75" hidden="1">
      <c r="A41" s="79" t="s">
        <v>172</v>
      </c>
      <c r="B41" s="80"/>
      <c r="C41" s="80">
        <v>0</v>
      </c>
      <c r="D41" s="80"/>
      <c r="E41" s="80">
        <v>0</v>
      </c>
      <c r="F41" s="80"/>
      <c r="G41" s="80">
        <v>0</v>
      </c>
      <c r="H41" s="80"/>
      <c r="I41" s="80">
        <v>0</v>
      </c>
      <c r="J41" s="80"/>
      <c r="K41" s="80">
        <v>0</v>
      </c>
      <c r="L41" s="80"/>
      <c r="M41" s="80">
        <v>0</v>
      </c>
      <c r="N41" s="80"/>
      <c r="O41" s="80">
        <v>0</v>
      </c>
      <c r="P41" s="80"/>
      <c r="Q41" s="80">
        <v>0</v>
      </c>
      <c r="R41" s="80"/>
      <c r="S41" s="80">
        <v>0</v>
      </c>
      <c r="T41" s="80"/>
      <c r="U41" s="80">
        <v>0</v>
      </c>
      <c r="V41" s="80"/>
      <c r="W41" s="80">
        <v>0</v>
      </c>
      <c r="X41" s="80"/>
      <c r="Y41" s="80">
        <f t="shared" si="2"/>
        <v>0</v>
      </c>
      <c r="Z41" s="80"/>
      <c r="AA41" s="80">
        <f>+'St of Activities - GA Rev'!Y41-'St of Activities - GA Exp'!Y41</f>
        <v>0</v>
      </c>
      <c r="AB41" s="80"/>
      <c r="AC41" s="80">
        <v>0</v>
      </c>
      <c r="AD41" s="80"/>
      <c r="AE41" s="80">
        <f t="shared" si="3"/>
        <v>0</v>
      </c>
      <c r="AF41" s="81">
        <f>+'St of Net Assets - GA'!W41-'St of Activities - GA Exp'!AE41</f>
        <v>0</v>
      </c>
      <c r="AG41" s="86"/>
    </row>
    <row r="42" spans="1:33" s="82" customFormat="1" ht="12.75" hidden="1">
      <c r="A42" s="79" t="s">
        <v>39</v>
      </c>
      <c r="B42" s="80"/>
      <c r="C42" s="80">
        <v>0</v>
      </c>
      <c r="D42" s="80"/>
      <c r="E42" s="80">
        <v>0</v>
      </c>
      <c r="F42" s="80"/>
      <c r="G42" s="80">
        <v>0</v>
      </c>
      <c r="H42" s="80"/>
      <c r="I42" s="80">
        <v>0</v>
      </c>
      <c r="J42" s="80"/>
      <c r="K42" s="80">
        <v>0</v>
      </c>
      <c r="L42" s="80"/>
      <c r="M42" s="80">
        <v>0</v>
      </c>
      <c r="N42" s="80"/>
      <c r="O42" s="80">
        <v>0</v>
      </c>
      <c r="P42" s="80"/>
      <c r="Q42" s="80">
        <v>0</v>
      </c>
      <c r="R42" s="80"/>
      <c r="S42" s="80">
        <v>0</v>
      </c>
      <c r="T42" s="80"/>
      <c r="U42" s="80">
        <v>0</v>
      </c>
      <c r="V42" s="80"/>
      <c r="W42" s="80">
        <v>0</v>
      </c>
      <c r="X42" s="80"/>
      <c r="Y42" s="80">
        <f t="shared" si="2"/>
        <v>0</v>
      </c>
      <c r="Z42" s="80"/>
      <c r="AA42" s="80">
        <f>+'St of Activities - GA Rev'!Y42-'St of Activities - GA Exp'!Y42</f>
        <v>0</v>
      </c>
      <c r="AB42" s="80"/>
      <c r="AC42" s="80">
        <v>0</v>
      </c>
      <c r="AD42" s="80"/>
      <c r="AE42" s="80">
        <f t="shared" si="3"/>
        <v>0</v>
      </c>
      <c r="AF42" s="81">
        <f>+'St of Net Assets - GA'!W42-'St of Activities - GA Exp'!AE42</f>
        <v>0</v>
      </c>
      <c r="AG42" s="86"/>
    </row>
    <row r="43" spans="1:33" s="82" customFormat="1" ht="12.75">
      <c r="A43" s="79" t="s">
        <v>40</v>
      </c>
      <c r="B43" s="80"/>
      <c r="C43" s="80">
        <v>3676658</v>
      </c>
      <c r="D43" s="80"/>
      <c r="E43" s="80">
        <v>1178100</v>
      </c>
      <c r="F43" s="80"/>
      <c r="G43" s="80">
        <v>2436536</v>
      </c>
      <c r="H43" s="80"/>
      <c r="I43" s="80">
        <v>4608870</v>
      </c>
      <c r="J43" s="80"/>
      <c r="K43" s="80">
        <v>2123428</v>
      </c>
      <c r="L43" s="80"/>
      <c r="M43" s="80">
        <v>11434400</v>
      </c>
      <c r="N43" s="80"/>
      <c r="O43" s="80">
        <v>427009</v>
      </c>
      <c r="P43" s="80"/>
      <c r="Q43" s="80">
        <v>0</v>
      </c>
      <c r="R43" s="80"/>
      <c r="S43" s="80">
        <f>63+767573</f>
        <v>767636</v>
      </c>
      <c r="T43" s="80"/>
      <c r="U43" s="80">
        <v>0</v>
      </c>
      <c r="V43" s="80"/>
      <c r="W43" s="80">
        <v>230133</v>
      </c>
      <c r="X43" s="80"/>
      <c r="Y43" s="80">
        <f t="shared" si="2"/>
        <v>26882770</v>
      </c>
      <c r="Z43" s="80"/>
      <c r="AA43" s="80">
        <v>-652417</v>
      </c>
      <c r="AB43" s="80"/>
      <c r="AC43" s="80">
        <v>47524005</v>
      </c>
      <c r="AD43" s="80"/>
      <c r="AE43" s="80">
        <f t="shared" si="3"/>
        <v>46871588</v>
      </c>
      <c r="AF43" s="81">
        <v>0</v>
      </c>
      <c r="AG43" s="86"/>
    </row>
    <row r="44" spans="1:33" s="82" customFormat="1" ht="12.75" hidden="1">
      <c r="A44" s="79" t="s">
        <v>41</v>
      </c>
      <c r="B44" s="80"/>
      <c r="C44" s="80">
        <v>0</v>
      </c>
      <c r="D44" s="80"/>
      <c r="E44" s="80">
        <v>0</v>
      </c>
      <c r="F44" s="80"/>
      <c r="G44" s="80">
        <v>0</v>
      </c>
      <c r="H44" s="80"/>
      <c r="I44" s="80">
        <v>0</v>
      </c>
      <c r="J44" s="80"/>
      <c r="K44" s="80">
        <v>0</v>
      </c>
      <c r="L44" s="80"/>
      <c r="M44" s="80">
        <v>0</v>
      </c>
      <c r="N44" s="80"/>
      <c r="O44" s="80">
        <v>0</v>
      </c>
      <c r="P44" s="80"/>
      <c r="Q44" s="80">
        <v>0</v>
      </c>
      <c r="R44" s="80"/>
      <c r="S44" s="80">
        <v>0</v>
      </c>
      <c r="T44" s="80"/>
      <c r="U44" s="80">
        <v>0</v>
      </c>
      <c r="V44" s="80"/>
      <c r="W44" s="80">
        <v>0</v>
      </c>
      <c r="X44" s="80"/>
      <c r="Y44" s="80">
        <f t="shared" si="2"/>
        <v>0</v>
      </c>
      <c r="Z44" s="80"/>
      <c r="AA44" s="80">
        <v>0</v>
      </c>
      <c r="AB44" s="80"/>
      <c r="AC44" s="80">
        <v>0</v>
      </c>
      <c r="AD44" s="80"/>
      <c r="AE44" s="80">
        <f aca="true" t="shared" si="4" ref="AE44:AE68">+AC44+AA44</f>
        <v>0</v>
      </c>
      <c r="AF44" s="81">
        <v>0</v>
      </c>
      <c r="AG44" s="86"/>
    </row>
    <row r="45" spans="1:33" s="82" customFormat="1" ht="12.75">
      <c r="A45" s="79" t="s">
        <v>42</v>
      </c>
      <c r="B45" s="80"/>
      <c r="C45" s="80">
        <v>2459284</v>
      </c>
      <c r="D45" s="80"/>
      <c r="E45" s="80">
        <v>1542657</v>
      </c>
      <c r="F45" s="80"/>
      <c r="G45" s="80">
        <v>3388318</v>
      </c>
      <c r="H45" s="80"/>
      <c r="I45" s="80">
        <v>3349029</v>
      </c>
      <c r="J45" s="80"/>
      <c r="K45" s="80">
        <v>3325853</v>
      </c>
      <c r="L45" s="80"/>
      <c r="M45" s="80">
        <v>8111586</v>
      </c>
      <c r="N45" s="80"/>
      <c r="O45" s="80">
        <v>593096</v>
      </c>
      <c r="P45" s="80"/>
      <c r="Q45" s="80">
        <v>215525</v>
      </c>
      <c r="R45" s="80"/>
      <c r="S45" s="80">
        <v>86652</v>
      </c>
      <c r="T45" s="80"/>
      <c r="U45" s="80">
        <v>12064</v>
      </c>
      <c r="V45" s="80"/>
      <c r="W45" s="80">
        <v>112928</v>
      </c>
      <c r="X45" s="80"/>
      <c r="Y45" s="80">
        <f t="shared" si="2"/>
        <v>23196992</v>
      </c>
      <c r="Z45" s="80"/>
      <c r="AA45" s="80">
        <v>1306651</v>
      </c>
      <c r="AB45" s="80"/>
      <c r="AC45" s="80">
        <v>18575331</v>
      </c>
      <c r="AD45" s="80"/>
      <c r="AE45" s="80">
        <f t="shared" si="4"/>
        <v>19881982</v>
      </c>
      <c r="AF45" s="81">
        <v>0</v>
      </c>
      <c r="AG45" s="86"/>
    </row>
    <row r="46" spans="1:33" s="82" customFormat="1" ht="12.75">
      <c r="A46" s="79" t="s">
        <v>43</v>
      </c>
      <c r="B46" s="80"/>
      <c r="C46" s="80">
        <v>4571487</v>
      </c>
      <c r="D46" s="80"/>
      <c r="E46" s="80">
        <v>1982537</v>
      </c>
      <c r="F46" s="80"/>
      <c r="G46" s="80">
        <v>4883558</v>
      </c>
      <c r="H46" s="80"/>
      <c r="I46" s="80">
        <v>5678306</v>
      </c>
      <c r="J46" s="80"/>
      <c r="K46" s="80">
        <v>220165</v>
      </c>
      <c r="L46" s="80"/>
      <c r="M46" s="80">
        <v>12164324</v>
      </c>
      <c r="N46" s="80"/>
      <c r="O46" s="80">
        <v>0</v>
      </c>
      <c r="P46" s="80"/>
      <c r="Q46" s="80">
        <v>287897</v>
      </c>
      <c r="R46" s="80"/>
      <c r="S46" s="80">
        <v>17833</v>
      </c>
      <c r="T46" s="80"/>
      <c r="U46" s="80">
        <v>227200</v>
      </c>
      <c r="V46" s="80"/>
      <c r="W46" s="80">
        <v>275726</v>
      </c>
      <c r="X46" s="80"/>
      <c r="Y46" s="80">
        <f t="shared" si="2"/>
        <v>30309033</v>
      </c>
      <c r="Z46" s="80"/>
      <c r="AA46" s="80">
        <v>2301456</v>
      </c>
      <c r="AB46" s="80"/>
      <c r="AC46" s="80">
        <v>32645115</v>
      </c>
      <c r="AD46" s="80"/>
      <c r="AE46" s="80">
        <f t="shared" si="4"/>
        <v>34946571</v>
      </c>
      <c r="AF46" s="81">
        <v>0</v>
      </c>
      <c r="AG46" s="86"/>
    </row>
    <row r="47" spans="1:33" s="82" customFormat="1" ht="12.75">
      <c r="A47" s="79" t="s">
        <v>44</v>
      </c>
      <c r="B47" s="80"/>
      <c r="C47" s="80">
        <v>5644351</v>
      </c>
      <c r="D47" s="80"/>
      <c r="E47" s="80">
        <v>1844125</v>
      </c>
      <c r="F47" s="80"/>
      <c r="G47" s="80">
        <v>5877178</v>
      </c>
      <c r="H47" s="80"/>
      <c r="I47" s="80">
        <v>5884142</v>
      </c>
      <c r="J47" s="80"/>
      <c r="K47" s="80">
        <v>7925635</v>
      </c>
      <c r="L47" s="80"/>
      <c r="M47" s="80">
        <v>13695503</v>
      </c>
      <c r="N47" s="80"/>
      <c r="O47" s="80">
        <v>0</v>
      </c>
      <c r="P47" s="80"/>
      <c r="Q47" s="80">
        <v>49020</v>
      </c>
      <c r="R47" s="80"/>
      <c r="S47" s="80">
        <v>367864</v>
      </c>
      <c r="T47" s="80"/>
      <c r="U47" s="80">
        <v>0</v>
      </c>
      <c r="V47" s="80"/>
      <c r="W47" s="80">
        <v>358670</v>
      </c>
      <c r="X47" s="80"/>
      <c r="Y47" s="80">
        <f t="shared" si="2"/>
        <v>41646488</v>
      </c>
      <c r="Z47" s="80"/>
      <c r="AA47" s="80">
        <v>1565269</v>
      </c>
      <c r="AB47" s="80"/>
      <c r="AC47" s="80">
        <v>40566723</v>
      </c>
      <c r="AD47" s="80"/>
      <c r="AE47" s="80">
        <f t="shared" si="4"/>
        <v>42131992</v>
      </c>
      <c r="AF47" s="81">
        <v>0</v>
      </c>
      <c r="AG47" s="86"/>
    </row>
    <row r="48" spans="1:33" s="82" customFormat="1" ht="12.75" hidden="1">
      <c r="A48" s="79" t="s">
        <v>45</v>
      </c>
      <c r="B48" s="80"/>
      <c r="C48" s="80">
        <v>0</v>
      </c>
      <c r="D48" s="80"/>
      <c r="E48" s="80">
        <v>0</v>
      </c>
      <c r="F48" s="80"/>
      <c r="G48" s="80">
        <v>0</v>
      </c>
      <c r="H48" s="80"/>
      <c r="I48" s="80">
        <v>0</v>
      </c>
      <c r="J48" s="80"/>
      <c r="K48" s="80">
        <v>0</v>
      </c>
      <c r="L48" s="80"/>
      <c r="M48" s="80">
        <v>0</v>
      </c>
      <c r="N48" s="80"/>
      <c r="O48" s="80">
        <v>0</v>
      </c>
      <c r="P48" s="80"/>
      <c r="Q48" s="80">
        <v>0</v>
      </c>
      <c r="R48" s="80"/>
      <c r="S48" s="80">
        <v>0</v>
      </c>
      <c r="T48" s="80"/>
      <c r="U48" s="80">
        <v>0</v>
      </c>
      <c r="V48" s="80"/>
      <c r="W48" s="80">
        <v>0</v>
      </c>
      <c r="X48" s="80"/>
      <c r="Y48" s="80">
        <f t="shared" si="2"/>
        <v>0</v>
      </c>
      <c r="Z48" s="80"/>
      <c r="AA48" s="80">
        <v>0</v>
      </c>
      <c r="AB48" s="80"/>
      <c r="AC48" s="80">
        <v>0</v>
      </c>
      <c r="AD48" s="80"/>
      <c r="AE48" s="80">
        <f t="shared" si="4"/>
        <v>0</v>
      </c>
      <c r="AF48" s="81">
        <v>0</v>
      </c>
      <c r="AG48" s="86"/>
    </row>
    <row r="49" spans="1:33" s="82" customFormat="1" ht="12.75">
      <c r="A49" s="79" t="s">
        <v>46</v>
      </c>
      <c r="B49" s="80"/>
      <c r="C49" s="80">
        <v>5174809</v>
      </c>
      <c r="D49" s="80"/>
      <c r="E49" s="80">
        <v>3101127</v>
      </c>
      <c r="F49" s="80"/>
      <c r="G49" s="80">
        <v>9831505</v>
      </c>
      <c r="H49" s="80"/>
      <c r="I49" s="80">
        <v>10367211</v>
      </c>
      <c r="J49" s="80"/>
      <c r="K49" s="80">
        <v>15679298</v>
      </c>
      <c r="L49" s="80"/>
      <c r="M49" s="80">
        <v>18193754</v>
      </c>
      <c r="N49" s="80"/>
      <c r="O49" s="80">
        <v>652632</v>
      </c>
      <c r="P49" s="80"/>
      <c r="Q49" s="80">
        <v>165819</v>
      </c>
      <c r="R49" s="80"/>
      <c r="S49" s="80">
        <v>0</v>
      </c>
      <c r="T49" s="80"/>
      <c r="U49" s="80">
        <v>82500</v>
      </c>
      <c r="V49" s="80"/>
      <c r="W49" s="80">
        <v>1726050</v>
      </c>
      <c r="X49" s="80"/>
      <c r="Y49" s="80">
        <f t="shared" si="2"/>
        <v>64974705</v>
      </c>
      <c r="Z49" s="80"/>
      <c r="AA49" s="80">
        <v>8941383</v>
      </c>
      <c r="AB49" s="80"/>
      <c r="AC49" s="80">
        <v>77010502</v>
      </c>
      <c r="AD49" s="80"/>
      <c r="AE49" s="80">
        <f t="shared" si="4"/>
        <v>85951885</v>
      </c>
      <c r="AF49" s="81">
        <v>0</v>
      </c>
      <c r="AG49" s="86"/>
    </row>
    <row r="50" spans="1:33" s="82" customFormat="1" ht="12.75">
      <c r="A50" s="79" t="s">
        <v>47</v>
      </c>
      <c r="B50" s="80"/>
      <c r="C50" s="80">
        <v>7064829</v>
      </c>
      <c r="D50" s="80"/>
      <c r="E50" s="80">
        <v>2039252</v>
      </c>
      <c r="F50" s="80"/>
      <c r="G50" s="80">
        <v>6043282</v>
      </c>
      <c r="H50" s="80"/>
      <c r="I50" s="80">
        <v>5712117</v>
      </c>
      <c r="J50" s="80"/>
      <c r="K50" s="80">
        <v>395115</v>
      </c>
      <c r="L50" s="80"/>
      <c r="M50" s="80">
        <v>12266056</v>
      </c>
      <c r="N50" s="80"/>
      <c r="O50" s="80">
        <v>0</v>
      </c>
      <c r="P50" s="80"/>
      <c r="Q50" s="80">
        <v>0</v>
      </c>
      <c r="R50" s="80"/>
      <c r="S50" s="80">
        <v>0</v>
      </c>
      <c r="T50" s="80"/>
      <c r="U50" s="80">
        <v>0</v>
      </c>
      <c r="V50" s="80"/>
      <c r="W50" s="80">
        <v>553327</v>
      </c>
      <c r="X50" s="80"/>
      <c r="Y50" s="80">
        <f t="shared" si="2"/>
        <v>34073978</v>
      </c>
      <c r="Z50" s="80"/>
      <c r="AA50" s="80">
        <v>1069822</v>
      </c>
      <c r="AB50" s="80"/>
      <c r="AC50" s="80">
        <v>63461532</v>
      </c>
      <c r="AD50" s="80"/>
      <c r="AE50" s="80">
        <f t="shared" si="4"/>
        <v>64531354</v>
      </c>
      <c r="AF50" s="81">
        <v>0</v>
      </c>
      <c r="AG50" s="86"/>
    </row>
    <row r="51" spans="1:33" s="82" customFormat="1" ht="12.75">
      <c r="A51" s="79" t="s">
        <v>48</v>
      </c>
      <c r="B51" s="80"/>
      <c r="C51" s="80">
        <v>18569413</v>
      </c>
      <c r="D51" s="80"/>
      <c r="E51" s="80">
        <v>43293529</v>
      </c>
      <c r="F51" s="80"/>
      <c r="G51" s="80">
        <v>0</v>
      </c>
      <c r="H51" s="80"/>
      <c r="I51" s="80">
        <v>15162087</v>
      </c>
      <c r="J51" s="80"/>
      <c r="K51" s="80">
        <v>20273419</v>
      </c>
      <c r="L51" s="80"/>
      <c r="M51" s="80">
        <v>68755936</v>
      </c>
      <c r="N51" s="80"/>
      <c r="O51" s="80">
        <v>3968216</v>
      </c>
      <c r="P51" s="80"/>
      <c r="Q51" s="80">
        <v>0</v>
      </c>
      <c r="R51" s="80"/>
      <c r="S51" s="80">
        <v>0</v>
      </c>
      <c r="T51" s="80"/>
      <c r="U51" s="80">
        <v>0</v>
      </c>
      <c r="V51" s="80"/>
      <c r="W51" s="80">
        <v>1688981</v>
      </c>
      <c r="X51" s="80"/>
      <c r="Y51" s="80">
        <f t="shared" si="2"/>
        <v>171711581</v>
      </c>
      <c r="Z51" s="80"/>
      <c r="AA51" s="80">
        <v>3032152</v>
      </c>
      <c r="AB51" s="80"/>
      <c r="AC51" s="80">
        <v>255807031</v>
      </c>
      <c r="AD51" s="80"/>
      <c r="AE51" s="80">
        <f t="shared" si="4"/>
        <v>258839183</v>
      </c>
      <c r="AF51" s="81">
        <v>0</v>
      </c>
      <c r="AG51" s="86"/>
    </row>
    <row r="52" spans="1:33" s="82" customFormat="1" ht="12.75" hidden="1">
      <c r="A52" s="79" t="s">
        <v>234</v>
      </c>
      <c r="B52" s="80"/>
      <c r="C52" s="80">
        <v>0</v>
      </c>
      <c r="D52" s="80"/>
      <c r="E52" s="80">
        <v>0</v>
      </c>
      <c r="F52" s="80"/>
      <c r="G52" s="80">
        <v>0</v>
      </c>
      <c r="H52" s="80"/>
      <c r="I52" s="80">
        <v>0</v>
      </c>
      <c r="J52" s="80"/>
      <c r="K52" s="80">
        <v>0</v>
      </c>
      <c r="L52" s="80"/>
      <c r="M52" s="80">
        <v>0</v>
      </c>
      <c r="N52" s="80"/>
      <c r="O52" s="80">
        <v>0</v>
      </c>
      <c r="P52" s="80"/>
      <c r="Q52" s="80">
        <v>0</v>
      </c>
      <c r="R52" s="80"/>
      <c r="S52" s="80">
        <v>0</v>
      </c>
      <c r="T52" s="80"/>
      <c r="U52" s="80">
        <v>0</v>
      </c>
      <c r="V52" s="80"/>
      <c r="W52" s="80">
        <v>0</v>
      </c>
      <c r="X52" s="80"/>
      <c r="Y52" s="80">
        <f t="shared" si="2"/>
        <v>0</v>
      </c>
      <c r="Z52" s="80"/>
      <c r="AA52" s="80">
        <v>0</v>
      </c>
      <c r="AB52" s="80"/>
      <c r="AC52" s="80">
        <v>0</v>
      </c>
      <c r="AD52" s="80"/>
      <c r="AE52" s="80">
        <f t="shared" si="4"/>
        <v>0</v>
      </c>
      <c r="AF52" s="81">
        <v>0</v>
      </c>
      <c r="AG52" s="86"/>
    </row>
    <row r="53" spans="1:33" s="82" customFormat="1" ht="12.75">
      <c r="A53" s="79" t="s">
        <v>49</v>
      </c>
      <c r="B53" s="80"/>
      <c r="C53" s="80">
        <v>19529410</v>
      </c>
      <c r="D53" s="80"/>
      <c r="E53" s="80">
        <v>0</v>
      </c>
      <c r="F53" s="80"/>
      <c r="G53" s="80">
        <v>19569607</v>
      </c>
      <c r="H53" s="80"/>
      <c r="I53" s="80">
        <v>7669730</v>
      </c>
      <c r="J53" s="80"/>
      <c r="K53" s="80">
        <v>494467</v>
      </c>
      <c r="L53" s="80"/>
      <c r="M53" s="80">
        <v>38024319</v>
      </c>
      <c r="N53" s="80"/>
      <c r="O53" s="80">
        <v>1521200</v>
      </c>
      <c r="P53" s="80"/>
      <c r="Q53" s="80">
        <v>0</v>
      </c>
      <c r="R53" s="80"/>
      <c r="S53" s="80">
        <v>0</v>
      </c>
      <c r="T53" s="80"/>
      <c r="U53" s="80">
        <v>2866744</v>
      </c>
      <c r="V53" s="80"/>
      <c r="W53" s="80">
        <v>785939</v>
      </c>
      <c r="X53" s="80"/>
      <c r="Y53" s="80">
        <f t="shared" si="2"/>
        <v>90461416</v>
      </c>
      <c r="Z53" s="80"/>
      <c r="AA53" s="80">
        <v>-1108929</v>
      </c>
      <c r="AB53" s="80"/>
      <c r="AC53" s="80">
        <v>86845763</v>
      </c>
      <c r="AD53" s="80"/>
      <c r="AE53" s="80">
        <f t="shared" si="4"/>
        <v>85736834</v>
      </c>
      <c r="AF53" s="81">
        <v>0</v>
      </c>
      <c r="AG53" s="86"/>
    </row>
    <row r="54" spans="1:33" s="82" customFormat="1" ht="12.75">
      <c r="A54" s="79" t="s">
        <v>50</v>
      </c>
      <c r="B54" s="80"/>
      <c r="C54" s="80">
        <v>5428807</v>
      </c>
      <c r="D54" s="80"/>
      <c r="E54" s="80">
        <v>2284494</v>
      </c>
      <c r="F54" s="80"/>
      <c r="G54" s="80">
        <v>6499641</v>
      </c>
      <c r="H54" s="80"/>
      <c r="I54" s="80">
        <v>6982094</v>
      </c>
      <c r="J54" s="80"/>
      <c r="K54" s="80">
        <v>1473064</v>
      </c>
      <c r="L54" s="80"/>
      <c r="M54" s="80">
        <v>11309411</v>
      </c>
      <c r="N54" s="80"/>
      <c r="O54" s="80">
        <v>190967</v>
      </c>
      <c r="P54" s="80"/>
      <c r="Q54" s="80">
        <v>412937</v>
      </c>
      <c r="R54" s="80"/>
      <c r="S54" s="80">
        <v>376316</v>
      </c>
      <c r="T54" s="80"/>
      <c r="U54" s="80">
        <v>0</v>
      </c>
      <c r="V54" s="80"/>
      <c r="W54" s="80">
        <v>862468</v>
      </c>
      <c r="X54" s="80"/>
      <c r="Y54" s="80">
        <f t="shared" si="2"/>
        <v>35820199</v>
      </c>
      <c r="Z54" s="80"/>
      <c r="AA54" s="80">
        <v>-9131641</v>
      </c>
      <c r="AB54" s="80"/>
      <c r="AC54" s="80">
        <v>75554603</v>
      </c>
      <c r="AD54" s="80"/>
      <c r="AE54" s="80">
        <f t="shared" si="4"/>
        <v>66422962</v>
      </c>
      <c r="AF54" s="81">
        <v>0</v>
      </c>
      <c r="AG54" s="86"/>
    </row>
    <row r="55" spans="1:33" s="82" customFormat="1" ht="12.75">
      <c r="A55" s="79" t="s">
        <v>51</v>
      </c>
      <c r="B55" s="80"/>
      <c r="C55" s="80">
        <v>39783028</v>
      </c>
      <c r="D55" s="80"/>
      <c r="E55" s="80">
        <v>17375247</v>
      </c>
      <c r="F55" s="80"/>
      <c r="G55" s="80">
        <v>24626431</v>
      </c>
      <c r="H55" s="80"/>
      <c r="I55" s="80">
        <v>13997321</v>
      </c>
      <c r="J55" s="80"/>
      <c r="K55" s="80">
        <v>41789536</v>
      </c>
      <c r="L55" s="80"/>
      <c r="M55" s="80">
        <v>83130352</v>
      </c>
      <c r="N55" s="80"/>
      <c r="O55" s="80">
        <v>1125992</v>
      </c>
      <c r="P55" s="80"/>
      <c r="Q55" s="80">
        <v>0</v>
      </c>
      <c r="R55" s="80"/>
      <c r="S55" s="80">
        <v>0</v>
      </c>
      <c r="T55" s="80"/>
      <c r="U55" s="80">
        <v>588937</v>
      </c>
      <c r="V55" s="80"/>
      <c r="W55" s="80">
        <v>1769305</v>
      </c>
      <c r="X55" s="80"/>
      <c r="Y55" s="80">
        <f t="shared" si="2"/>
        <v>224186149</v>
      </c>
      <c r="Z55" s="80"/>
      <c r="AA55" s="80">
        <v>922676</v>
      </c>
      <c r="AB55" s="80"/>
      <c r="AC55" s="80">
        <v>281299261</v>
      </c>
      <c r="AD55" s="80"/>
      <c r="AE55" s="80">
        <f t="shared" si="4"/>
        <v>282221937</v>
      </c>
      <c r="AF55" s="81">
        <v>0</v>
      </c>
      <c r="AG55" s="86"/>
    </row>
    <row r="56" spans="1:33" s="82" customFormat="1" ht="12.75">
      <c r="A56" s="79" t="s">
        <v>190</v>
      </c>
      <c r="B56" s="80"/>
      <c r="C56" s="80">
        <v>47238000</v>
      </c>
      <c r="D56" s="80"/>
      <c r="E56" s="80">
        <v>59625000</v>
      </c>
      <c r="F56" s="80"/>
      <c r="G56" s="80">
        <v>69737000</v>
      </c>
      <c r="H56" s="80"/>
      <c r="I56" s="80">
        <v>31922000</v>
      </c>
      <c r="J56" s="80"/>
      <c r="K56" s="80">
        <v>106157000</v>
      </c>
      <c r="L56" s="80"/>
      <c r="M56" s="80">
        <v>119321000</v>
      </c>
      <c r="N56" s="80"/>
      <c r="O56" s="80">
        <v>0</v>
      </c>
      <c r="P56" s="80"/>
      <c r="Q56" s="80">
        <v>6686000</v>
      </c>
      <c r="R56" s="80"/>
      <c r="S56" s="80">
        <v>0</v>
      </c>
      <c r="T56" s="80"/>
      <c r="U56" s="80">
        <v>0</v>
      </c>
      <c r="V56" s="80"/>
      <c r="W56" s="80">
        <v>4706000</v>
      </c>
      <c r="X56" s="80"/>
      <c r="Y56" s="80">
        <f t="shared" si="2"/>
        <v>445392000</v>
      </c>
      <c r="Z56" s="80"/>
      <c r="AA56" s="80">
        <v>-6956000</v>
      </c>
      <c r="AB56" s="80"/>
      <c r="AC56" s="80">
        <v>487555000</v>
      </c>
      <c r="AD56" s="80"/>
      <c r="AE56" s="80">
        <f t="shared" si="4"/>
        <v>480599000</v>
      </c>
      <c r="AF56" s="81">
        <v>0</v>
      </c>
      <c r="AG56" s="86"/>
    </row>
    <row r="57" spans="1:33" s="82" customFormat="1" ht="12.75" hidden="1">
      <c r="A57" s="79" t="s">
        <v>52</v>
      </c>
      <c r="B57" s="80"/>
      <c r="C57" s="80">
        <v>0</v>
      </c>
      <c r="D57" s="80"/>
      <c r="E57" s="80">
        <v>0</v>
      </c>
      <c r="F57" s="80"/>
      <c r="G57" s="80">
        <v>0</v>
      </c>
      <c r="H57" s="80"/>
      <c r="I57" s="80">
        <v>0</v>
      </c>
      <c r="J57" s="80"/>
      <c r="K57" s="80">
        <v>0</v>
      </c>
      <c r="L57" s="80"/>
      <c r="M57" s="80">
        <v>0</v>
      </c>
      <c r="N57" s="80"/>
      <c r="O57" s="80">
        <v>0</v>
      </c>
      <c r="P57" s="80"/>
      <c r="Q57" s="80">
        <v>0</v>
      </c>
      <c r="R57" s="80"/>
      <c r="S57" s="80">
        <v>0</v>
      </c>
      <c r="T57" s="80"/>
      <c r="U57" s="80">
        <v>0</v>
      </c>
      <c r="V57" s="80"/>
      <c r="W57" s="80">
        <v>0</v>
      </c>
      <c r="X57" s="80"/>
      <c r="Y57" s="80">
        <f t="shared" si="2"/>
        <v>0</v>
      </c>
      <c r="Z57" s="80"/>
      <c r="AA57" s="80">
        <v>0</v>
      </c>
      <c r="AB57" s="80"/>
      <c r="AC57" s="80">
        <v>0</v>
      </c>
      <c r="AD57" s="80"/>
      <c r="AE57" s="80">
        <f t="shared" si="4"/>
        <v>0</v>
      </c>
      <c r="AF57" s="81">
        <v>0</v>
      </c>
      <c r="AG57" s="86"/>
    </row>
    <row r="58" spans="1:33" s="159" customFormat="1" ht="12.75" hidden="1">
      <c r="A58" s="158" t="s">
        <v>53</v>
      </c>
      <c r="B58" s="154"/>
      <c r="C58" s="154">
        <v>0</v>
      </c>
      <c r="D58" s="154"/>
      <c r="E58" s="154">
        <v>0</v>
      </c>
      <c r="F58" s="154"/>
      <c r="G58" s="154">
        <v>0</v>
      </c>
      <c r="H58" s="154"/>
      <c r="I58" s="154">
        <v>0</v>
      </c>
      <c r="J58" s="154"/>
      <c r="K58" s="154">
        <v>0</v>
      </c>
      <c r="L58" s="154"/>
      <c r="M58" s="154">
        <v>0</v>
      </c>
      <c r="N58" s="154"/>
      <c r="O58" s="154">
        <v>0</v>
      </c>
      <c r="P58" s="154"/>
      <c r="Q58" s="154">
        <v>0</v>
      </c>
      <c r="R58" s="154"/>
      <c r="S58" s="154">
        <v>0</v>
      </c>
      <c r="T58" s="154"/>
      <c r="U58" s="154">
        <v>0</v>
      </c>
      <c r="V58" s="154"/>
      <c r="W58" s="154">
        <v>0</v>
      </c>
      <c r="X58" s="154"/>
      <c r="Y58" s="154">
        <f t="shared" si="2"/>
        <v>0</v>
      </c>
      <c r="Z58" s="154"/>
      <c r="AA58" s="154">
        <v>0</v>
      </c>
      <c r="AB58" s="154"/>
      <c r="AC58" s="154">
        <v>0</v>
      </c>
      <c r="AD58" s="154"/>
      <c r="AE58" s="154">
        <f t="shared" si="4"/>
        <v>0</v>
      </c>
      <c r="AF58" s="156">
        <v>0</v>
      </c>
      <c r="AG58" s="160"/>
    </row>
    <row r="59" spans="1:33" s="82" customFormat="1" ht="12.75">
      <c r="A59" s="79" t="s">
        <v>54</v>
      </c>
      <c r="B59" s="80"/>
      <c r="C59" s="80">
        <v>6702826</v>
      </c>
      <c r="D59" s="80"/>
      <c r="E59" s="80">
        <v>2273672</v>
      </c>
      <c r="F59" s="80"/>
      <c r="G59" s="80">
        <v>9146720</v>
      </c>
      <c r="H59" s="80"/>
      <c r="I59" s="80">
        <v>4318173</v>
      </c>
      <c r="J59" s="80"/>
      <c r="K59" s="80">
        <v>7569028</v>
      </c>
      <c r="L59" s="80"/>
      <c r="M59" s="80">
        <v>11575193</v>
      </c>
      <c r="N59" s="80"/>
      <c r="O59" s="80">
        <v>0</v>
      </c>
      <c r="P59" s="80"/>
      <c r="Q59" s="80">
        <v>308836</v>
      </c>
      <c r="R59" s="80"/>
      <c r="S59" s="80">
        <v>0</v>
      </c>
      <c r="T59" s="80"/>
      <c r="U59" s="80">
        <v>913032</v>
      </c>
      <c r="V59" s="80"/>
      <c r="W59" s="80">
        <v>492992</v>
      </c>
      <c r="X59" s="80"/>
      <c r="Y59" s="80">
        <f t="shared" si="2"/>
        <v>43300472</v>
      </c>
      <c r="Z59" s="80"/>
      <c r="AA59" s="80">
        <v>170840</v>
      </c>
      <c r="AB59" s="80"/>
      <c r="AC59" s="80">
        <v>65996017</v>
      </c>
      <c r="AD59" s="80"/>
      <c r="AE59" s="80">
        <f t="shared" si="4"/>
        <v>66166857</v>
      </c>
      <c r="AF59" s="81">
        <v>0</v>
      </c>
      <c r="AG59" s="86"/>
    </row>
    <row r="60" spans="1:33" s="82" customFormat="1" ht="12.75">
      <c r="A60" s="79" t="s">
        <v>55</v>
      </c>
      <c r="B60" s="80"/>
      <c r="C60" s="80">
        <v>17020345</v>
      </c>
      <c r="D60" s="80"/>
      <c r="E60" s="80">
        <v>9015891</v>
      </c>
      <c r="F60" s="80"/>
      <c r="G60" s="80">
        <v>18499772</v>
      </c>
      <c r="H60" s="80"/>
      <c r="I60" s="80">
        <v>12885187</v>
      </c>
      <c r="J60" s="80"/>
      <c r="K60" s="80">
        <v>23430235</v>
      </c>
      <c r="L60" s="80"/>
      <c r="M60" s="80">
        <v>18680097</v>
      </c>
      <c r="N60" s="80"/>
      <c r="O60" s="80">
        <v>368935</v>
      </c>
      <c r="P60" s="80"/>
      <c r="Q60" s="80">
        <v>0</v>
      </c>
      <c r="R60" s="80"/>
      <c r="S60" s="80">
        <v>0</v>
      </c>
      <c r="T60" s="80"/>
      <c r="U60" s="80">
        <v>818118</v>
      </c>
      <c r="V60" s="80"/>
      <c r="W60" s="80">
        <v>759316</v>
      </c>
      <c r="X60" s="80"/>
      <c r="Y60" s="80">
        <f t="shared" si="2"/>
        <v>101477896</v>
      </c>
      <c r="Z60" s="80"/>
      <c r="AA60" s="80">
        <v>-1222820</v>
      </c>
      <c r="AB60" s="80"/>
      <c r="AC60" s="80">
        <v>99706714</v>
      </c>
      <c r="AD60" s="80"/>
      <c r="AE60" s="80">
        <f t="shared" si="4"/>
        <v>98483894</v>
      </c>
      <c r="AF60" s="81">
        <v>0</v>
      </c>
      <c r="AG60" s="86"/>
    </row>
    <row r="61" spans="1:33" s="82" customFormat="1" ht="12.75" hidden="1">
      <c r="A61" s="79" t="s">
        <v>175</v>
      </c>
      <c r="B61" s="80"/>
      <c r="C61" s="80">
        <v>0</v>
      </c>
      <c r="D61" s="80"/>
      <c r="E61" s="80">
        <v>0</v>
      </c>
      <c r="F61" s="80"/>
      <c r="G61" s="80">
        <v>0</v>
      </c>
      <c r="H61" s="80"/>
      <c r="I61" s="80">
        <v>0</v>
      </c>
      <c r="J61" s="80"/>
      <c r="K61" s="80">
        <v>0</v>
      </c>
      <c r="L61" s="80"/>
      <c r="M61" s="80">
        <v>0</v>
      </c>
      <c r="N61" s="80"/>
      <c r="O61" s="80">
        <v>0</v>
      </c>
      <c r="P61" s="80"/>
      <c r="Q61" s="80">
        <v>0</v>
      </c>
      <c r="R61" s="80"/>
      <c r="S61" s="80">
        <v>0</v>
      </c>
      <c r="T61" s="80"/>
      <c r="U61" s="80">
        <v>0</v>
      </c>
      <c r="V61" s="80"/>
      <c r="W61" s="80">
        <v>0</v>
      </c>
      <c r="X61" s="80"/>
      <c r="Y61" s="80">
        <f t="shared" si="2"/>
        <v>0</v>
      </c>
      <c r="Z61" s="80"/>
      <c r="AA61" s="80">
        <v>0</v>
      </c>
      <c r="AB61" s="80"/>
      <c r="AC61" s="80">
        <v>0</v>
      </c>
      <c r="AD61" s="80"/>
      <c r="AE61" s="80">
        <f t="shared" si="4"/>
        <v>0</v>
      </c>
      <c r="AF61" s="81">
        <v>0</v>
      </c>
      <c r="AG61" s="86"/>
    </row>
    <row r="62" spans="1:33" s="82" customFormat="1" ht="12.75" hidden="1">
      <c r="A62" s="79" t="s">
        <v>56</v>
      </c>
      <c r="B62" s="80"/>
      <c r="C62" s="80">
        <v>0</v>
      </c>
      <c r="D62" s="80"/>
      <c r="E62" s="80">
        <v>0</v>
      </c>
      <c r="F62" s="80"/>
      <c r="G62" s="80">
        <v>0</v>
      </c>
      <c r="H62" s="80"/>
      <c r="I62" s="80">
        <v>0</v>
      </c>
      <c r="J62" s="80"/>
      <c r="K62" s="80">
        <v>0</v>
      </c>
      <c r="L62" s="80"/>
      <c r="M62" s="80">
        <v>0</v>
      </c>
      <c r="N62" s="80"/>
      <c r="O62" s="80">
        <v>0</v>
      </c>
      <c r="P62" s="80"/>
      <c r="Q62" s="80">
        <v>0</v>
      </c>
      <c r="R62" s="80"/>
      <c r="S62" s="80">
        <v>0</v>
      </c>
      <c r="T62" s="80"/>
      <c r="U62" s="80">
        <v>0</v>
      </c>
      <c r="V62" s="80"/>
      <c r="W62" s="80">
        <v>0</v>
      </c>
      <c r="X62" s="80"/>
      <c r="Y62" s="80">
        <f t="shared" si="2"/>
        <v>0</v>
      </c>
      <c r="Z62" s="80"/>
      <c r="AA62" s="80">
        <v>0</v>
      </c>
      <c r="AB62" s="80"/>
      <c r="AC62" s="80">
        <v>0</v>
      </c>
      <c r="AD62" s="80"/>
      <c r="AE62" s="80">
        <f t="shared" si="4"/>
        <v>0</v>
      </c>
      <c r="AF62" s="81">
        <v>0</v>
      </c>
      <c r="AG62" s="86"/>
    </row>
    <row r="63" spans="1:33" s="82" customFormat="1" ht="12.75">
      <c r="A63" s="79" t="s">
        <v>57</v>
      </c>
      <c r="B63" s="80"/>
      <c r="C63" s="80">
        <v>13717663</v>
      </c>
      <c r="D63" s="80"/>
      <c r="E63" s="80">
        <v>0</v>
      </c>
      <c r="F63" s="80"/>
      <c r="G63" s="80">
        <v>16373389</v>
      </c>
      <c r="H63" s="80"/>
      <c r="I63" s="80">
        <v>10813893</v>
      </c>
      <c r="J63" s="80"/>
      <c r="K63" s="80">
        <v>10366035</v>
      </c>
      <c r="L63" s="80"/>
      <c r="M63" s="80">
        <v>12332625</v>
      </c>
      <c r="N63" s="80"/>
      <c r="O63" s="80">
        <v>0</v>
      </c>
      <c r="P63" s="80"/>
      <c r="Q63" s="80">
        <v>605586</v>
      </c>
      <c r="R63" s="80"/>
      <c r="S63" s="80">
        <v>0</v>
      </c>
      <c r="T63" s="80"/>
      <c r="U63" s="80">
        <v>0</v>
      </c>
      <c r="V63" s="80"/>
      <c r="W63" s="80">
        <v>294012</v>
      </c>
      <c r="X63" s="80"/>
      <c r="Y63" s="80">
        <f t="shared" si="2"/>
        <v>64503203</v>
      </c>
      <c r="Z63" s="80"/>
      <c r="AA63" s="80">
        <v>1858861</v>
      </c>
      <c r="AB63" s="80"/>
      <c r="AC63" s="80">
        <v>127275782</v>
      </c>
      <c r="AD63" s="80"/>
      <c r="AE63" s="80">
        <f t="shared" si="4"/>
        <v>129134643</v>
      </c>
      <c r="AF63" s="81">
        <v>0</v>
      </c>
      <c r="AG63" s="86"/>
    </row>
    <row r="64" spans="1:33" s="82" customFormat="1" ht="12.75">
      <c r="A64" s="79" t="s">
        <v>58</v>
      </c>
      <c r="B64" s="80"/>
      <c r="C64" s="80">
        <v>1566225</v>
      </c>
      <c r="D64" s="80"/>
      <c r="E64" s="80">
        <v>544498</v>
      </c>
      <c r="F64" s="80"/>
      <c r="G64" s="80">
        <v>3778674</v>
      </c>
      <c r="H64" s="80"/>
      <c r="I64" s="80">
        <v>4295922</v>
      </c>
      <c r="J64" s="80"/>
      <c r="K64" s="80">
        <v>1238139</v>
      </c>
      <c r="L64" s="80"/>
      <c r="M64" s="80">
        <v>5018355</v>
      </c>
      <c r="N64" s="80"/>
      <c r="O64" s="80">
        <v>128001</v>
      </c>
      <c r="P64" s="80"/>
      <c r="Q64" s="80">
        <v>0</v>
      </c>
      <c r="R64" s="80"/>
      <c r="S64" s="80">
        <v>155836</v>
      </c>
      <c r="T64" s="80"/>
      <c r="U64" s="80">
        <v>0</v>
      </c>
      <c r="V64" s="80"/>
      <c r="W64" s="80">
        <v>20069</v>
      </c>
      <c r="X64" s="80"/>
      <c r="Y64" s="80">
        <f t="shared" si="2"/>
        <v>16745719</v>
      </c>
      <c r="Z64" s="80"/>
      <c r="AA64" s="80">
        <v>987327</v>
      </c>
      <c r="AB64" s="80"/>
      <c r="AC64" s="80">
        <v>9015591</v>
      </c>
      <c r="AD64" s="80"/>
      <c r="AE64" s="80">
        <f t="shared" si="4"/>
        <v>10002918</v>
      </c>
      <c r="AF64" s="81">
        <v>0</v>
      </c>
      <c r="AG64" s="86"/>
    </row>
    <row r="65" spans="1:33" s="82" customFormat="1" ht="12.75">
      <c r="A65" s="79" t="s">
        <v>59</v>
      </c>
      <c r="B65" s="80"/>
      <c r="C65" s="80">
        <v>39848363</v>
      </c>
      <c r="D65" s="80"/>
      <c r="E65" s="80">
        <v>144401974</v>
      </c>
      <c r="F65" s="80"/>
      <c r="G65" s="80">
        <v>0</v>
      </c>
      <c r="H65" s="80"/>
      <c r="I65" s="80">
        <v>17672017</v>
      </c>
      <c r="J65" s="80"/>
      <c r="K65" s="80">
        <v>0</v>
      </c>
      <c r="L65" s="80"/>
      <c r="M65" s="80">
        <v>267866466</v>
      </c>
      <c r="N65" s="80"/>
      <c r="O65" s="80">
        <v>18589022</v>
      </c>
      <c r="P65" s="80"/>
      <c r="Q65" s="80">
        <v>0</v>
      </c>
      <c r="R65" s="80"/>
      <c r="S65" s="80">
        <v>0</v>
      </c>
      <c r="T65" s="80"/>
      <c r="U65" s="80">
        <v>0</v>
      </c>
      <c r="V65" s="80"/>
      <c r="W65" s="80">
        <v>2407699</v>
      </c>
      <c r="X65" s="80"/>
      <c r="Y65" s="80">
        <f t="shared" si="2"/>
        <v>490785541</v>
      </c>
      <c r="Z65" s="80"/>
      <c r="AA65" s="80">
        <v>24337197</v>
      </c>
      <c r="AB65" s="80"/>
      <c r="AC65" s="80">
        <v>731572245</v>
      </c>
      <c r="AD65" s="80"/>
      <c r="AE65" s="80">
        <f t="shared" si="4"/>
        <v>755909442</v>
      </c>
      <c r="AF65" s="81">
        <v>0</v>
      </c>
      <c r="AG65" s="86"/>
    </row>
    <row r="66" spans="1:33" s="82" customFormat="1" ht="12.75" hidden="1">
      <c r="A66" s="79" t="s">
        <v>60</v>
      </c>
      <c r="B66" s="80"/>
      <c r="C66" s="80">
        <v>0</v>
      </c>
      <c r="D66" s="80"/>
      <c r="E66" s="80">
        <v>0</v>
      </c>
      <c r="F66" s="80"/>
      <c r="G66" s="80">
        <v>0</v>
      </c>
      <c r="H66" s="80"/>
      <c r="I66" s="80">
        <v>0</v>
      </c>
      <c r="J66" s="80"/>
      <c r="K66" s="80">
        <v>0</v>
      </c>
      <c r="L66" s="80"/>
      <c r="M66" s="80">
        <v>0</v>
      </c>
      <c r="N66" s="80"/>
      <c r="O66" s="80">
        <v>0</v>
      </c>
      <c r="P66" s="80"/>
      <c r="Q66" s="80">
        <v>0</v>
      </c>
      <c r="R66" s="80"/>
      <c r="S66" s="80">
        <v>0</v>
      </c>
      <c r="T66" s="80"/>
      <c r="U66" s="80">
        <v>0</v>
      </c>
      <c r="V66" s="80"/>
      <c r="W66" s="80">
        <v>0</v>
      </c>
      <c r="X66" s="80"/>
      <c r="Y66" s="80">
        <f t="shared" si="2"/>
        <v>0</v>
      </c>
      <c r="Z66" s="80"/>
      <c r="AA66" s="80">
        <v>0</v>
      </c>
      <c r="AB66" s="80"/>
      <c r="AC66" s="80">
        <v>0</v>
      </c>
      <c r="AD66" s="80"/>
      <c r="AE66" s="80">
        <f t="shared" si="4"/>
        <v>0</v>
      </c>
      <c r="AF66" s="81">
        <v>0</v>
      </c>
      <c r="AG66" s="86"/>
    </row>
    <row r="67" spans="1:33" s="82" customFormat="1" ht="12.75">
      <c r="A67" s="79" t="s">
        <v>97</v>
      </c>
      <c r="B67" s="80"/>
      <c r="C67" s="80">
        <v>3825765</v>
      </c>
      <c r="D67" s="80"/>
      <c r="E67" s="80">
        <v>1828476</v>
      </c>
      <c r="F67" s="80"/>
      <c r="G67" s="80">
        <v>4896156</v>
      </c>
      <c r="H67" s="80"/>
      <c r="I67" s="80">
        <v>4193368</v>
      </c>
      <c r="J67" s="80"/>
      <c r="K67" s="80">
        <v>2156519</v>
      </c>
      <c r="L67" s="80"/>
      <c r="M67" s="80">
        <v>7216525</v>
      </c>
      <c r="N67" s="80"/>
      <c r="O67" s="80">
        <v>49076</v>
      </c>
      <c r="P67" s="80"/>
      <c r="Q67" s="80">
        <v>0</v>
      </c>
      <c r="R67" s="80"/>
      <c r="S67" s="80">
        <v>524362</v>
      </c>
      <c r="T67" s="80"/>
      <c r="U67" s="80">
        <v>400227</v>
      </c>
      <c r="V67" s="80"/>
      <c r="W67" s="80">
        <v>262974</v>
      </c>
      <c r="X67" s="80"/>
      <c r="Y67" s="80">
        <f t="shared" si="2"/>
        <v>25353448</v>
      </c>
      <c r="Z67" s="80"/>
      <c r="AA67" s="80">
        <v>331050</v>
      </c>
      <c r="AB67" s="80"/>
      <c r="AC67" s="80">
        <v>35101803</v>
      </c>
      <c r="AD67" s="80"/>
      <c r="AE67" s="80">
        <f t="shared" si="4"/>
        <v>35432853</v>
      </c>
      <c r="AF67" s="81">
        <v>0</v>
      </c>
      <c r="AG67" s="86"/>
    </row>
    <row r="68" spans="1:33" s="82" customFormat="1" ht="12.75">
      <c r="A68" s="79" t="s">
        <v>61</v>
      </c>
      <c r="B68" s="80"/>
      <c r="C68" s="80">
        <v>10487228</v>
      </c>
      <c r="D68" s="80"/>
      <c r="E68" s="80">
        <v>4934808</v>
      </c>
      <c r="F68" s="80"/>
      <c r="G68" s="80">
        <v>9834606</v>
      </c>
      <c r="H68" s="80"/>
      <c r="I68" s="80">
        <v>11052895</v>
      </c>
      <c r="J68" s="80"/>
      <c r="K68" s="80">
        <v>1268184</v>
      </c>
      <c r="L68" s="80"/>
      <c r="M68" s="80">
        <v>36836517</v>
      </c>
      <c r="N68" s="80"/>
      <c r="O68" s="80">
        <v>0</v>
      </c>
      <c r="P68" s="80"/>
      <c r="Q68" s="80">
        <v>0</v>
      </c>
      <c r="R68" s="80"/>
      <c r="S68" s="80">
        <v>0</v>
      </c>
      <c r="T68" s="80"/>
      <c r="U68" s="80">
        <v>1502161</v>
      </c>
      <c r="V68" s="80"/>
      <c r="W68" s="80">
        <v>825361</v>
      </c>
      <c r="X68" s="80"/>
      <c r="Y68" s="80">
        <f t="shared" si="2"/>
        <v>76741760</v>
      </c>
      <c r="Z68" s="80"/>
      <c r="AA68" s="80">
        <v>-44414</v>
      </c>
      <c r="AB68" s="80"/>
      <c r="AC68" s="80">
        <v>116139809</v>
      </c>
      <c r="AD68" s="80"/>
      <c r="AE68" s="80">
        <f t="shared" si="4"/>
        <v>116095395</v>
      </c>
      <c r="AF68" s="81">
        <v>0</v>
      </c>
      <c r="AG68" s="86"/>
    </row>
    <row r="69" spans="1:33" s="82" customFormat="1" ht="12.75">
      <c r="A69" s="79" t="s">
        <v>62</v>
      </c>
      <c r="B69" s="80"/>
      <c r="C69" s="80">
        <v>1563207</v>
      </c>
      <c r="D69" s="80"/>
      <c r="E69" s="80">
        <v>347030</v>
      </c>
      <c r="F69" s="80"/>
      <c r="G69" s="80">
        <v>948029</v>
      </c>
      <c r="H69" s="80"/>
      <c r="I69" s="80">
        <v>2889600</v>
      </c>
      <c r="J69" s="80"/>
      <c r="K69" s="80">
        <v>835486</v>
      </c>
      <c r="L69" s="80"/>
      <c r="M69" s="80">
        <v>4840601</v>
      </c>
      <c r="N69" s="80"/>
      <c r="O69" s="80">
        <v>822099</v>
      </c>
      <c r="P69" s="80"/>
      <c r="Q69" s="80">
        <v>746366</v>
      </c>
      <c r="R69" s="80"/>
      <c r="S69" s="80">
        <v>37146</v>
      </c>
      <c r="T69" s="80"/>
      <c r="U69" s="80">
        <v>180000</v>
      </c>
      <c r="V69" s="80"/>
      <c r="W69" s="80">
        <v>62812</v>
      </c>
      <c r="X69" s="80"/>
      <c r="Y69" s="80">
        <f t="shared" si="2"/>
        <v>13272376</v>
      </c>
      <c r="Z69" s="80"/>
      <c r="AA69" s="80">
        <f>+'St of Activities - GA Rev'!Y69-'St of Activities - GA Exp'!Y69</f>
        <v>409981</v>
      </c>
      <c r="AB69" s="80"/>
      <c r="AC69" s="80">
        <v>28178016</v>
      </c>
      <c r="AD69" s="80"/>
      <c r="AE69" s="80">
        <f aca="true" t="shared" si="5" ref="AE69:AE74">+AC69+AA69</f>
        <v>28587997</v>
      </c>
      <c r="AF69" s="81">
        <f>+'St of Net Assets - GA'!W69-'St of Activities - GA Exp'!AE69</f>
        <v>0</v>
      </c>
      <c r="AG69" s="86"/>
    </row>
    <row r="70" spans="1:33" s="82" customFormat="1" ht="12.75">
      <c r="A70" s="79" t="s">
        <v>63</v>
      </c>
      <c r="B70" s="80"/>
      <c r="C70" s="80">
        <v>5419985</v>
      </c>
      <c r="D70" s="80"/>
      <c r="E70" s="80">
        <v>2697187</v>
      </c>
      <c r="F70" s="80"/>
      <c r="G70" s="80">
        <v>5270047</v>
      </c>
      <c r="H70" s="80"/>
      <c r="I70" s="80">
        <v>6381433</v>
      </c>
      <c r="J70" s="80"/>
      <c r="K70" s="80">
        <v>281582</v>
      </c>
      <c r="L70" s="80"/>
      <c r="M70" s="80">
        <v>13258615</v>
      </c>
      <c r="N70" s="80"/>
      <c r="O70" s="80">
        <v>2703</v>
      </c>
      <c r="P70" s="80"/>
      <c r="Q70" s="80">
        <v>65685</v>
      </c>
      <c r="R70" s="80"/>
      <c r="S70" s="80">
        <v>316918</v>
      </c>
      <c r="T70" s="80"/>
      <c r="U70" s="80">
        <v>0</v>
      </c>
      <c r="V70" s="80"/>
      <c r="W70" s="80">
        <v>1134600</v>
      </c>
      <c r="X70" s="80"/>
      <c r="Y70" s="80">
        <f t="shared" si="2"/>
        <v>34828755</v>
      </c>
      <c r="Z70" s="80"/>
      <c r="AA70" s="80">
        <f>+'St of Activities - GA Rev'!Y70-'St of Activities - GA Exp'!Y70</f>
        <v>3051287</v>
      </c>
      <c r="AB70" s="80"/>
      <c r="AC70" s="80">
        <v>42766559</v>
      </c>
      <c r="AD70" s="80"/>
      <c r="AE70" s="80">
        <f t="shared" si="5"/>
        <v>45817846</v>
      </c>
      <c r="AF70" s="81">
        <f>+'St of Net Assets - GA'!W70-'St of Activities - GA Exp'!AE70</f>
        <v>0</v>
      </c>
      <c r="AG70" s="86"/>
    </row>
    <row r="71" spans="1:33" s="82" customFormat="1" ht="12.75" hidden="1">
      <c r="A71" s="79" t="s">
        <v>132</v>
      </c>
      <c r="B71" s="80"/>
      <c r="C71" s="80">
        <v>0</v>
      </c>
      <c r="D71" s="80"/>
      <c r="E71" s="80">
        <v>0</v>
      </c>
      <c r="F71" s="80"/>
      <c r="G71" s="80">
        <v>0</v>
      </c>
      <c r="H71" s="80"/>
      <c r="I71" s="80">
        <v>0</v>
      </c>
      <c r="J71" s="80"/>
      <c r="K71" s="80">
        <v>0</v>
      </c>
      <c r="L71" s="80"/>
      <c r="M71" s="80">
        <v>0</v>
      </c>
      <c r="N71" s="80"/>
      <c r="O71" s="80">
        <v>0</v>
      </c>
      <c r="P71" s="80"/>
      <c r="Q71" s="80">
        <v>0</v>
      </c>
      <c r="R71" s="80"/>
      <c r="S71" s="80">
        <v>0</v>
      </c>
      <c r="T71" s="80"/>
      <c r="U71" s="80">
        <v>0</v>
      </c>
      <c r="V71" s="80"/>
      <c r="W71" s="80">
        <v>0</v>
      </c>
      <c r="X71" s="80"/>
      <c r="Y71" s="80">
        <f t="shared" si="2"/>
        <v>0</v>
      </c>
      <c r="Z71" s="80"/>
      <c r="AA71" s="80">
        <f>+'St of Activities - GA Rev'!Y71-'St of Activities - GA Exp'!Y71</f>
        <v>0</v>
      </c>
      <c r="AB71" s="80"/>
      <c r="AC71" s="80">
        <v>0</v>
      </c>
      <c r="AD71" s="80"/>
      <c r="AE71" s="80">
        <f t="shared" si="5"/>
        <v>0</v>
      </c>
      <c r="AF71" s="81">
        <f>+'St of Net Assets - GA'!W71-'St of Activities - GA Exp'!AE71</f>
        <v>0</v>
      </c>
      <c r="AG71" s="86"/>
    </row>
    <row r="72" spans="1:33" s="82" customFormat="1" ht="12.75" hidden="1">
      <c r="A72" s="79" t="s">
        <v>64</v>
      </c>
      <c r="B72" s="80"/>
      <c r="C72" s="80">
        <v>0</v>
      </c>
      <c r="D72" s="80"/>
      <c r="E72" s="80">
        <v>0</v>
      </c>
      <c r="F72" s="80"/>
      <c r="G72" s="80">
        <v>0</v>
      </c>
      <c r="H72" s="80"/>
      <c r="I72" s="80">
        <v>0</v>
      </c>
      <c r="J72" s="80"/>
      <c r="K72" s="80">
        <v>0</v>
      </c>
      <c r="L72" s="80"/>
      <c r="M72" s="80">
        <v>0</v>
      </c>
      <c r="N72" s="80"/>
      <c r="O72" s="80">
        <v>0</v>
      </c>
      <c r="P72" s="80"/>
      <c r="Q72" s="80">
        <v>0</v>
      </c>
      <c r="R72" s="80"/>
      <c r="S72" s="80">
        <v>0</v>
      </c>
      <c r="T72" s="80"/>
      <c r="U72" s="80">
        <v>0</v>
      </c>
      <c r="V72" s="80"/>
      <c r="W72" s="80">
        <v>0</v>
      </c>
      <c r="X72" s="80"/>
      <c r="Y72" s="80">
        <f t="shared" si="2"/>
        <v>0</v>
      </c>
      <c r="Z72" s="80"/>
      <c r="AA72" s="80">
        <f>+'St of Activities - GA Rev'!Y72-'St of Activities - GA Exp'!Y72</f>
        <v>0</v>
      </c>
      <c r="AB72" s="80"/>
      <c r="AC72" s="80">
        <v>0</v>
      </c>
      <c r="AD72" s="80"/>
      <c r="AE72" s="80">
        <f t="shared" si="5"/>
        <v>0</v>
      </c>
      <c r="AF72" s="81">
        <f>+'St of Net Assets - GA'!W72-'St of Activities - GA Exp'!AE72</f>
        <v>0</v>
      </c>
      <c r="AG72" s="86"/>
    </row>
    <row r="73" spans="1:33" s="82" customFormat="1" ht="12.75">
      <c r="A73" s="79" t="s">
        <v>65</v>
      </c>
      <c r="B73" s="80"/>
      <c r="C73" s="80">
        <v>4905863</v>
      </c>
      <c r="D73" s="80"/>
      <c r="E73" s="80">
        <v>1736180</v>
      </c>
      <c r="F73" s="80"/>
      <c r="G73" s="80">
        <v>6453906</v>
      </c>
      <c r="H73" s="80"/>
      <c r="I73" s="80">
        <v>4645473</v>
      </c>
      <c r="J73" s="80"/>
      <c r="K73" s="80">
        <v>4044167</v>
      </c>
      <c r="L73" s="80"/>
      <c r="M73" s="80">
        <v>8447729</v>
      </c>
      <c r="N73" s="80"/>
      <c r="O73" s="80">
        <v>1315458</v>
      </c>
      <c r="P73" s="80"/>
      <c r="Q73" s="80">
        <v>387466</v>
      </c>
      <c r="R73" s="80"/>
      <c r="S73" s="80">
        <v>35883</v>
      </c>
      <c r="T73" s="80"/>
      <c r="U73" s="80">
        <v>0</v>
      </c>
      <c r="V73" s="80"/>
      <c r="W73" s="80">
        <v>88178</v>
      </c>
      <c r="X73" s="80"/>
      <c r="Y73" s="80">
        <f t="shared" si="2"/>
        <v>32060303</v>
      </c>
      <c r="Z73" s="80"/>
      <c r="AA73" s="80">
        <f>+'St of Activities - GA Rev'!Y73-'St of Activities - GA Exp'!Y73</f>
        <v>-46212</v>
      </c>
      <c r="AB73" s="80"/>
      <c r="AC73" s="80">
        <v>35830252</v>
      </c>
      <c r="AD73" s="80"/>
      <c r="AE73" s="80">
        <f t="shared" si="5"/>
        <v>35784040</v>
      </c>
      <c r="AF73" s="81">
        <f>+'St of Net Assets - GA'!W73-'St of Activities - GA Exp'!AE73</f>
        <v>0</v>
      </c>
      <c r="AG73" s="86"/>
    </row>
    <row r="74" spans="1:33" s="82" customFormat="1" ht="12.75">
      <c r="A74" s="79" t="s">
        <v>66</v>
      </c>
      <c r="B74" s="80"/>
      <c r="C74" s="80">
        <v>2961625</v>
      </c>
      <c r="D74" s="80"/>
      <c r="E74" s="80">
        <v>1050014</v>
      </c>
      <c r="F74" s="80"/>
      <c r="G74" s="80">
        <v>2881846</v>
      </c>
      <c r="H74" s="80"/>
      <c r="I74" s="80">
        <v>3391316</v>
      </c>
      <c r="J74" s="80"/>
      <c r="K74" s="80">
        <v>2906588</v>
      </c>
      <c r="L74" s="80"/>
      <c r="M74" s="80">
        <v>5489692</v>
      </c>
      <c r="N74" s="80"/>
      <c r="O74" s="80">
        <v>1321361</v>
      </c>
      <c r="P74" s="80"/>
      <c r="Q74" s="80">
        <v>235325</v>
      </c>
      <c r="R74" s="80"/>
      <c r="S74" s="80">
        <v>0</v>
      </c>
      <c r="T74" s="80"/>
      <c r="U74" s="80">
        <v>0</v>
      </c>
      <c r="V74" s="80"/>
      <c r="W74" s="80">
        <v>83660</v>
      </c>
      <c r="X74" s="80"/>
      <c r="Y74" s="80">
        <f t="shared" si="2"/>
        <v>20321427</v>
      </c>
      <c r="Z74" s="80"/>
      <c r="AA74" s="80">
        <f>+'St of Activities - GA Rev'!Y74-'St of Activities - GA Exp'!Y74</f>
        <v>1751007</v>
      </c>
      <c r="AB74" s="80"/>
      <c r="AC74" s="80">
        <v>19044536</v>
      </c>
      <c r="AD74" s="80"/>
      <c r="AE74" s="80">
        <f t="shared" si="5"/>
        <v>20795543</v>
      </c>
      <c r="AF74" s="81">
        <f>+'St of Net Assets - GA'!W74-'St of Activities - GA Exp'!AE74</f>
        <v>0</v>
      </c>
      <c r="AG74" s="86"/>
    </row>
    <row r="75" spans="1:33" s="82" customFormat="1" ht="12.75">
      <c r="A75" s="79" t="s">
        <v>67</v>
      </c>
      <c r="B75" s="80"/>
      <c r="C75" s="80">
        <v>15884596</v>
      </c>
      <c r="D75" s="80"/>
      <c r="E75" s="80">
        <v>8967403</v>
      </c>
      <c r="F75" s="80"/>
      <c r="G75" s="80">
        <v>14835149</v>
      </c>
      <c r="H75" s="80"/>
      <c r="I75" s="80">
        <v>8356704</v>
      </c>
      <c r="J75" s="80"/>
      <c r="K75" s="80">
        <v>32132072</v>
      </c>
      <c r="L75" s="80"/>
      <c r="M75" s="80">
        <v>22058370</v>
      </c>
      <c r="N75" s="80"/>
      <c r="O75" s="80">
        <v>0</v>
      </c>
      <c r="P75" s="80"/>
      <c r="Q75" s="80">
        <v>0</v>
      </c>
      <c r="R75" s="80"/>
      <c r="S75" s="80">
        <v>0</v>
      </c>
      <c r="T75" s="80"/>
      <c r="U75" s="80">
        <v>0</v>
      </c>
      <c r="V75" s="80"/>
      <c r="W75" s="80">
        <v>983709</v>
      </c>
      <c r="X75" s="80"/>
      <c r="Y75" s="80">
        <f aca="true" t="shared" si="6" ref="Y75:Y96">SUM(C75:W75)</f>
        <v>103218003</v>
      </c>
      <c r="Z75" s="80"/>
      <c r="AA75" s="80">
        <f>+'St of Activities - GA Rev'!Y75-'St of Activities - GA Exp'!Y75</f>
        <v>7976133</v>
      </c>
      <c r="AB75" s="80"/>
      <c r="AC75" s="80">
        <v>124810832</v>
      </c>
      <c r="AD75" s="80"/>
      <c r="AE75" s="80">
        <f aca="true" t="shared" si="7" ref="AE75:AE96">+AC75+AA75</f>
        <v>132786965</v>
      </c>
      <c r="AF75" s="81">
        <f>+'St of Net Assets - GA'!W75-'St of Activities - GA Exp'!AE75</f>
        <v>0</v>
      </c>
      <c r="AG75" s="86"/>
    </row>
    <row r="76" spans="1:33" s="82" customFormat="1" ht="12.75">
      <c r="A76" s="79" t="s">
        <v>68</v>
      </c>
      <c r="B76" s="80"/>
      <c r="C76" s="80">
        <v>3695087</v>
      </c>
      <c r="D76" s="80"/>
      <c r="E76" s="80">
        <v>1891230</v>
      </c>
      <c r="F76" s="80"/>
      <c r="G76" s="80">
        <v>4633405</v>
      </c>
      <c r="H76" s="80"/>
      <c r="I76" s="80">
        <v>4094666</v>
      </c>
      <c r="J76" s="80"/>
      <c r="K76" s="80">
        <v>2645059</v>
      </c>
      <c r="L76" s="80"/>
      <c r="M76" s="80">
        <v>8832263</v>
      </c>
      <c r="N76" s="80"/>
      <c r="O76" s="80">
        <v>617043</v>
      </c>
      <c r="P76" s="80"/>
      <c r="Q76" s="80">
        <v>0</v>
      </c>
      <c r="R76" s="80"/>
      <c r="S76" s="80">
        <v>0</v>
      </c>
      <c r="T76" s="80"/>
      <c r="U76" s="80">
        <v>262724</v>
      </c>
      <c r="V76" s="80"/>
      <c r="W76" s="80">
        <v>165240</v>
      </c>
      <c r="X76" s="80"/>
      <c r="Y76" s="80">
        <f t="shared" si="6"/>
        <v>26836717</v>
      </c>
      <c r="Z76" s="80"/>
      <c r="AA76" s="80">
        <f>+'St of Activities - GA Rev'!Y76-'St of Activities - GA Exp'!Y76</f>
        <v>1393688</v>
      </c>
      <c r="AB76" s="80"/>
      <c r="AC76" s="80">
        <v>21453082</v>
      </c>
      <c r="AD76" s="80"/>
      <c r="AE76" s="80">
        <f t="shared" si="7"/>
        <v>22846770</v>
      </c>
      <c r="AF76" s="81">
        <f>+'St of Net Assets - GA'!W76-'St of Activities - GA Exp'!AE76</f>
        <v>0</v>
      </c>
      <c r="AG76" s="86"/>
    </row>
    <row r="77" spans="1:33" s="82" customFormat="1" ht="12.75" hidden="1">
      <c r="A77" s="79" t="s">
        <v>180</v>
      </c>
      <c r="B77" s="80"/>
      <c r="C77" s="80">
        <v>0</v>
      </c>
      <c r="D77" s="80"/>
      <c r="E77" s="80">
        <v>0</v>
      </c>
      <c r="F77" s="80"/>
      <c r="G77" s="80">
        <v>0</v>
      </c>
      <c r="H77" s="80"/>
      <c r="I77" s="80">
        <v>0</v>
      </c>
      <c r="J77" s="80"/>
      <c r="K77" s="80">
        <v>0</v>
      </c>
      <c r="L77" s="80"/>
      <c r="M77" s="80">
        <v>0</v>
      </c>
      <c r="N77" s="80"/>
      <c r="O77" s="80">
        <v>0</v>
      </c>
      <c r="P77" s="80"/>
      <c r="Q77" s="80">
        <v>0</v>
      </c>
      <c r="R77" s="80"/>
      <c r="S77" s="80">
        <v>0</v>
      </c>
      <c r="T77" s="80"/>
      <c r="U77" s="80">
        <v>0</v>
      </c>
      <c r="V77" s="80"/>
      <c r="W77" s="80">
        <v>0</v>
      </c>
      <c r="X77" s="80"/>
      <c r="Y77" s="80">
        <f t="shared" si="6"/>
        <v>0</v>
      </c>
      <c r="Z77" s="80"/>
      <c r="AA77" s="80">
        <f>+'St of Activities - GA Rev'!Y77-'St of Activities - GA Exp'!Y77</f>
        <v>0</v>
      </c>
      <c r="AB77" s="80"/>
      <c r="AC77" s="80">
        <v>0</v>
      </c>
      <c r="AD77" s="80"/>
      <c r="AE77" s="80">
        <f t="shared" si="7"/>
        <v>0</v>
      </c>
      <c r="AF77" s="81">
        <f>+'St of Net Assets - GA'!W77-'St of Activities - GA Exp'!AE77</f>
        <v>0</v>
      </c>
      <c r="AG77" s="86"/>
    </row>
    <row r="78" spans="1:33" s="82" customFormat="1" ht="12.75">
      <c r="A78" s="79" t="s">
        <v>185</v>
      </c>
      <c r="B78" s="80"/>
      <c r="C78" s="80">
        <v>11122045</v>
      </c>
      <c r="D78" s="80"/>
      <c r="E78" s="80">
        <v>7918536</v>
      </c>
      <c r="F78" s="80"/>
      <c r="G78" s="80">
        <v>11967500</v>
      </c>
      <c r="H78" s="80"/>
      <c r="I78" s="80">
        <v>8853836</v>
      </c>
      <c r="J78" s="80"/>
      <c r="K78" s="80">
        <v>30302006</v>
      </c>
      <c r="L78" s="80"/>
      <c r="M78" s="80">
        <v>27494646</v>
      </c>
      <c r="N78" s="80"/>
      <c r="O78" s="80">
        <v>205011</v>
      </c>
      <c r="P78" s="80"/>
      <c r="Q78" s="80">
        <v>805109</v>
      </c>
      <c r="R78" s="80"/>
      <c r="S78" s="80">
        <v>0</v>
      </c>
      <c r="T78" s="80"/>
      <c r="U78" s="80">
        <v>1807321</v>
      </c>
      <c r="V78" s="80"/>
      <c r="W78" s="80">
        <v>1590120</v>
      </c>
      <c r="X78" s="80"/>
      <c r="Y78" s="80">
        <f t="shared" si="6"/>
        <v>102066130</v>
      </c>
      <c r="Z78" s="80"/>
      <c r="AA78" s="80">
        <f>+'St of Activities - GA Rev'!Y78-'St of Activities - GA Exp'!Y78</f>
        <v>1892406</v>
      </c>
      <c r="AB78" s="80"/>
      <c r="AC78" s="80">
        <v>115503758</v>
      </c>
      <c r="AD78" s="80"/>
      <c r="AE78" s="80">
        <f t="shared" si="7"/>
        <v>117396164</v>
      </c>
      <c r="AF78" s="81">
        <f>+'St of Net Assets - GA'!W78-'St of Activities - GA Exp'!AE78</f>
        <v>0</v>
      </c>
      <c r="AG78" s="86"/>
    </row>
    <row r="79" spans="1:33" s="82" customFormat="1" ht="12.75">
      <c r="A79" s="79" t="s">
        <v>69</v>
      </c>
      <c r="B79" s="80"/>
      <c r="C79" s="80">
        <v>6524373</v>
      </c>
      <c r="D79" s="80"/>
      <c r="E79" s="80">
        <v>3069427</v>
      </c>
      <c r="F79" s="80"/>
      <c r="G79" s="80">
        <v>10153820</v>
      </c>
      <c r="H79" s="80"/>
      <c r="I79" s="80">
        <v>7190307</v>
      </c>
      <c r="J79" s="80"/>
      <c r="K79" s="80">
        <v>783539</v>
      </c>
      <c r="L79" s="80"/>
      <c r="M79" s="80">
        <v>21081835</v>
      </c>
      <c r="N79" s="80"/>
      <c r="O79" s="80">
        <v>652563</v>
      </c>
      <c r="P79" s="80"/>
      <c r="Q79" s="80">
        <v>0</v>
      </c>
      <c r="R79" s="80"/>
      <c r="S79" s="80">
        <v>0</v>
      </c>
      <c r="T79" s="80"/>
      <c r="U79" s="80">
        <v>0</v>
      </c>
      <c r="V79" s="80"/>
      <c r="W79" s="80">
        <v>517629</v>
      </c>
      <c r="X79" s="80"/>
      <c r="Y79" s="80">
        <f t="shared" si="6"/>
        <v>49973493</v>
      </c>
      <c r="Z79" s="80"/>
      <c r="AA79" s="80">
        <f>+'St of Activities - GA Rev'!Y79-'St of Activities - GA Exp'!Y79</f>
        <v>1103076</v>
      </c>
      <c r="AB79" s="80"/>
      <c r="AC79" s="80">
        <v>37018584</v>
      </c>
      <c r="AD79" s="80"/>
      <c r="AE79" s="80">
        <f t="shared" si="7"/>
        <v>38121660</v>
      </c>
      <c r="AF79" s="81">
        <f>+'St of Net Assets - GA'!W79-'St of Activities - GA Exp'!AE79</f>
        <v>0</v>
      </c>
      <c r="AG79" s="86"/>
    </row>
    <row r="80" spans="1:33" s="82" customFormat="1" ht="12.75">
      <c r="A80" s="79" t="s">
        <v>98</v>
      </c>
      <c r="B80" s="80"/>
      <c r="C80" s="80">
        <v>5456671</v>
      </c>
      <c r="D80" s="80"/>
      <c r="E80" s="80">
        <v>3572925</v>
      </c>
      <c r="F80" s="80"/>
      <c r="G80" s="80">
        <v>8822858</v>
      </c>
      <c r="H80" s="80"/>
      <c r="I80" s="80">
        <v>4712860</v>
      </c>
      <c r="J80" s="80"/>
      <c r="K80" s="80">
        <v>369110</v>
      </c>
      <c r="L80" s="80"/>
      <c r="M80" s="80">
        <v>20359700</v>
      </c>
      <c r="N80" s="80"/>
      <c r="O80" s="80">
        <v>2026653</v>
      </c>
      <c r="P80" s="80"/>
      <c r="Q80" s="80">
        <v>0</v>
      </c>
      <c r="R80" s="80"/>
      <c r="S80" s="80">
        <v>416125</v>
      </c>
      <c r="T80" s="80"/>
      <c r="U80" s="80">
        <v>188000</v>
      </c>
      <c r="V80" s="80"/>
      <c r="W80" s="80">
        <v>324596</v>
      </c>
      <c r="X80" s="80"/>
      <c r="Y80" s="80">
        <f t="shared" si="6"/>
        <v>46249498</v>
      </c>
      <c r="Z80" s="80"/>
      <c r="AA80" s="80">
        <f>+'St of Activities - GA Rev'!Y80-'St of Activities - GA Exp'!Y80</f>
        <v>-834820</v>
      </c>
      <c r="AB80" s="80"/>
      <c r="AC80" s="80">
        <v>58783365</v>
      </c>
      <c r="AD80" s="80"/>
      <c r="AE80" s="80">
        <f t="shared" si="7"/>
        <v>57948545</v>
      </c>
      <c r="AF80" s="81">
        <f>+'St of Net Assets - GA'!W81-'St of Activities - GA Exp'!AE80</f>
        <v>0</v>
      </c>
      <c r="AG80" s="86"/>
    </row>
    <row r="81" spans="1:33" s="82" customFormat="1" ht="12.75">
      <c r="A81" s="79" t="s">
        <v>70</v>
      </c>
      <c r="B81" s="80"/>
      <c r="C81" s="80">
        <v>6980041</v>
      </c>
      <c r="D81" s="80"/>
      <c r="E81" s="80">
        <v>2214762</v>
      </c>
      <c r="F81" s="80"/>
      <c r="G81" s="80">
        <f>3977243+3205370</f>
        <v>7182613</v>
      </c>
      <c r="H81" s="80"/>
      <c r="I81" s="80">
        <v>3755993</v>
      </c>
      <c r="J81" s="80"/>
      <c r="K81" s="80">
        <v>6680087</v>
      </c>
      <c r="L81" s="80"/>
      <c r="M81" s="80">
        <v>18956519</v>
      </c>
      <c r="N81" s="80"/>
      <c r="O81" s="80">
        <v>1101206</v>
      </c>
      <c r="P81" s="80"/>
      <c r="Q81" s="80">
        <v>500464</v>
      </c>
      <c r="R81" s="80"/>
      <c r="S81" s="80">
        <v>920147</v>
      </c>
      <c r="T81" s="80"/>
      <c r="U81" s="80">
        <v>0</v>
      </c>
      <c r="V81" s="80"/>
      <c r="W81" s="80">
        <v>734820</v>
      </c>
      <c r="X81" s="80"/>
      <c r="Y81" s="80">
        <f t="shared" si="6"/>
        <v>49026652</v>
      </c>
      <c r="Z81" s="80"/>
      <c r="AA81" s="80">
        <f>+'St of Activities - GA Rev'!Y81-'St of Activities - GA Exp'!Y81</f>
        <v>6425725</v>
      </c>
      <c r="AB81" s="80"/>
      <c r="AC81" s="80">
        <v>35433464</v>
      </c>
      <c r="AD81" s="80"/>
      <c r="AE81" s="80">
        <f t="shared" si="7"/>
        <v>41859189</v>
      </c>
      <c r="AF81" s="81">
        <f>+'St of Net Assets - GA'!W82-'St of Activities - GA Exp'!AE81</f>
        <v>0</v>
      </c>
      <c r="AG81" s="86"/>
    </row>
    <row r="82" spans="1:33" s="82" customFormat="1" ht="12.75">
      <c r="A82" s="79" t="s">
        <v>71</v>
      </c>
      <c r="B82" s="80"/>
      <c r="C82" s="80">
        <v>5242137</v>
      </c>
      <c r="D82" s="80"/>
      <c r="E82" s="80">
        <v>2524798</v>
      </c>
      <c r="F82" s="80"/>
      <c r="G82" s="80">
        <v>5685752</v>
      </c>
      <c r="H82" s="80"/>
      <c r="I82" s="80">
        <v>7054178</v>
      </c>
      <c r="J82" s="80"/>
      <c r="K82" s="80">
        <v>7747886</v>
      </c>
      <c r="L82" s="80"/>
      <c r="M82" s="80">
        <v>9541701</v>
      </c>
      <c r="N82" s="80"/>
      <c r="O82" s="80">
        <v>509215</v>
      </c>
      <c r="P82" s="80"/>
      <c r="Q82" s="80">
        <v>895555</v>
      </c>
      <c r="R82" s="80"/>
      <c r="S82" s="80">
        <v>0</v>
      </c>
      <c r="T82" s="80"/>
      <c r="U82" s="80">
        <v>0</v>
      </c>
      <c r="V82" s="80"/>
      <c r="W82" s="80">
        <v>326300</v>
      </c>
      <c r="X82" s="80"/>
      <c r="Y82" s="80">
        <f t="shared" si="6"/>
        <v>39527522</v>
      </c>
      <c r="Z82" s="80"/>
      <c r="AA82" s="80">
        <f>+'St of Activities - GA Rev'!Y82-'St of Activities - GA Exp'!Y82</f>
        <v>3481855</v>
      </c>
      <c r="AB82" s="80"/>
      <c r="AC82" s="80">
        <v>72095349</v>
      </c>
      <c r="AD82" s="80"/>
      <c r="AE82" s="80">
        <f t="shared" si="7"/>
        <v>75577204</v>
      </c>
      <c r="AF82" s="81">
        <f>+'St of Net Assets - GA'!W83-'St of Activities - GA Exp'!AE82</f>
        <v>0</v>
      </c>
      <c r="AG82" s="86"/>
    </row>
    <row r="83" spans="1:33" s="82" customFormat="1" ht="12.75">
      <c r="A83" s="79" t="s">
        <v>72</v>
      </c>
      <c r="B83" s="80"/>
      <c r="C83" s="80">
        <v>4783098</v>
      </c>
      <c r="D83" s="80"/>
      <c r="E83" s="80">
        <v>2195718</v>
      </c>
      <c r="F83" s="80"/>
      <c r="G83" s="80">
        <v>4851173</v>
      </c>
      <c r="H83" s="80"/>
      <c r="I83" s="80">
        <v>6585999</v>
      </c>
      <c r="J83" s="80"/>
      <c r="K83" s="80">
        <v>216129</v>
      </c>
      <c r="L83" s="80"/>
      <c r="M83" s="80">
        <v>13825728</v>
      </c>
      <c r="N83" s="80"/>
      <c r="O83" s="80">
        <v>455510</v>
      </c>
      <c r="P83" s="80"/>
      <c r="Q83" s="80">
        <v>0</v>
      </c>
      <c r="R83" s="80"/>
      <c r="S83" s="80">
        <v>0</v>
      </c>
      <c r="T83" s="80"/>
      <c r="U83" s="80">
        <v>418713</v>
      </c>
      <c r="V83" s="80"/>
      <c r="W83" s="80">
        <v>115246</v>
      </c>
      <c r="X83" s="80"/>
      <c r="Y83" s="80">
        <f t="shared" si="6"/>
        <v>33447314</v>
      </c>
      <c r="Z83" s="80"/>
      <c r="AA83" s="80">
        <f>+'St of Activities - GA Rev'!Y84-'St of Activities - GA Exp'!Y83</f>
        <v>4386229</v>
      </c>
      <c r="AB83" s="80"/>
      <c r="AC83" s="80">
        <v>39442281</v>
      </c>
      <c r="AD83" s="80"/>
      <c r="AE83" s="80">
        <f t="shared" si="7"/>
        <v>43828510</v>
      </c>
      <c r="AF83" s="81">
        <f>+'St of Net Assets - GA'!W84-'St of Activities - GA Exp'!AE83</f>
        <v>0</v>
      </c>
      <c r="AG83" s="86"/>
    </row>
    <row r="84" spans="1:33" s="82" customFormat="1" ht="12.75">
      <c r="A84" s="79" t="s">
        <v>73</v>
      </c>
      <c r="B84" s="80"/>
      <c r="C84" s="80">
        <v>22456982</v>
      </c>
      <c r="D84" s="80"/>
      <c r="E84" s="80">
        <v>14295927</v>
      </c>
      <c r="F84" s="80"/>
      <c r="G84" s="80">
        <v>25940588</v>
      </c>
      <c r="H84" s="80"/>
      <c r="I84" s="80">
        <v>17609194</v>
      </c>
      <c r="J84" s="80"/>
      <c r="K84" s="80">
        <v>75026635</v>
      </c>
      <c r="L84" s="80"/>
      <c r="M84" s="80">
        <v>63717733</v>
      </c>
      <c r="N84" s="80"/>
      <c r="O84" s="80">
        <v>0</v>
      </c>
      <c r="P84" s="80"/>
      <c r="Q84" s="80">
        <v>29200</v>
      </c>
      <c r="R84" s="80"/>
      <c r="S84" s="80">
        <v>2162923</v>
      </c>
      <c r="T84" s="80"/>
      <c r="U84" s="80">
        <v>10408714</v>
      </c>
      <c r="V84" s="80"/>
      <c r="W84" s="80">
        <v>316067</v>
      </c>
      <c r="X84" s="80"/>
      <c r="Y84" s="80">
        <f t="shared" si="6"/>
        <v>231963963</v>
      </c>
      <c r="Z84" s="80"/>
      <c r="AA84" s="80">
        <f>+'St of Activities - GA Rev'!Y85-'St of Activities - GA Exp'!Y84</f>
        <v>16961686</v>
      </c>
      <c r="AB84" s="80"/>
      <c r="AC84" s="80">
        <v>211391033</v>
      </c>
      <c r="AD84" s="80"/>
      <c r="AE84" s="80">
        <f t="shared" si="7"/>
        <v>228352719</v>
      </c>
      <c r="AF84" s="81">
        <f>+'St of Net Assets - GA'!W85-'St of Activities - GA Exp'!AE84</f>
        <v>0</v>
      </c>
      <c r="AG84" s="86"/>
    </row>
    <row r="85" spans="1:33" s="82" customFormat="1" ht="12.75">
      <c r="A85" s="79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9" t="s">
        <v>242</v>
      </c>
      <c r="Z85" s="80"/>
      <c r="AA85" s="80"/>
      <c r="AB85" s="80"/>
      <c r="AC85" s="80"/>
      <c r="AD85" s="80"/>
      <c r="AE85" s="80"/>
      <c r="AF85" s="81"/>
      <c r="AG85" s="86"/>
    </row>
    <row r="86" spans="1:33" s="82" customFormat="1" ht="12.75">
      <c r="A86" s="79" t="s">
        <v>74</v>
      </c>
      <c r="B86" s="80"/>
      <c r="C86" s="142">
        <v>33234843</v>
      </c>
      <c r="D86" s="142"/>
      <c r="E86" s="142">
        <v>29116379</v>
      </c>
      <c r="F86" s="142"/>
      <c r="G86" s="142">
        <v>73336584</v>
      </c>
      <c r="H86" s="142"/>
      <c r="I86" s="142">
        <v>4981459</v>
      </c>
      <c r="J86" s="142"/>
      <c r="K86" s="142">
        <v>111934542</v>
      </c>
      <c r="L86" s="142"/>
      <c r="M86" s="142">
        <v>126715732</v>
      </c>
      <c r="N86" s="142"/>
      <c r="O86" s="142">
        <v>3388688</v>
      </c>
      <c r="P86" s="142"/>
      <c r="Q86" s="142">
        <v>5616879</v>
      </c>
      <c r="R86" s="142"/>
      <c r="S86" s="142">
        <v>3038207</v>
      </c>
      <c r="T86" s="142"/>
      <c r="U86" s="142">
        <v>201888</v>
      </c>
      <c r="V86" s="142"/>
      <c r="W86" s="142">
        <v>4071035</v>
      </c>
      <c r="X86" s="142"/>
      <c r="Y86" s="142">
        <f t="shared" si="6"/>
        <v>395636236</v>
      </c>
      <c r="Z86" s="80"/>
      <c r="AA86" s="80">
        <f>+'St of Activities - GA Rev'!Y86-'St of Activities - GA Exp'!Y86</f>
        <v>23592740</v>
      </c>
      <c r="AB86" s="80"/>
      <c r="AC86" s="142">
        <v>349466663</v>
      </c>
      <c r="AD86" s="80"/>
      <c r="AE86" s="80">
        <f t="shared" si="7"/>
        <v>373059403</v>
      </c>
      <c r="AF86" s="81">
        <f>+'St of Net Assets - GA'!W86-'St of Activities - GA Exp'!AE86</f>
        <v>0</v>
      </c>
      <c r="AG86" s="86"/>
    </row>
    <row r="87" spans="1:33" s="82" customFormat="1" ht="12.75">
      <c r="A87" s="79" t="s">
        <v>75</v>
      </c>
      <c r="B87" s="80"/>
      <c r="C87" s="80">
        <v>18752507</v>
      </c>
      <c r="D87" s="80"/>
      <c r="E87" s="80">
        <v>11529366</v>
      </c>
      <c r="F87" s="80"/>
      <c r="G87" s="80">
        <v>14361491</v>
      </c>
      <c r="H87" s="80"/>
      <c r="I87" s="80">
        <v>20234346</v>
      </c>
      <c r="J87" s="80"/>
      <c r="K87" s="80">
        <v>35327897</v>
      </c>
      <c r="L87" s="80"/>
      <c r="M87" s="80">
        <v>42987519</v>
      </c>
      <c r="N87" s="80"/>
      <c r="O87" s="80">
        <v>134641</v>
      </c>
      <c r="P87" s="80"/>
      <c r="Q87" s="80">
        <v>0</v>
      </c>
      <c r="R87" s="80"/>
      <c r="S87" s="80">
        <v>37884</v>
      </c>
      <c r="T87" s="80"/>
      <c r="U87" s="80">
        <v>3375406</v>
      </c>
      <c r="V87" s="80"/>
      <c r="W87" s="80">
        <v>1740721</v>
      </c>
      <c r="X87" s="80"/>
      <c r="Y87" s="80">
        <f t="shared" si="6"/>
        <v>148481778</v>
      </c>
      <c r="Z87" s="80"/>
      <c r="AA87" s="80">
        <f>+'St of Activities - GA Rev'!Y87-'St of Activities - GA Exp'!Y87</f>
        <v>-11882466</v>
      </c>
      <c r="AB87" s="80"/>
      <c r="AC87" s="80">
        <v>136897023</v>
      </c>
      <c r="AD87" s="80"/>
      <c r="AE87" s="80">
        <f t="shared" si="7"/>
        <v>125014557</v>
      </c>
      <c r="AF87" s="81">
        <f>+'St of Net Assets - GA'!W87-'St of Activities - GA Exp'!AE87</f>
        <v>0</v>
      </c>
      <c r="AG87" s="86"/>
    </row>
    <row r="88" spans="1:33" s="82" customFormat="1" ht="12.75">
      <c r="A88" s="79" t="s">
        <v>76</v>
      </c>
      <c r="B88" s="80"/>
      <c r="C88" s="80">
        <v>7583450</v>
      </c>
      <c r="D88" s="80"/>
      <c r="E88" s="80">
        <v>3959181</v>
      </c>
      <c r="F88" s="80"/>
      <c r="G88" s="80">
        <v>9971606</v>
      </c>
      <c r="H88" s="80"/>
      <c r="I88" s="80">
        <v>8127183</v>
      </c>
      <c r="J88" s="80"/>
      <c r="K88" s="80">
        <v>7153058</v>
      </c>
      <c r="L88" s="80"/>
      <c r="M88" s="80">
        <v>17918484</v>
      </c>
      <c r="N88" s="80"/>
      <c r="O88" s="80">
        <v>0</v>
      </c>
      <c r="P88" s="80"/>
      <c r="Q88" s="80">
        <v>650958</v>
      </c>
      <c r="R88" s="80"/>
      <c r="S88" s="80">
        <v>0</v>
      </c>
      <c r="T88" s="80"/>
      <c r="U88" s="80">
        <v>2335524</v>
      </c>
      <c r="V88" s="80"/>
      <c r="W88" s="80">
        <f>1335552+7070</f>
        <v>1342622</v>
      </c>
      <c r="X88" s="80"/>
      <c r="Y88" s="80">
        <f t="shared" si="6"/>
        <v>59042066</v>
      </c>
      <c r="Z88" s="80"/>
      <c r="AA88" s="80">
        <f>+'St of Activities - GA Rev'!Y88-'St of Activities - GA Exp'!Y88</f>
        <v>-6383771</v>
      </c>
      <c r="AB88" s="80"/>
      <c r="AC88" s="80">
        <v>84271958</v>
      </c>
      <c r="AD88" s="80"/>
      <c r="AE88" s="80">
        <f t="shared" si="7"/>
        <v>77888187</v>
      </c>
      <c r="AF88" s="81">
        <f>+'St of Net Assets - GA'!W88-'St of Activities - GA Exp'!AE88</f>
        <v>0</v>
      </c>
      <c r="AG88" s="86"/>
    </row>
    <row r="89" spans="1:33" s="82" customFormat="1" ht="12.75">
      <c r="A89" s="79" t="s">
        <v>77</v>
      </c>
      <c r="B89" s="80"/>
      <c r="C89" s="80">
        <v>11058550</v>
      </c>
      <c r="D89" s="80"/>
      <c r="E89" s="80">
        <v>2248594</v>
      </c>
      <c r="F89" s="80"/>
      <c r="G89" s="80">
        <v>5631020</v>
      </c>
      <c r="H89" s="80"/>
      <c r="I89" s="80">
        <v>3427498</v>
      </c>
      <c r="J89" s="80"/>
      <c r="K89" s="80">
        <v>3345809</v>
      </c>
      <c r="L89" s="80"/>
      <c r="M89" s="80">
        <v>12759040</v>
      </c>
      <c r="N89" s="80"/>
      <c r="O89" s="80">
        <v>333395</v>
      </c>
      <c r="P89" s="80"/>
      <c r="Q89" s="80">
        <v>0</v>
      </c>
      <c r="R89" s="80"/>
      <c r="S89" s="80">
        <v>0</v>
      </c>
      <c r="T89" s="80"/>
      <c r="U89" s="80">
        <v>0</v>
      </c>
      <c r="V89" s="80"/>
      <c r="W89" s="80">
        <v>415051</v>
      </c>
      <c r="X89" s="80"/>
      <c r="Y89" s="80">
        <f t="shared" si="6"/>
        <v>39218957</v>
      </c>
      <c r="Z89" s="80"/>
      <c r="AA89" s="80">
        <f>+'St of Activities - GA Rev'!Y89-'St of Activities - GA Exp'!Y89</f>
        <v>7034592</v>
      </c>
      <c r="AB89" s="80"/>
      <c r="AC89" s="80">
        <v>66071629</v>
      </c>
      <c r="AD89" s="80"/>
      <c r="AE89" s="80">
        <f t="shared" si="7"/>
        <v>73106221</v>
      </c>
      <c r="AF89" s="81">
        <f>+'St of Net Assets - GA'!W89-'St of Activities - GA Exp'!AE89</f>
        <v>0</v>
      </c>
      <c r="AG89" s="86"/>
    </row>
    <row r="90" spans="1:33" s="82" customFormat="1" ht="12.75">
      <c r="A90" s="79" t="s">
        <v>78</v>
      </c>
      <c r="B90" s="80"/>
      <c r="C90" s="80">
        <v>4518252</v>
      </c>
      <c r="D90" s="80"/>
      <c r="E90" s="80">
        <v>1299977</v>
      </c>
      <c r="F90" s="80"/>
      <c r="G90" s="80">
        <v>3060812</v>
      </c>
      <c r="H90" s="80"/>
      <c r="I90" s="80">
        <v>3671574</v>
      </c>
      <c r="J90" s="80"/>
      <c r="K90" s="80">
        <v>82423</v>
      </c>
      <c r="L90" s="80"/>
      <c r="M90" s="80">
        <v>8790931</v>
      </c>
      <c r="N90" s="80"/>
      <c r="O90" s="80">
        <v>690519</v>
      </c>
      <c r="P90" s="80"/>
      <c r="Q90" s="80">
        <v>0</v>
      </c>
      <c r="R90" s="80"/>
      <c r="S90" s="80">
        <v>0</v>
      </c>
      <c r="T90" s="80"/>
      <c r="U90" s="80">
        <v>3643736</v>
      </c>
      <c r="V90" s="80"/>
      <c r="W90" s="80">
        <v>384067</v>
      </c>
      <c r="X90" s="80"/>
      <c r="Y90" s="80">
        <f t="shared" si="6"/>
        <v>26142291</v>
      </c>
      <c r="Z90" s="80"/>
      <c r="AA90" s="80">
        <f>+'St of Activities - GA Rev'!Y90-'St of Activities - GA Exp'!Y90</f>
        <v>-2759935</v>
      </c>
      <c r="AB90" s="80"/>
      <c r="AC90" s="80">
        <v>24454022</v>
      </c>
      <c r="AD90" s="80"/>
      <c r="AE90" s="80">
        <f t="shared" si="7"/>
        <v>21694087</v>
      </c>
      <c r="AF90" s="81">
        <f>+'St of Net Assets - GA'!W90-'St of Activities - GA Exp'!AE90</f>
        <v>0</v>
      </c>
      <c r="AG90" s="86"/>
    </row>
    <row r="91" spans="1:33" s="82" customFormat="1" ht="12.75">
      <c r="A91" s="79" t="s">
        <v>79</v>
      </c>
      <c r="B91" s="80"/>
      <c r="C91" s="80">
        <v>1332154</v>
      </c>
      <c r="D91" s="80"/>
      <c r="E91" s="80">
        <v>567019</v>
      </c>
      <c r="F91" s="80"/>
      <c r="G91" s="80">
        <v>1179957</v>
      </c>
      <c r="H91" s="80"/>
      <c r="I91" s="80">
        <v>5604921</v>
      </c>
      <c r="J91" s="80"/>
      <c r="K91" s="80">
        <v>1425179</v>
      </c>
      <c r="L91" s="80"/>
      <c r="M91" s="80">
        <v>4362495</v>
      </c>
      <c r="N91" s="80"/>
      <c r="O91" s="80">
        <v>0</v>
      </c>
      <c r="P91" s="80"/>
      <c r="Q91" s="80">
        <v>10729</v>
      </c>
      <c r="R91" s="80"/>
      <c r="S91" s="80">
        <v>463351</v>
      </c>
      <c r="T91" s="80"/>
      <c r="U91" s="80">
        <v>882689</v>
      </c>
      <c r="V91" s="80"/>
      <c r="W91" s="80">
        <v>114201</v>
      </c>
      <c r="X91" s="80"/>
      <c r="Y91" s="80">
        <f t="shared" si="6"/>
        <v>15942695</v>
      </c>
      <c r="Z91" s="80"/>
      <c r="AA91" s="80">
        <f>+'St of Activities - GA Rev'!Y91-'St of Activities - GA Exp'!Y91</f>
        <v>2074521</v>
      </c>
      <c r="AB91" s="80"/>
      <c r="AC91" s="80">
        <v>9484191</v>
      </c>
      <c r="AD91" s="80"/>
      <c r="AE91" s="80">
        <f t="shared" si="7"/>
        <v>11558712</v>
      </c>
      <c r="AF91" s="81">
        <f>+'St of Net Assets - GA'!W91-'St of Activities - GA Exp'!AE91</f>
        <v>0</v>
      </c>
      <c r="AG91" s="86"/>
    </row>
    <row r="92" spans="1:33" s="82" customFormat="1" ht="12.75">
      <c r="A92" s="79" t="s">
        <v>80</v>
      </c>
      <c r="B92" s="80"/>
      <c r="C92" s="80">
        <v>20806979</v>
      </c>
      <c r="D92" s="80"/>
      <c r="E92" s="80">
        <v>8982162</v>
      </c>
      <c r="F92" s="80"/>
      <c r="G92" s="80">
        <v>20656646</v>
      </c>
      <c r="H92" s="80"/>
      <c r="I92" s="80">
        <v>7994465</v>
      </c>
      <c r="J92" s="80"/>
      <c r="K92" s="80">
        <v>627548</v>
      </c>
      <c r="L92" s="80"/>
      <c r="M92" s="80">
        <v>37321917</v>
      </c>
      <c r="N92" s="80"/>
      <c r="O92" s="80">
        <v>1023113</v>
      </c>
      <c r="P92" s="80"/>
      <c r="Q92" s="80">
        <v>0</v>
      </c>
      <c r="R92" s="80"/>
      <c r="S92" s="80">
        <v>0</v>
      </c>
      <c r="T92" s="80"/>
      <c r="U92" s="80">
        <v>0</v>
      </c>
      <c r="V92" s="80"/>
      <c r="W92" s="80">
        <v>1485224</v>
      </c>
      <c r="X92" s="80"/>
      <c r="Y92" s="80">
        <f t="shared" si="6"/>
        <v>98898054</v>
      </c>
      <c r="Z92" s="80"/>
      <c r="AA92" s="80">
        <f>+'St of Activities - GA Rev'!Y92-'St of Activities - GA Exp'!Y92</f>
        <v>18784135</v>
      </c>
      <c r="AB92" s="80"/>
      <c r="AC92" s="80">
        <v>147477041</v>
      </c>
      <c r="AD92" s="80"/>
      <c r="AE92" s="80">
        <f t="shared" si="7"/>
        <v>166261176</v>
      </c>
      <c r="AF92" s="81">
        <f>+'St of Net Assets - GA'!W92-'St of Activities - GA Exp'!AE92</f>
        <v>0</v>
      </c>
      <c r="AG92" s="86"/>
    </row>
    <row r="93" spans="1:33" s="82" customFormat="1" ht="12.75">
      <c r="A93" s="79" t="s">
        <v>81</v>
      </c>
      <c r="B93" s="80"/>
      <c r="C93" s="80">
        <v>5892895</v>
      </c>
      <c r="D93" s="80"/>
      <c r="E93" s="80">
        <v>1387325</v>
      </c>
      <c r="F93" s="80"/>
      <c r="G93" s="80">
        <v>7150047</v>
      </c>
      <c r="H93" s="80"/>
      <c r="I93" s="80">
        <v>7787629</v>
      </c>
      <c r="J93" s="80"/>
      <c r="K93" s="80">
        <f>3995294+5817981+2358129+205856</f>
        <v>12377260</v>
      </c>
      <c r="L93" s="80"/>
      <c r="M93" s="80">
        <f>906833+2752259+6409906+1295332</f>
        <v>11364330</v>
      </c>
      <c r="N93" s="80"/>
      <c r="O93" s="80">
        <v>1363761</v>
      </c>
      <c r="P93" s="80"/>
      <c r="Q93" s="80">
        <v>0</v>
      </c>
      <c r="R93" s="80"/>
      <c r="S93" s="80">
        <v>0</v>
      </c>
      <c r="T93" s="80"/>
      <c r="U93" s="80">
        <v>326650</v>
      </c>
      <c r="V93" s="80"/>
      <c r="W93" s="80">
        <v>354667</v>
      </c>
      <c r="X93" s="80"/>
      <c r="Y93" s="80">
        <f t="shared" si="6"/>
        <v>48004564</v>
      </c>
      <c r="Z93" s="80"/>
      <c r="AA93" s="80">
        <f>+'St of Activities - GA Rev'!Y93-'St of Activities - GA Exp'!Y93</f>
        <v>-1100418</v>
      </c>
      <c r="AB93" s="80"/>
      <c r="AC93" s="80">
        <v>157939394</v>
      </c>
      <c r="AD93" s="80"/>
      <c r="AE93" s="80">
        <f t="shared" si="7"/>
        <v>156838976</v>
      </c>
      <c r="AF93" s="81">
        <f>+'St of Net Assets - GA'!W93-'St of Activities - GA Exp'!AE93</f>
        <v>0</v>
      </c>
      <c r="AG93" s="86"/>
    </row>
    <row r="94" spans="1:33" s="82" customFormat="1" ht="12.75">
      <c r="A94" s="79" t="s">
        <v>82</v>
      </c>
      <c r="B94" s="80"/>
      <c r="C94" s="80">
        <v>10872431</v>
      </c>
      <c r="D94" s="80"/>
      <c r="E94" s="80">
        <v>4987965</v>
      </c>
      <c r="F94" s="80"/>
      <c r="G94" s="80">
        <v>10051879</v>
      </c>
      <c r="H94" s="80"/>
      <c r="I94" s="80">
        <v>8747609</v>
      </c>
      <c r="J94" s="80"/>
      <c r="K94" s="80">
        <v>467602</v>
      </c>
      <c r="L94" s="80"/>
      <c r="M94" s="80">
        <v>32897269</v>
      </c>
      <c r="N94" s="80"/>
      <c r="O94" s="80">
        <v>181528</v>
      </c>
      <c r="P94" s="80"/>
      <c r="Q94" s="80">
        <v>61930</v>
      </c>
      <c r="R94" s="80"/>
      <c r="S94" s="80">
        <f>1059714+219017</f>
        <v>1278731</v>
      </c>
      <c r="T94" s="80"/>
      <c r="U94" s="80">
        <v>0</v>
      </c>
      <c r="V94" s="80"/>
      <c r="W94" s="80">
        <v>511453</v>
      </c>
      <c r="X94" s="80"/>
      <c r="Y94" s="80">
        <f t="shared" si="6"/>
        <v>70058397</v>
      </c>
      <c r="Z94" s="80"/>
      <c r="AA94" s="80">
        <f>+'St of Activities - GA Rev'!Y94-'St of Activities - GA Exp'!Y94</f>
        <v>20025829</v>
      </c>
      <c r="AB94" s="80"/>
      <c r="AC94" s="80">
        <v>96427092</v>
      </c>
      <c r="AD94" s="80"/>
      <c r="AE94" s="80">
        <f t="shared" si="7"/>
        <v>116452921</v>
      </c>
      <c r="AF94" s="81">
        <f>+'St of Net Assets - GA'!W94-'St of Activities - GA Exp'!AE94</f>
        <v>0</v>
      </c>
      <c r="AG94" s="86"/>
    </row>
    <row r="95" spans="1:33" s="82" customFormat="1" ht="12.75" hidden="1">
      <c r="A95" s="79" t="s">
        <v>178</v>
      </c>
      <c r="B95" s="80"/>
      <c r="C95" s="80">
        <v>0</v>
      </c>
      <c r="D95" s="80"/>
      <c r="E95" s="80">
        <v>0</v>
      </c>
      <c r="F95" s="80"/>
      <c r="G95" s="80">
        <v>0</v>
      </c>
      <c r="H95" s="80"/>
      <c r="I95" s="80">
        <v>0</v>
      </c>
      <c r="J95" s="80"/>
      <c r="K95" s="80">
        <v>0</v>
      </c>
      <c r="L95" s="80"/>
      <c r="M95" s="80">
        <v>0</v>
      </c>
      <c r="N95" s="80"/>
      <c r="O95" s="80">
        <v>0</v>
      </c>
      <c r="P95" s="80"/>
      <c r="Q95" s="80">
        <v>0</v>
      </c>
      <c r="R95" s="80"/>
      <c r="S95" s="80">
        <v>0</v>
      </c>
      <c r="T95" s="80"/>
      <c r="U95" s="80">
        <v>0</v>
      </c>
      <c r="V95" s="80"/>
      <c r="W95" s="80">
        <v>0</v>
      </c>
      <c r="X95" s="80"/>
      <c r="Y95" s="80">
        <f t="shared" si="6"/>
        <v>0</v>
      </c>
      <c r="Z95" s="80"/>
      <c r="AA95" s="80">
        <f>+'St of Activities - GA Rev'!Y95-'St of Activities - GA Exp'!Y95</f>
        <v>0</v>
      </c>
      <c r="AB95" s="80"/>
      <c r="AC95" s="80">
        <v>0</v>
      </c>
      <c r="AD95" s="80"/>
      <c r="AE95" s="80">
        <f t="shared" si="7"/>
        <v>0</v>
      </c>
      <c r="AF95" s="81">
        <f>+'St of Net Assets - GA'!W95-'St of Activities - GA Exp'!AE95</f>
        <v>0</v>
      </c>
      <c r="AG95" s="86"/>
    </row>
    <row r="96" spans="1:33" s="82" customFormat="1" ht="12.75">
      <c r="A96" s="79" t="s">
        <v>83</v>
      </c>
      <c r="B96" s="80"/>
      <c r="C96" s="80">
        <v>17802965</v>
      </c>
      <c r="D96" s="80"/>
      <c r="E96" s="80">
        <v>7446259</v>
      </c>
      <c r="F96" s="80"/>
      <c r="G96" s="80">
        <v>9090728</v>
      </c>
      <c r="H96" s="80"/>
      <c r="I96" s="80">
        <v>9321445</v>
      </c>
      <c r="J96" s="80"/>
      <c r="K96" s="80">
        <f>11871066+465842</f>
        <v>12336908</v>
      </c>
      <c r="L96" s="80"/>
      <c r="M96" s="80">
        <f>9237254+2284056+24003808+2220585</f>
        <v>37745703</v>
      </c>
      <c r="N96" s="80"/>
      <c r="O96" s="80">
        <v>896738</v>
      </c>
      <c r="P96" s="80"/>
      <c r="Q96" s="80">
        <v>253394</v>
      </c>
      <c r="R96" s="80"/>
      <c r="S96" s="80">
        <v>0</v>
      </c>
      <c r="T96" s="80"/>
      <c r="U96" s="80">
        <v>427016</v>
      </c>
      <c r="V96" s="80"/>
      <c r="W96" s="80">
        <f>1505316+701636</f>
        <v>2206952</v>
      </c>
      <c r="X96" s="80"/>
      <c r="Y96" s="80">
        <f t="shared" si="6"/>
        <v>97528108</v>
      </c>
      <c r="Z96" s="80"/>
      <c r="AA96" s="80">
        <f>+'St of Activities - GA Rev'!Y96-'St of Activities - GA Exp'!Y96</f>
        <v>3134033</v>
      </c>
      <c r="AB96" s="80"/>
      <c r="AC96" s="80">
        <v>139667832</v>
      </c>
      <c r="AD96" s="80"/>
      <c r="AE96" s="80">
        <f t="shared" si="7"/>
        <v>142801865</v>
      </c>
      <c r="AF96" s="81">
        <f>+'St of Net Assets - GA'!W96-'St of Activities - GA Exp'!AE96</f>
        <v>0</v>
      </c>
      <c r="AG96" s="86"/>
    </row>
    <row r="97" spans="1:33" s="82" customFormat="1" ht="12.75" hidden="1">
      <c r="A97" s="30" t="s">
        <v>179</v>
      </c>
      <c r="B97" s="80"/>
      <c r="C97" s="80">
        <v>0</v>
      </c>
      <c r="D97" s="80"/>
      <c r="E97" s="80">
        <v>0</v>
      </c>
      <c r="F97" s="80"/>
      <c r="G97" s="80">
        <v>0</v>
      </c>
      <c r="H97" s="80"/>
      <c r="I97" s="80">
        <v>0</v>
      </c>
      <c r="J97" s="80"/>
      <c r="K97" s="80">
        <v>0</v>
      </c>
      <c r="L97" s="80"/>
      <c r="M97" s="80">
        <v>0</v>
      </c>
      <c r="N97" s="80"/>
      <c r="O97" s="80">
        <v>0</v>
      </c>
      <c r="P97" s="80"/>
      <c r="Q97" s="80">
        <v>0</v>
      </c>
      <c r="R97" s="80"/>
      <c r="S97" s="80">
        <v>0</v>
      </c>
      <c r="T97" s="80"/>
      <c r="U97" s="80">
        <v>0</v>
      </c>
      <c r="V97" s="80"/>
      <c r="W97" s="80">
        <v>0</v>
      </c>
      <c r="X97" s="80"/>
      <c r="Y97" s="80">
        <f>SUM(C97:W97)</f>
        <v>0</v>
      </c>
      <c r="Z97" s="80"/>
      <c r="AA97" s="80">
        <f>+'St of Activities - GA Rev'!Y97-'St of Activities - GA Exp'!Y97</f>
        <v>0</v>
      </c>
      <c r="AB97" s="80"/>
      <c r="AC97" s="80">
        <v>0</v>
      </c>
      <c r="AD97" s="80"/>
      <c r="AE97" s="80">
        <f>+AC97+AA97</f>
        <v>0</v>
      </c>
      <c r="AF97" s="81">
        <f>+'St of Net Assets - GA'!W97-'St of Activities - GA Exp'!AE97</f>
        <v>0</v>
      </c>
      <c r="AG97" s="86"/>
    </row>
    <row r="98" spans="1:33" ht="12.75">
      <c r="A98" s="30"/>
      <c r="B98" s="23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1"/>
      <c r="AG98" s="69"/>
    </row>
    <row r="99" spans="1:33" ht="12.75">
      <c r="A99" s="30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60"/>
      <c r="AG99" s="69"/>
    </row>
    <row r="100" spans="1:33" ht="12.75">
      <c r="A100" s="20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60"/>
      <c r="AG100" s="69"/>
    </row>
    <row r="101" spans="1:33" ht="12.75">
      <c r="A101" s="20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60"/>
      <c r="AG101" s="69"/>
    </row>
    <row r="102" spans="2:33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60"/>
      <c r="AG102" s="69"/>
    </row>
    <row r="103" spans="2:32" ht="12.7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60"/>
    </row>
    <row r="104" spans="2:31" ht="12.7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</row>
    <row r="105" spans="2:31" ht="12.7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</row>
    <row r="106" spans="2:31" ht="12.7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</row>
    <row r="107" spans="2:31" ht="12.7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</row>
    <row r="108" spans="2:31" ht="12.7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</row>
  </sheetData>
  <printOptions/>
  <pageMargins left="1" right="1" top="0.5" bottom="0.25" header="0" footer="0.25"/>
  <pageSetup firstPageNumber="12" useFirstPageNumber="1" horizontalDpi="600" verticalDpi="600" orientation="portrait" pageOrder="overThenDown" scale="91" r:id="rId1"/>
  <headerFooter alignWithMargins="0">
    <oddFooter>&amp;C&amp;"Times New Roman,Regular"&amp;11&amp;P</oddFooter>
  </headerFooter>
  <rowBreaks count="1" manualBreakCount="1">
    <brk id="85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99"/>
  <sheetViews>
    <sheetView workbookViewId="0" topLeftCell="A1">
      <pane xSplit="1" ySplit="9" topLeftCell="B6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" width="12.7109375" style="60" customWidth="1"/>
    <col min="4" max="4" width="1.7109375" style="60" customWidth="1"/>
    <col min="5" max="5" width="12.7109375" style="60" customWidth="1"/>
    <col min="6" max="6" width="1.7109375" style="60" customWidth="1"/>
    <col min="7" max="7" width="12.7109375" style="60" customWidth="1"/>
    <col min="8" max="8" width="1.7109375" style="60" customWidth="1"/>
    <col min="9" max="9" width="12.7109375" style="60" customWidth="1"/>
    <col min="10" max="10" width="1.7109375" style="60" customWidth="1"/>
    <col min="11" max="11" width="12.7109375" style="60" customWidth="1"/>
    <col min="12" max="12" width="1.7109375" style="60" customWidth="1"/>
    <col min="13" max="13" width="12.7109375" style="60" customWidth="1"/>
    <col min="14" max="14" width="1.7109375" style="60" customWidth="1"/>
    <col min="15" max="15" width="12.7109375" style="60" customWidth="1"/>
    <col min="16" max="16" width="9.28125" style="0" bestFit="1" customWidth="1"/>
    <col min="17" max="17" width="12.7109375" style="0" customWidth="1"/>
  </cols>
  <sheetData>
    <row r="1" spans="1:16" ht="12.75">
      <c r="A1" s="24" t="s">
        <v>207</v>
      </c>
      <c r="B1" s="24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4"/>
    </row>
    <row r="2" spans="1:16" ht="12.75">
      <c r="A2" s="24" t="s">
        <v>252</v>
      </c>
      <c r="B2" s="24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24"/>
    </row>
    <row r="3" spans="1:16" ht="12.75">
      <c r="A3" s="25"/>
      <c r="B3" s="25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25"/>
    </row>
    <row r="4" spans="1:16" ht="12.75">
      <c r="A4" s="19" t="s">
        <v>191</v>
      </c>
      <c r="B4" s="21"/>
      <c r="C4" s="48"/>
      <c r="D4" s="48"/>
      <c r="E4" s="48"/>
      <c r="F4" s="48"/>
      <c r="G4" s="48"/>
      <c r="H4" s="48"/>
      <c r="I4" s="48"/>
      <c r="J4" s="48"/>
      <c r="P4" s="26"/>
    </row>
    <row r="5" spans="1:16" ht="12.75">
      <c r="A5" s="19"/>
      <c r="B5" s="21"/>
      <c r="C5" s="48"/>
      <c r="D5" s="48"/>
      <c r="E5" s="48"/>
      <c r="F5" s="48"/>
      <c r="G5" s="48"/>
      <c r="H5" s="48"/>
      <c r="I5" s="48"/>
      <c r="J5" s="48"/>
      <c r="P5" s="26"/>
    </row>
    <row r="6" spans="1:16" ht="12.75">
      <c r="A6" s="19"/>
      <c r="B6" s="21"/>
      <c r="C6" s="48"/>
      <c r="D6" s="48"/>
      <c r="E6" s="48"/>
      <c r="F6" s="48"/>
      <c r="G6" s="48"/>
      <c r="H6" s="48"/>
      <c r="I6" s="48"/>
      <c r="J6" s="48"/>
      <c r="K6" s="48" t="s">
        <v>117</v>
      </c>
      <c r="L6" s="48"/>
      <c r="M6" s="48" t="s">
        <v>251</v>
      </c>
      <c r="N6" s="48"/>
      <c r="O6" s="48" t="s">
        <v>4</v>
      </c>
      <c r="P6" s="26"/>
    </row>
    <row r="7" spans="1:16" ht="12.75">
      <c r="A7" s="21"/>
      <c r="B7" s="21"/>
      <c r="C7" s="48" t="s">
        <v>118</v>
      </c>
      <c r="D7" s="48"/>
      <c r="E7" s="48" t="s">
        <v>4</v>
      </c>
      <c r="F7" s="48"/>
      <c r="G7" s="48" t="s">
        <v>119</v>
      </c>
      <c r="H7" s="48"/>
      <c r="I7" s="48" t="s">
        <v>4</v>
      </c>
      <c r="J7" s="48"/>
      <c r="K7" s="48" t="s">
        <v>120</v>
      </c>
      <c r="L7" s="48"/>
      <c r="M7" s="76" t="s">
        <v>120</v>
      </c>
      <c r="N7" s="48"/>
      <c r="O7" s="48" t="s">
        <v>120</v>
      </c>
      <c r="P7" s="26"/>
    </row>
    <row r="8" spans="1:17" s="78" customFormat="1" ht="12.75">
      <c r="A8" s="77" t="s">
        <v>5</v>
      </c>
      <c r="B8" s="71"/>
      <c r="C8" s="57" t="s">
        <v>121</v>
      </c>
      <c r="D8" s="76"/>
      <c r="E8" s="57" t="s">
        <v>116</v>
      </c>
      <c r="F8" s="76"/>
      <c r="G8" s="57" t="s">
        <v>11</v>
      </c>
      <c r="H8" s="76"/>
      <c r="I8" s="57" t="s">
        <v>122</v>
      </c>
      <c r="J8" s="76"/>
      <c r="K8" s="57" t="s">
        <v>123</v>
      </c>
      <c r="L8" s="76"/>
      <c r="M8" s="57" t="s">
        <v>123</v>
      </c>
      <c r="N8" s="76"/>
      <c r="O8" s="57" t="s">
        <v>123</v>
      </c>
      <c r="P8" s="26"/>
      <c r="Q8" s="69" t="s">
        <v>216</v>
      </c>
    </row>
    <row r="9" spans="1:16" ht="12.75">
      <c r="A9" s="71"/>
      <c r="B9" s="71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26"/>
    </row>
    <row r="10" spans="1:17" ht="12.75">
      <c r="A10" s="30" t="s">
        <v>13</v>
      </c>
      <c r="B10" s="30"/>
      <c r="C10" s="144">
        <f>5253686+4569</f>
        <v>5258255</v>
      </c>
      <c r="D10" s="144"/>
      <c r="E10" s="144">
        <v>13376403</v>
      </c>
      <c r="F10" s="144"/>
      <c r="G10" s="144">
        <v>5556465</v>
      </c>
      <c r="H10" s="144"/>
      <c r="I10" s="144">
        <v>8036133</v>
      </c>
      <c r="J10" s="144"/>
      <c r="K10" s="144">
        <f>270000+288055</f>
        <v>558055</v>
      </c>
      <c r="L10" s="144"/>
      <c r="M10" s="144">
        <v>4782215</v>
      </c>
      <c r="N10" s="144"/>
      <c r="O10" s="144">
        <f>+M10+K10</f>
        <v>5340270</v>
      </c>
      <c r="P10" s="56"/>
      <c r="Q10" s="54">
        <f>+E10-I10-O10</f>
        <v>0</v>
      </c>
    </row>
    <row r="11" spans="1:17" ht="12.75">
      <c r="A11" s="30" t="s">
        <v>14</v>
      </c>
      <c r="B11" s="30"/>
      <c r="C11" s="56">
        <f>4276118+1088</f>
        <v>4277206</v>
      </c>
      <c r="D11" s="56"/>
      <c r="E11" s="56">
        <v>8403177</v>
      </c>
      <c r="F11" s="56"/>
      <c r="G11" s="56">
        <v>3395604</v>
      </c>
      <c r="H11" s="56"/>
      <c r="I11" s="56">
        <v>3874116</v>
      </c>
      <c r="J11" s="56"/>
      <c r="K11" s="56">
        <f>47525+63679</f>
        <v>111204</v>
      </c>
      <c r="L11" s="56"/>
      <c r="M11" s="56">
        <v>4417857</v>
      </c>
      <c r="N11" s="56"/>
      <c r="O11" s="56">
        <f aca="true" t="shared" si="0" ref="O11:O27">+M11+K11</f>
        <v>4529061</v>
      </c>
      <c r="P11" s="56"/>
      <c r="Q11" s="54">
        <f aca="true" t="shared" si="1" ref="Q11:Q27">+E11-I11-O11</f>
        <v>0</v>
      </c>
    </row>
    <row r="12" spans="1:17" ht="12.75">
      <c r="A12" s="30" t="s">
        <v>15</v>
      </c>
      <c r="B12" s="30"/>
      <c r="C12" s="56">
        <v>164068</v>
      </c>
      <c r="D12" s="56"/>
      <c r="E12" s="56">
        <v>10221167</v>
      </c>
      <c r="F12" s="56"/>
      <c r="G12" s="56">
        <v>4900184</v>
      </c>
      <c r="H12" s="56"/>
      <c r="I12" s="56">
        <v>5835198</v>
      </c>
      <c r="J12" s="56"/>
      <c r="K12" s="56">
        <f>45611+52839+90000</f>
        <v>188450</v>
      </c>
      <c r="L12" s="56"/>
      <c r="M12" s="56">
        <v>4197519</v>
      </c>
      <c r="N12" s="56"/>
      <c r="O12" s="56">
        <f t="shared" si="0"/>
        <v>4385969</v>
      </c>
      <c r="P12" s="56"/>
      <c r="Q12" s="54">
        <f t="shared" si="1"/>
        <v>0</v>
      </c>
    </row>
    <row r="13" spans="1:17" ht="12.75">
      <c r="A13" s="30" t="s">
        <v>16</v>
      </c>
      <c r="B13" s="30"/>
      <c r="C13" s="56">
        <v>1180065</v>
      </c>
      <c r="D13" s="56"/>
      <c r="E13" s="56">
        <v>4596015</v>
      </c>
      <c r="F13" s="56"/>
      <c r="G13" s="56">
        <v>2048127</v>
      </c>
      <c r="H13" s="56"/>
      <c r="I13" s="56">
        <v>2428347</v>
      </c>
      <c r="J13" s="56"/>
      <c r="K13" s="56">
        <v>12101</v>
      </c>
      <c r="L13" s="56"/>
      <c r="M13" s="56">
        <v>2155567</v>
      </c>
      <c r="N13" s="56"/>
      <c r="O13" s="56">
        <f t="shared" si="0"/>
        <v>2167668</v>
      </c>
      <c r="P13" s="56"/>
      <c r="Q13" s="54">
        <f t="shared" si="1"/>
        <v>0</v>
      </c>
    </row>
    <row r="14" spans="1:17" ht="12.75">
      <c r="A14" s="30" t="s">
        <v>17</v>
      </c>
      <c r="B14" s="30"/>
      <c r="C14" s="56">
        <v>2293508</v>
      </c>
      <c r="D14" s="56"/>
      <c r="E14" s="56">
        <v>5896953</v>
      </c>
      <c r="F14" s="56"/>
      <c r="G14" s="56">
        <v>2417998</v>
      </c>
      <c r="H14" s="56"/>
      <c r="I14" s="56">
        <v>2794317</v>
      </c>
      <c r="J14" s="56"/>
      <c r="K14" s="56">
        <f>91798+38400</f>
        <v>130198</v>
      </c>
      <c r="L14" s="56"/>
      <c r="M14" s="56">
        <v>2972438</v>
      </c>
      <c r="N14" s="56"/>
      <c r="O14" s="56">
        <f t="shared" si="0"/>
        <v>3102636</v>
      </c>
      <c r="P14" s="56"/>
      <c r="Q14" s="54">
        <f t="shared" si="1"/>
        <v>0</v>
      </c>
    </row>
    <row r="15" spans="1:17" ht="12.75">
      <c r="A15" s="30" t="s">
        <v>18</v>
      </c>
      <c r="B15" s="30"/>
      <c r="C15" s="56">
        <f>3336229+24367</f>
        <v>3360596</v>
      </c>
      <c r="D15" s="56"/>
      <c r="E15" s="56">
        <v>10070287</v>
      </c>
      <c r="F15" s="56"/>
      <c r="G15" s="56">
        <v>2580056</v>
      </c>
      <c r="H15" s="56"/>
      <c r="I15" s="56">
        <v>3267601</v>
      </c>
      <c r="J15" s="56"/>
      <c r="K15" s="56">
        <f>897771+1309566+124364</f>
        <v>2331701</v>
      </c>
      <c r="L15" s="56"/>
      <c r="M15" s="56">
        <f>966045+3504940</f>
        <v>4470985</v>
      </c>
      <c r="N15" s="56"/>
      <c r="O15" s="56">
        <f t="shared" si="0"/>
        <v>6802686</v>
      </c>
      <c r="P15" s="56"/>
      <c r="Q15" s="54">
        <f t="shared" si="1"/>
        <v>0</v>
      </c>
    </row>
    <row r="16" spans="1:17" ht="12.75" hidden="1">
      <c r="A16" s="30" t="s">
        <v>133</v>
      </c>
      <c r="B16" s="30"/>
      <c r="C16" s="56">
        <v>0</v>
      </c>
      <c r="D16" s="56"/>
      <c r="E16" s="56">
        <v>0</v>
      </c>
      <c r="F16" s="56"/>
      <c r="G16" s="56">
        <v>0</v>
      </c>
      <c r="H16" s="56"/>
      <c r="I16" s="56">
        <v>0</v>
      </c>
      <c r="J16" s="56"/>
      <c r="K16" s="56">
        <v>0</v>
      </c>
      <c r="L16" s="56"/>
      <c r="M16" s="56">
        <v>0</v>
      </c>
      <c r="N16" s="56"/>
      <c r="O16" s="56">
        <f t="shared" si="0"/>
        <v>0</v>
      </c>
      <c r="P16" s="56"/>
      <c r="Q16" s="54">
        <f t="shared" si="1"/>
        <v>0</v>
      </c>
    </row>
    <row r="17" spans="1:17" ht="12.75">
      <c r="A17" s="30" t="s">
        <v>182</v>
      </c>
      <c r="B17" s="30"/>
      <c r="C17" s="56">
        <v>8105396</v>
      </c>
      <c r="D17" s="56"/>
      <c r="E17" s="56">
        <v>31025177</v>
      </c>
      <c r="F17" s="56"/>
      <c r="G17" s="56">
        <v>15149949</v>
      </c>
      <c r="H17" s="56"/>
      <c r="I17" s="56">
        <v>20219079</v>
      </c>
      <c r="J17" s="56"/>
      <c r="K17" s="56">
        <f>165490+117545+2486672+1446704</f>
        <v>4216411</v>
      </c>
      <c r="L17" s="56"/>
      <c r="M17" s="56">
        <v>6589687</v>
      </c>
      <c r="N17" s="56"/>
      <c r="O17" s="56">
        <f t="shared" si="0"/>
        <v>10806098</v>
      </c>
      <c r="P17" s="56"/>
      <c r="Q17" s="54">
        <f t="shared" si="1"/>
        <v>0</v>
      </c>
    </row>
    <row r="18" spans="1:17" ht="12.75">
      <c r="A18" s="30" t="s">
        <v>20</v>
      </c>
      <c r="B18" s="30"/>
      <c r="C18" s="56">
        <f>324324+90369</f>
        <v>414693</v>
      </c>
      <c r="D18" s="56"/>
      <c r="E18" s="56">
        <v>2702279</v>
      </c>
      <c r="F18" s="56"/>
      <c r="G18" s="56">
        <v>1654808</v>
      </c>
      <c r="H18" s="56"/>
      <c r="I18" s="56">
        <v>1857687</v>
      </c>
      <c r="J18" s="56"/>
      <c r="K18" s="56">
        <f>56411+60971+19658+6000</f>
        <v>143040</v>
      </c>
      <c r="L18" s="56"/>
      <c r="M18" s="56">
        <v>701552</v>
      </c>
      <c r="N18" s="56"/>
      <c r="O18" s="56">
        <f t="shared" si="0"/>
        <v>844592</v>
      </c>
      <c r="P18" s="56"/>
      <c r="Q18" s="54">
        <f t="shared" si="1"/>
        <v>0</v>
      </c>
    </row>
    <row r="19" spans="1:17" ht="12.75" hidden="1">
      <c r="A19" s="30" t="s">
        <v>176</v>
      </c>
      <c r="B19" s="30"/>
      <c r="C19" s="56">
        <v>0</v>
      </c>
      <c r="D19" s="56"/>
      <c r="E19" s="56">
        <v>0</v>
      </c>
      <c r="F19" s="56"/>
      <c r="G19" s="56">
        <v>0</v>
      </c>
      <c r="H19" s="56"/>
      <c r="I19" s="56">
        <v>0</v>
      </c>
      <c r="J19" s="56"/>
      <c r="K19" s="56">
        <v>0</v>
      </c>
      <c r="L19" s="56"/>
      <c r="M19" s="56">
        <v>0</v>
      </c>
      <c r="N19" s="56"/>
      <c r="O19" s="56">
        <f t="shared" si="0"/>
        <v>0</v>
      </c>
      <c r="P19" s="56"/>
      <c r="Q19" s="54">
        <f t="shared" si="1"/>
        <v>0</v>
      </c>
    </row>
    <row r="20" spans="1:17" ht="12.75">
      <c r="A20" s="30" t="s">
        <v>21</v>
      </c>
      <c r="B20" s="30"/>
      <c r="C20" s="56">
        <v>6385666</v>
      </c>
      <c r="D20" s="56"/>
      <c r="E20" s="56">
        <v>15241200</v>
      </c>
      <c r="F20" s="56"/>
      <c r="G20" s="56">
        <v>6919274</v>
      </c>
      <c r="H20" s="56"/>
      <c r="I20" s="56">
        <v>8438441</v>
      </c>
      <c r="J20" s="56"/>
      <c r="K20" s="56">
        <f>918791+29169+75127</f>
        <v>1023087</v>
      </c>
      <c r="L20" s="56"/>
      <c r="M20" s="56">
        <v>5779672</v>
      </c>
      <c r="N20" s="56"/>
      <c r="O20" s="56">
        <f t="shared" si="0"/>
        <v>6802759</v>
      </c>
      <c r="P20" s="56"/>
      <c r="Q20" s="54">
        <f t="shared" si="1"/>
        <v>0</v>
      </c>
    </row>
    <row r="21" spans="1:17" ht="12.75">
      <c r="A21" s="30" t="s">
        <v>188</v>
      </c>
      <c r="B21" s="30"/>
      <c r="C21" s="56">
        <v>23382661</v>
      </c>
      <c r="D21" s="56"/>
      <c r="E21" s="56">
        <v>39034799</v>
      </c>
      <c r="F21" s="56"/>
      <c r="G21" s="56">
        <v>12053595</v>
      </c>
      <c r="H21" s="56"/>
      <c r="I21" s="56">
        <v>14199586</v>
      </c>
      <c r="J21" s="56"/>
      <c r="K21" s="56">
        <v>8790009</v>
      </c>
      <c r="L21" s="56"/>
      <c r="M21" s="56">
        <f>2300000+13745204</f>
        <v>16045204</v>
      </c>
      <c r="N21" s="56"/>
      <c r="O21" s="56">
        <f t="shared" si="0"/>
        <v>24835213</v>
      </c>
      <c r="P21" s="56"/>
      <c r="Q21" s="54">
        <f t="shared" si="1"/>
        <v>0</v>
      </c>
    </row>
    <row r="22" spans="1:17" ht="12.75">
      <c r="A22" s="30" t="s">
        <v>22</v>
      </c>
      <c r="B22" s="30"/>
      <c r="C22" s="56">
        <v>23275</v>
      </c>
      <c r="D22" s="56"/>
      <c r="E22" s="56">
        <v>4571227</v>
      </c>
      <c r="F22" s="56"/>
      <c r="G22" s="56">
        <v>2063555</v>
      </c>
      <c r="H22" s="56"/>
      <c r="I22" s="56">
        <v>3569393</v>
      </c>
      <c r="J22" s="56"/>
      <c r="K22" s="56">
        <f>112483+53915+14068+99225</f>
        <v>279691</v>
      </c>
      <c r="L22" s="56"/>
      <c r="M22" s="56">
        <v>722143</v>
      </c>
      <c r="N22" s="56"/>
      <c r="O22" s="56">
        <f t="shared" si="0"/>
        <v>1001834</v>
      </c>
      <c r="P22" s="56"/>
      <c r="Q22" s="54">
        <f t="shared" si="1"/>
        <v>0</v>
      </c>
    </row>
    <row r="23" spans="1:17" ht="12.75" hidden="1">
      <c r="A23" s="30" t="s">
        <v>23</v>
      </c>
      <c r="B23" s="30"/>
      <c r="C23" s="56">
        <v>0</v>
      </c>
      <c r="D23" s="56"/>
      <c r="E23" s="56">
        <v>0</v>
      </c>
      <c r="F23" s="56"/>
      <c r="G23" s="56">
        <v>0</v>
      </c>
      <c r="H23" s="56"/>
      <c r="I23" s="56">
        <v>0</v>
      </c>
      <c r="J23" s="56"/>
      <c r="K23" s="56">
        <v>0</v>
      </c>
      <c r="L23" s="56"/>
      <c r="M23" s="56">
        <v>0</v>
      </c>
      <c r="N23" s="56"/>
      <c r="O23" s="56">
        <f t="shared" si="0"/>
        <v>0</v>
      </c>
      <c r="P23" s="56"/>
      <c r="Q23" s="54">
        <f t="shared" si="1"/>
        <v>0</v>
      </c>
    </row>
    <row r="24" spans="1:17" ht="12.75" hidden="1">
      <c r="A24" s="30" t="s">
        <v>24</v>
      </c>
      <c r="B24" s="30"/>
      <c r="C24" s="56">
        <v>0</v>
      </c>
      <c r="D24" s="56"/>
      <c r="E24" s="56">
        <v>0</v>
      </c>
      <c r="F24" s="56"/>
      <c r="G24" s="56">
        <v>0</v>
      </c>
      <c r="H24" s="56"/>
      <c r="I24" s="56">
        <v>0</v>
      </c>
      <c r="J24" s="56"/>
      <c r="K24" s="56">
        <v>0</v>
      </c>
      <c r="L24" s="56"/>
      <c r="M24" s="56">
        <v>0</v>
      </c>
      <c r="N24" s="56"/>
      <c r="O24" s="56">
        <f t="shared" si="0"/>
        <v>0</v>
      </c>
      <c r="P24" s="56"/>
      <c r="Q24" s="54">
        <f t="shared" si="1"/>
        <v>0</v>
      </c>
    </row>
    <row r="25" spans="1:17" ht="12.75">
      <c r="A25" s="30" t="s">
        <v>186</v>
      </c>
      <c r="B25" s="30"/>
      <c r="C25" s="56">
        <v>3876026</v>
      </c>
      <c r="D25" s="56"/>
      <c r="E25" s="56">
        <v>7898647</v>
      </c>
      <c r="F25" s="56"/>
      <c r="G25" s="56">
        <v>2399488</v>
      </c>
      <c r="H25" s="56"/>
      <c r="I25" s="56">
        <v>2735580</v>
      </c>
      <c r="J25" s="56"/>
      <c r="K25" s="56">
        <f>64961+447986</f>
        <v>512947</v>
      </c>
      <c r="L25" s="56"/>
      <c r="M25" s="56">
        <v>4650120</v>
      </c>
      <c r="N25" s="56"/>
      <c r="O25" s="56">
        <f t="shared" si="0"/>
        <v>5163067</v>
      </c>
      <c r="P25" s="56"/>
      <c r="Q25" s="54">
        <f t="shared" si="1"/>
        <v>0</v>
      </c>
    </row>
    <row r="26" spans="1:17" ht="12.75">
      <c r="A26" s="30" t="s">
        <v>25</v>
      </c>
      <c r="B26" s="30"/>
      <c r="C26" s="56">
        <v>70437000</v>
      </c>
      <c r="D26" s="56"/>
      <c r="E26" s="56">
        <v>231251000</v>
      </c>
      <c r="F26" s="56"/>
      <c r="G26" s="56">
        <v>47143000</v>
      </c>
      <c r="H26" s="56"/>
      <c r="I26" s="56">
        <v>61042000</v>
      </c>
      <c r="J26" s="56"/>
      <c r="K26" s="56">
        <f>25756000+1000000+9480000</f>
        <v>36236000</v>
      </c>
      <c r="L26" s="56"/>
      <c r="M26" s="56">
        <f>1978000+1961000+130034000</f>
        <v>133973000</v>
      </c>
      <c r="N26" s="56"/>
      <c r="O26" s="56">
        <f t="shared" si="0"/>
        <v>170209000</v>
      </c>
      <c r="P26" s="56"/>
      <c r="Q26" s="54">
        <f t="shared" si="1"/>
        <v>0</v>
      </c>
    </row>
    <row r="27" spans="1:17" ht="12.75">
      <c r="A27" s="30" t="s">
        <v>26</v>
      </c>
      <c r="B27" s="30"/>
      <c r="C27" s="56">
        <f>957216+183376</f>
        <v>1140592</v>
      </c>
      <c r="D27" s="56"/>
      <c r="E27" s="56">
        <v>5746452</v>
      </c>
      <c r="F27" s="56"/>
      <c r="G27" s="56">
        <v>3113548</v>
      </c>
      <c r="H27" s="56"/>
      <c r="I27" s="56">
        <v>3362718</v>
      </c>
      <c r="J27" s="56"/>
      <c r="K27" s="56">
        <f>39698+34317+37410</f>
        <v>111425</v>
      </c>
      <c r="L27" s="56"/>
      <c r="M27" s="56">
        <v>2272309</v>
      </c>
      <c r="N27" s="56"/>
      <c r="O27" s="56">
        <f t="shared" si="0"/>
        <v>2383734</v>
      </c>
      <c r="P27" s="56"/>
      <c r="Q27" s="54">
        <f t="shared" si="1"/>
        <v>0</v>
      </c>
    </row>
    <row r="28" spans="1:17" ht="12.75">
      <c r="A28" s="30" t="s">
        <v>27</v>
      </c>
      <c r="B28" s="30"/>
      <c r="C28" s="56">
        <f>6987153+154548</f>
        <v>7141701</v>
      </c>
      <c r="D28" s="56"/>
      <c r="E28" s="56">
        <v>12957741</v>
      </c>
      <c r="F28" s="56"/>
      <c r="G28" s="56">
        <v>2591314</v>
      </c>
      <c r="H28" s="56"/>
      <c r="I28" s="56">
        <v>2877871</v>
      </c>
      <c r="J28" s="56"/>
      <c r="K28" s="56">
        <f>43536+158194+59890+2394700</f>
        <v>2656320</v>
      </c>
      <c r="L28" s="56"/>
      <c r="M28" s="56">
        <v>7423550</v>
      </c>
      <c r="N28" s="56"/>
      <c r="O28" s="56">
        <f aca="true" t="shared" si="2" ref="O28:O75">+M28+K28</f>
        <v>10079870</v>
      </c>
      <c r="P28" s="56"/>
      <c r="Q28" s="54">
        <f aca="true" t="shared" si="3" ref="Q28:Q75">+E28-I28-O28</f>
        <v>0</v>
      </c>
    </row>
    <row r="29" spans="1:17" ht="12.75">
      <c r="A29" s="30" t="s">
        <v>28</v>
      </c>
      <c r="B29" s="30"/>
      <c r="C29" s="56">
        <f>14428241+16197</f>
        <v>14444438</v>
      </c>
      <c r="D29" s="56"/>
      <c r="E29" s="56">
        <v>26411337</v>
      </c>
      <c r="F29" s="56"/>
      <c r="G29" s="56">
        <v>7517226</v>
      </c>
      <c r="H29" s="56"/>
      <c r="I29" s="56">
        <v>9576143</v>
      </c>
      <c r="J29" s="56"/>
      <c r="K29" s="56">
        <v>558093</v>
      </c>
      <c r="L29" s="56"/>
      <c r="M29" s="56">
        <v>16277101</v>
      </c>
      <c r="N29" s="56"/>
      <c r="O29" s="56">
        <f t="shared" si="2"/>
        <v>16835194</v>
      </c>
      <c r="P29" s="56"/>
      <c r="Q29" s="54">
        <f t="shared" si="3"/>
        <v>0</v>
      </c>
    </row>
    <row r="30" spans="1:17" ht="12.75">
      <c r="A30" s="30" t="s">
        <v>29</v>
      </c>
      <c r="B30" s="30"/>
      <c r="C30" s="56">
        <v>6586779</v>
      </c>
      <c r="D30" s="56"/>
      <c r="E30" s="56">
        <v>16933391</v>
      </c>
      <c r="F30" s="56"/>
      <c r="G30" s="56">
        <v>6672956</v>
      </c>
      <c r="H30" s="56"/>
      <c r="I30" s="56">
        <v>7745537</v>
      </c>
      <c r="J30" s="56"/>
      <c r="K30" s="56">
        <f>384940+14489+6401</f>
        <v>405830</v>
      </c>
      <c r="L30" s="56"/>
      <c r="M30" s="56">
        <f>1187567+7594457</f>
        <v>8782024</v>
      </c>
      <c r="N30" s="56"/>
      <c r="O30" s="56">
        <f t="shared" si="2"/>
        <v>9187854</v>
      </c>
      <c r="P30" s="56"/>
      <c r="Q30" s="54">
        <f t="shared" si="3"/>
        <v>0</v>
      </c>
    </row>
    <row r="31" spans="1:17" ht="12.75">
      <c r="A31" s="30" t="s">
        <v>30</v>
      </c>
      <c r="B31" s="30"/>
      <c r="C31" s="56">
        <f>10154101+80277+147813</f>
        <v>10382191</v>
      </c>
      <c r="D31" s="56"/>
      <c r="E31" s="56">
        <v>23032284</v>
      </c>
      <c r="F31" s="56"/>
      <c r="G31" s="56">
        <v>8848831</v>
      </c>
      <c r="H31" s="56"/>
      <c r="I31" s="56">
        <v>10336000</v>
      </c>
      <c r="J31" s="56"/>
      <c r="K31" s="56">
        <f>761464+147813</f>
        <v>909277</v>
      </c>
      <c r="L31" s="56"/>
      <c r="M31" s="56">
        <f>156098+11630909</f>
        <v>11787007</v>
      </c>
      <c r="N31" s="56"/>
      <c r="O31" s="56">
        <f t="shared" si="2"/>
        <v>12696284</v>
      </c>
      <c r="P31" s="56"/>
      <c r="Q31" s="54">
        <f t="shared" si="3"/>
        <v>0</v>
      </c>
    </row>
    <row r="32" spans="1:17" ht="12.75" hidden="1">
      <c r="A32" s="30" t="s">
        <v>31</v>
      </c>
      <c r="B32" s="30"/>
      <c r="C32" s="56">
        <v>0</v>
      </c>
      <c r="D32" s="56"/>
      <c r="E32" s="56">
        <v>0</v>
      </c>
      <c r="F32" s="56"/>
      <c r="G32" s="56">
        <v>0</v>
      </c>
      <c r="H32" s="56"/>
      <c r="I32" s="56">
        <v>0</v>
      </c>
      <c r="J32" s="56"/>
      <c r="K32" s="56">
        <v>0</v>
      </c>
      <c r="L32" s="56"/>
      <c r="M32" s="56">
        <v>0</v>
      </c>
      <c r="N32" s="56"/>
      <c r="O32" s="56">
        <f t="shared" si="2"/>
        <v>0</v>
      </c>
      <c r="P32" s="56"/>
      <c r="Q32" s="54">
        <f t="shared" si="3"/>
        <v>0</v>
      </c>
    </row>
    <row r="33" spans="1:17" ht="12.75">
      <c r="A33" s="30" t="s">
        <v>32</v>
      </c>
      <c r="B33" s="30"/>
      <c r="C33" s="56">
        <v>62294000</v>
      </c>
      <c r="D33" s="56"/>
      <c r="E33" s="56">
        <v>186572000</v>
      </c>
      <c r="F33" s="56"/>
      <c r="G33" s="56">
        <v>44876000</v>
      </c>
      <c r="H33" s="56"/>
      <c r="I33" s="56">
        <v>97995000</v>
      </c>
      <c r="J33" s="56"/>
      <c r="K33" s="56">
        <f>671000+291000+1414000</f>
        <v>2376000</v>
      </c>
      <c r="L33" s="56"/>
      <c r="M33" s="56">
        <f>11250000+18750000+56201000</f>
        <v>86201000</v>
      </c>
      <c r="N33" s="56"/>
      <c r="O33" s="56">
        <f t="shared" si="2"/>
        <v>88577000</v>
      </c>
      <c r="P33" s="56"/>
      <c r="Q33" s="54">
        <f t="shared" si="3"/>
        <v>0</v>
      </c>
    </row>
    <row r="34" spans="1:17" ht="12.75">
      <c r="A34" s="30" t="s">
        <v>33</v>
      </c>
      <c r="B34" s="30"/>
      <c r="C34" s="56">
        <f>3516571+68362</f>
        <v>3584933</v>
      </c>
      <c r="D34" s="56"/>
      <c r="E34" s="56">
        <v>7032904</v>
      </c>
      <c r="F34" s="56"/>
      <c r="G34" s="56">
        <v>1973737</v>
      </c>
      <c r="H34" s="56"/>
      <c r="I34" s="56">
        <v>2210491</v>
      </c>
      <c r="J34" s="56"/>
      <c r="K34" s="56">
        <f>66917+53829+66650+192851+33322</f>
        <v>413569</v>
      </c>
      <c r="L34" s="56"/>
      <c r="M34" s="56">
        <f>500000+3908844</f>
        <v>4408844</v>
      </c>
      <c r="N34" s="56"/>
      <c r="O34" s="56">
        <f t="shared" si="2"/>
        <v>4822413</v>
      </c>
      <c r="P34" s="56"/>
      <c r="Q34" s="54">
        <f t="shared" si="3"/>
        <v>0</v>
      </c>
    </row>
    <row r="35" spans="1:17" ht="12.75">
      <c r="A35" s="30" t="s">
        <v>34</v>
      </c>
      <c r="B35" s="30"/>
      <c r="C35" s="56">
        <v>1267647</v>
      </c>
      <c r="D35" s="56"/>
      <c r="E35" s="56">
        <v>4038560</v>
      </c>
      <c r="F35" s="56"/>
      <c r="G35" s="56">
        <v>2125486</v>
      </c>
      <c r="H35" s="56"/>
      <c r="I35" s="56">
        <v>2481578</v>
      </c>
      <c r="J35" s="56"/>
      <c r="K35" s="56">
        <f>36702+66783</f>
        <v>103485</v>
      </c>
      <c r="L35" s="56"/>
      <c r="M35" s="56">
        <v>1453497</v>
      </c>
      <c r="N35" s="56"/>
      <c r="O35" s="56">
        <f t="shared" si="2"/>
        <v>1556982</v>
      </c>
      <c r="P35" s="56"/>
      <c r="Q35" s="54">
        <f t="shared" si="3"/>
        <v>0</v>
      </c>
    </row>
    <row r="36" spans="1:17" ht="12.75">
      <c r="A36" s="30" t="s">
        <v>35</v>
      </c>
      <c r="B36" s="30"/>
      <c r="C36" s="56">
        <f>5201762+3200</f>
        <v>5204962</v>
      </c>
      <c r="D36" s="56"/>
      <c r="E36" s="56">
        <v>17852033</v>
      </c>
      <c r="F36" s="56"/>
      <c r="G36" s="56">
        <v>10753349</v>
      </c>
      <c r="H36" s="56"/>
      <c r="I36" s="56">
        <v>11682026</v>
      </c>
      <c r="J36" s="56"/>
      <c r="K36" s="56">
        <v>363874</v>
      </c>
      <c r="L36" s="56"/>
      <c r="M36" s="56">
        <v>5806133</v>
      </c>
      <c r="N36" s="56"/>
      <c r="O36" s="56">
        <f t="shared" si="2"/>
        <v>6170007</v>
      </c>
      <c r="P36" s="56"/>
      <c r="Q36" s="54">
        <f t="shared" si="3"/>
        <v>0</v>
      </c>
    </row>
    <row r="37" spans="1:17" ht="12.75">
      <c r="A37" s="30" t="s">
        <v>189</v>
      </c>
      <c r="B37" s="30"/>
      <c r="C37" s="56">
        <v>20142016</v>
      </c>
      <c r="D37" s="56"/>
      <c r="E37" s="56">
        <v>34495806</v>
      </c>
      <c r="F37" s="56"/>
      <c r="G37" s="56">
        <v>9564043</v>
      </c>
      <c r="H37" s="56"/>
      <c r="I37" s="56">
        <v>26411793</v>
      </c>
      <c r="J37" s="56"/>
      <c r="K37" s="56">
        <v>283089</v>
      </c>
      <c r="L37" s="56"/>
      <c r="M37" s="56">
        <f>1750000+6050924</f>
        <v>7800924</v>
      </c>
      <c r="N37" s="56"/>
      <c r="O37" s="56">
        <f t="shared" si="2"/>
        <v>8084013</v>
      </c>
      <c r="P37" s="56"/>
      <c r="Q37" s="54">
        <f t="shared" si="3"/>
        <v>0</v>
      </c>
    </row>
    <row r="38" spans="1:17" ht="12.75" hidden="1">
      <c r="A38" s="30" t="s">
        <v>36</v>
      </c>
      <c r="B38" s="30"/>
      <c r="C38" s="56">
        <v>0</v>
      </c>
      <c r="D38" s="56"/>
      <c r="E38" s="56">
        <v>0</v>
      </c>
      <c r="F38" s="56"/>
      <c r="G38" s="56">
        <v>0</v>
      </c>
      <c r="H38" s="56"/>
      <c r="I38" s="56">
        <v>0</v>
      </c>
      <c r="J38" s="56"/>
      <c r="K38" s="56">
        <v>0</v>
      </c>
      <c r="L38" s="56"/>
      <c r="M38" s="56">
        <v>0</v>
      </c>
      <c r="N38" s="56"/>
      <c r="O38" s="56">
        <f t="shared" si="2"/>
        <v>0</v>
      </c>
      <c r="P38" s="56"/>
      <c r="Q38" s="54">
        <f t="shared" si="3"/>
        <v>0</v>
      </c>
    </row>
    <row r="39" spans="1:17" ht="12.75" hidden="1">
      <c r="A39" s="30" t="s">
        <v>37</v>
      </c>
      <c r="B39" s="30"/>
      <c r="C39" s="56">
        <v>0</v>
      </c>
      <c r="D39" s="56"/>
      <c r="E39" s="56">
        <v>0</v>
      </c>
      <c r="F39" s="56"/>
      <c r="G39" s="56">
        <v>0</v>
      </c>
      <c r="H39" s="56"/>
      <c r="I39" s="56">
        <v>0</v>
      </c>
      <c r="J39" s="56"/>
      <c r="K39" s="56">
        <v>0</v>
      </c>
      <c r="L39" s="56"/>
      <c r="M39" s="56">
        <v>0</v>
      </c>
      <c r="N39" s="56"/>
      <c r="O39" s="56">
        <f t="shared" si="2"/>
        <v>0</v>
      </c>
      <c r="P39" s="56"/>
      <c r="Q39" s="54">
        <f t="shared" si="3"/>
        <v>0</v>
      </c>
    </row>
    <row r="40" spans="1:17" ht="12.75">
      <c r="A40" s="30" t="s">
        <v>38</v>
      </c>
      <c r="B40" s="30"/>
      <c r="C40" s="56">
        <v>5327284</v>
      </c>
      <c r="D40" s="56"/>
      <c r="E40" s="56">
        <v>10273938</v>
      </c>
      <c r="F40" s="56"/>
      <c r="G40" s="56">
        <v>3562599</v>
      </c>
      <c r="H40" s="56"/>
      <c r="I40" s="56">
        <v>4356156</v>
      </c>
      <c r="J40" s="56"/>
      <c r="K40" s="56">
        <v>190029</v>
      </c>
      <c r="L40" s="56"/>
      <c r="M40" s="56">
        <v>5727753</v>
      </c>
      <c r="N40" s="56"/>
      <c r="O40" s="56">
        <f t="shared" si="2"/>
        <v>5917782</v>
      </c>
      <c r="P40" s="56"/>
      <c r="Q40" s="54">
        <f t="shared" si="3"/>
        <v>0</v>
      </c>
    </row>
    <row r="41" spans="1:17" ht="12.75" hidden="1">
      <c r="A41" s="30" t="s">
        <v>172</v>
      </c>
      <c r="B41" s="30"/>
      <c r="C41" s="56">
        <v>0</v>
      </c>
      <c r="D41" s="56"/>
      <c r="E41" s="56">
        <v>0</v>
      </c>
      <c r="F41" s="56"/>
      <c r="G41" s="56">
        <v>0</v>
      </c>
      <c r="H41" s="56"/>
      <c r="I41" s="56">
        <v>0</v>
      </c>
      <c r="J41" s="56"/>
      <c r="K41" s="56">
        <v>0</v>
      </c>
      <c r="L41" s="56"/>
      <c r="M41" s="56">
        <v>0</v>
      </c>
      <c r="N41" s="56"/>
      <c r="O41" s="56">
        <f t="shared" si="2"/>
        <v>0</v>
      </c>
      <c r="P41" s="56"/>
      <c r="Q41" s="54">
        <f t="shared" si="3"/>
        <v>0</v>
      </c>
    </row>
    <row r="42" spans="1:17" ht="12.75" hidden="1">
      <c r="A42" s="30" t="s">
        <v>39</v>
      </c>
      <c r="B42" s="30"/>
      <c r="C42" s="56">
        <v>0</v>
      </c>
      <c r="D42" s="56"/>
      <c r="E42" s="56">
        <v>0</v>
      </c>
      <c r="F42" s="56"/>
      <c r="G42" s="56">
        <v>0</v>
      </c>
      <c r="H42" s="56"/>
      <c r="I42" s="56">
        <v>0</v>
      </c>
      <c r="J42" s="56"/>
      <c r="K42" s="56">
        <v>0</v>
      </c>
      <c r="L42" s="56"/>
      <c r="M42" s="56">
        <v>0</v>
      </c>
      <c r="N42" s="56"/>
      <c r="O42" s="56">
        <f t="shared" si="2"/>
        <v>0</v>
      </c>
      <c r="P42" s="56"/>
      <c r="Q42" s="54">
        <f t="shared" si="3"/>
        <v>0</v>
      </c>
    </row>
    <row r="43" spans="1:17" ht="12.75">
      <c r="A43" s="30" t="s">
        <v>40</v>
      </c>
      <c r="B43" s="30"/>
      <c r="C43" s="56">
        <v>1170353</v>
      </c>
      <c r="D43" s="56"/>
      <c r="E43" s="56">
        <v>4977647</v>
      </c>
      <c r="F43" s="56"/>
      <c r="G43" s="56">
        <v>2939379</v>
      </c>
      <c r="H43" s="56"/>
      <c r="I43" s="56">
        <v>3214521</v>
      </c>
      <c r="J43" s="56"/>
      <c r="K43" s="56">
        <f>12628+28959+36416</f>
        <v>78003</v>
      </c>
      <c r="L43" s="56"/>
      <c r="M43" s="56">
        <v>1685123</v>
      </c>
      <c r="N43" s="56"/>
      <c r="O43" s="56">
        <f t="shared" si="2"/>
        <v>1763126</v>
      </c>
      <c r="P43" s="56"/>
      <c r="Q43" s="54">
        <f t="shared" si="3"/>
        <v>0</v>
      </c>
    </row>
    <row r="44" spans="1:17" ht="12.75" hidden="1">
      <c r="A44" s="30" t="s">
        <v>41</v>
      </c>
      <c r="B44" s="30"/>
      <c r="C44" s="56">
        <v>0</v>
      </c>
      <c r="D44" s="56"/>
      <c r="E44" s="56">
        <v>0</v>
      </c>
      <c r="F44" s="56"/>
      <c r="G44" s="56">
        <v>0</v>
      </c>
      <c r="H44" s="56"/>
      <c r="I44" s="56">
        <v>0</v>
      </c>
      <c r="J44" s="56"/>
      <c r="K44" s="56">
        <v>0</v>
      </c>
      <c r="L44" s="56"/>
      <c r="M44" s="56">
        <v>0</v>
      </c>
      <c r="N44" s="56"/>
      <c r="O44" s="56">
        <f t="shared" si="2"/>
        <v>0</v>
      </c>
      <c r="P44" s="56"/>
      <c r="Q44" s="54">
        <f t="shared" si="3"/>
        <v>0</v>
      </c>
    </row>
    <row r="45" spans="1:17" ht="12.75">
      <c r="A45" s="30" t="s">
        <v>42</v>
      </c>
      <c r="B45" s="30"/>
      <c r="C45" s="56">
        <v>1776291</v>
      </c>
      <c r="D45" s="56"/>
      <c r="E45" s="56">
        <v>4652815</v>
      </c>
      <c r="F45" s="56"/>
      <c r="G45" s="56">
        <v>2243161</v>
      </c>
      <c r="H45" s="56"/>
      <c r="I45" s="56">
        <v>2430786</v>
      </c>
      <c r="J45" s="56"/>
      <c r="K45" s="56">
        <v>22432</v>
      </c>
      <c r="L45" s="56"/>
      <c r="M45" s="56">
        <v>2199597</v>
      </c>
      <c r="N45" s="56"/>
      <c r="O45" s="56">
        <f t="shared" si="2"/>
        <v>2222029</v>
      </c>
      <c r="P45" s="56"/>
      <c r="Q45" s="54">
        <f t="shared" si="3"/>
        <v>0</v>
      </c>
    </row>
    <row r="46" spans="1:17" ht="12.75">
      <c r="A46" s="30" t="s">
        <v>43</v>
      </c>
      <c r="B46" s="30"/>
      <c r="C46" s="56">
        <v>1395187</v>
      </c>
      <c r="D46" s="56"/>
      <c r="E46" s="56">
        <v>5024623</v>
      </c>
      <c r="F46" s="56"/>
      <c r="G46" s="56">
        <v>2992105</v>
      </c>
      <c r="H46" s="56"/>
      <c r="I46" s="56">
        <v>3401081</v>
      </c>
      <c r="J46" s="56"/>
      <c r="K46" s="56">
        <f>27589+39717+69581+55000</f>
        <v>191887</v>
      </c>
      <c r="L46" s="56"/>
      <c r="M46" s="56">
        <v>1431655</v>
      </c>
      <c r="N46" s="56"/>
      <c r="O46" s="56">
        <f t="shared" si="2"/>
        <v>1623542</v>
      </c>
      <c r="P46" s="56"/>
      <c r="Q46" s="54">
        <f t="shared" si="3"/>
        <v>0</v>
      </c>
    </row>
    <row r="47" spans="1:17" ht="12.75">
      <c r="A47" s="30" t="s">
        <v>44</v>
      </c>
      <c r="B47" s="30"/>
      <c r="C47" s="56">
        <v>2452392</v>
      </c>
      <c r="D47" s="56"/>
      <c r="E47" s="56">
        <v>6134971</v>
      </c>
      <c r="F47" s="56"/>
      <c r="G47" s="56">
        <v>1951503</v>
      </c>
      <c r="H47" s="56"/>
      <c r="I47" s="56">
        <v>2575593</v>
      </c>
      <c r="J47" s="56"/>
      <c r="K47" s="56">
        <f>94911+109066+1055</f>
        <v>205032</v>
      </c>
      <c r="L47" s="56"/>
      <c r="M47" s="56">
        <v>3354346</v>
      </c>
      <c r="N47" s="56"/>
      <c r="O47" s="56">
        <f t="shared" si="2"/>
        <v>3559378</v>
      </c>
      <c r="P47" s="56"/>
      <c r="Q47" s="54">
        <f t="shared" si="3"/>
        <v>0</v>
      </c>
    </row>
    <row r="48" spans="1:17" ht="12.75" hidden="1">
      <c r="A48" s="30" t="s">
        <v>45</v>
      </c>
      <c r="B48" s="30"/>
      <c r="C48" s="56">
        <v>0</v>
      </c>
      <c r="D48" s="56"/>
      <c r="E48" s="56">
        <v>0</v>
      </c>
      <c r="F48" s="56"/>
      <c r="G48" s="56">
        <v>0</v>
      </c>
      <c r="H48" s="56"/>
      <c r="I48" s="56">
        <v>0</v>
      </c>
      <c r="J48" s="56"/>
      <c r="K48" s="56">
        <v>0</v>
      </c>
      <c r="L48" s="56"/>
      <c r="M48" s="56">
        <v>0</v>
      </c>
      <c r="N48" s="56"/>
      <c r="O48" s="56">
        <f t="shared" si="2"/>
        <v>0</v>
      </c>
      <c r="P48" s="56"/>
      <c r="Q48" s="54">
        <f t="shared" si="3"/>
        <v>0</v>
      </c>
    </row>
    <row r="49" spans="1:17" ht="12.75">
      <c r="A49" s="30" t="s">
        <v>46</v>
      </c>
      <c r="B49" s="30"/>
      <c r="C49" s="56">
        <f>165851+112500</f>
        <v>278351</v>
      </c>
      <c r="D49" s="56"/>
      <c r="E49" s="56">
        <v>6869073</v>
      </c>
      <c r="F49" s="56"/>
      <c r="G49" s="56">
        <v>3383235</v>
      </c>
      <c r="H49" s="56"/>
      <c r="I49" s="56">
        <v>3927028</v>
      </c>
      <c r="J49" s="56"/>
      <c r="K49" s="56">
        <f>57713+558597</f>
        <v>616310</v>
      </c>
      <c r="L49" s="56"/>
      <c r="M49" s="56">
        <f>43744+2281991</f>
        <v>2325735</v>
      </c>
      <c r="N49" s="56"/>
      <c r="O49" s="56">
        <f t="shared" si="2"/>
        <v>2942045</v>
      </c>
      <c r="P49" s="56"/>
      <c r="Q49" s="54">
        <f t="shared" si="3"/>
        <v>0</v>
      </c>
    </row>
    <row r="50" spans="1:17" ht="12.75">
      <c r="A50" s="30" t="s">
        <v>47</v>
      </c>
      <c r="B50" s="30"/>
      <c r="C50" s="56">
        <f>1449734+16538</f>
        <v>1466272</v>
      </c>
      <c r="D50" s="56"/>
      <c r="E50" s="56">
        <v>7754233</v>
      </c>
      <c r="F50" s="56"/>
      <c r="G50" s="56">
        <v>4546998</v>
      </c>
      <c r="H50" s="56"/>
      <c r="I50" s="56">
        <v>5459059</v>
      </c>
      <c r="J50" s="56"/>
      <c r="K50" s="56">
        <f>333872+3237+223576+34012</f>
        <v>594697</v>
      </c>
      <c r="L50" s="56"/>
      <c r="M50" s="56">
        <v>1700477</v>
      </c>
      <c r="N50" s="56"/>
      <c r="O50" s="56">
        <f t="shared" si="2"/>
        <v>2295174</v>
      </c>
      <c r="P50" s="56"/>
      <c r="Q50" s="54">
        <f t="shared" si="3"/>
        <v>0</v>
      </c>
    </row>
    <row r="51" spans="1:17" ht="12.75">
      <c r="A51" s="30" t="s">
        <v>48</v>
      </c>
      <c r="B51" s="30"/>
      <c r="C51" s="56">
        <v>20644013</v>
      </c>
      <c r="D51" s="56"/>
      <c r="E51" s="56">
        <v>39773383</v>
      </c>
      <c r="F51" s="56"/>
      <c r="G51" s="56">
        <v>12493696</v>
      </c>
      <c r="H51" s="56"/>
      <c r="I51" s="56">
        <v>14762142</v>
      </c>
      <c r="J51" s="56"/>
      <c r="K51" s="56">
        <f>1282680+205161+3868175+1722552</f>
        <v>7078568</v>
      </c>
      <c r="L51" s="56"/>
      <c r="M51" s="56">
        <f>242725+17689948</f>
        <v>17932673</v>
      </c>
      <c r="N51" s="56"/>
      <c r="O51" s="56">
        <f t="shared" si="2"/>
        <v>25011241</v>
      </c>
      <c r="P51" s="56"/>
      <c r="Q51" s="54">
        <f t="shared" si="3"/>
        <v>0</v>
      </c>
    </row>
    <row r="52" spans="1:17" ht="12.75" hidden="1">
      <c r="A52" s="30" t="s">
        <v>234</v>
      </c>
      <c r="B52" s="30"/>
      <c r="C52" s="56">
        <v>0</v>
      </c>
      <c r="D52" s="56"/>
      <c r="E52" s="56">
        <v>0</v>
      </c>
      <c r="F52" s="56"/>
      <c r="G52" s="56">
        <v>0</v>
      </c>
      <c r="H52" s="56"/>
      <c r="I52" s="56">
        <v>0</v>
      </c>
      <c r="J52" s="56"/>
      <c r="K52" s="56">
        <v>0</v>
      </c>
      <c r="L52" s="56"/>
      <c r="M52" s="56">
        <v>0</v>
      </c>
      <c r="N52" s="56"/>
      <c r="O52" s="56">
        <f t="shared" si="2"/>
        <v>0</v>
      </c>
      <c r="P52" s="56"/>
      <c r="Q52" s="54">
        <f t="shared" si="3"/>
        <v>0</v>
      </c>
    </row>
    <row r="53" spans="1:17" ht="12.75">
      <c r="A53" s="30" t="s">
        <v>49</v>
      </c>
      <c r="B53" s="30"/>
      <c r="C53" s="56">
        <v>3249344</v>
      </c>
      <c r="D53" s="56"/>
      <c r="E53" s="56">
        <v>18363258</v>
      </c>
      <c r="F53" s="56"/>
      <c r="G53" s="56">
        <v>8530465</v>
      </c>
      <c r="H53" s="56"/>
      <c r="I53" s="56">
        <v>10667197</v>
      </c>
      <c r="J53" s="56"/>
      <c r="K53" s="56">
        <f>510052+154549+96124</f>
        <v>760725</v>
      </c>
      <c r="L53" s="56"/>
      <c r="M53" s="56">
        <v>6935336</v>
      </c>
      <c r="N53" s="56"/>
      <c r="O53" s="56">
        <f t="shared" si="2"/>
        <v>7696061</v>
      </c>
      <c r="P53" s="56"/>
      <c r="Q53" s="54">
        <f t="shared" si="3"/>
        <v>0</v>
      </c>
    </row>
    <row r="54" spans="1:17" ht="12.75">
      <c r="A54" s="30" t="s">
        <v>50</v>
      </c>
      <c r="B54" s="30"/>
      <c r="C54" s="56">
        <v>1971755</v>
      </c>
      <c r="D54" s="56"/>
      <c r="E54" s="56">
        <v>6916852</v>
      </c>
      <c r="F54" s="56"/>
      <c r="G54" s="56">
        <v>3455991</v>
      </c>
      <c r="H54" s="56"/>
      <c r="I54" s="56">
        <v>4094713</v>
      </c>
      <c r="J54" s="56"/>
      <c r="K54" s="56">
        <f>299581+39883+153392</f>
        <v>492856</v>
      </c>
      <c r="L54" s="56"/>
      <c r="M54" s="56">
        <v>2329283</v>
      </c>
      <c r="N54" s="56"/>
      <c r="O54" s="56">
        <f t="shared" si="2"/>
        <v>2822139</v>
      </c>
      <c r="P54" s="56"/>
      <c r="Q54" s="54">
        <f t="shared" si="3"/>
        <v>0</v>
      </c>
    </row>
    <row r="55" spans="1:17" ht="12.75">
      <c r="A55" s="30" t="s">
        <v>51</v>
      </c>
      <c r="B55" s="30"/>
      <c r="C55" s="56">
        <v>20501722</v>
      </c>
      <c r="D55" s="56"/>
      <c r="E55" s="56">
        <v>52559854</v>
      </c>
      <c r="F55" s="56"/>
      <c r="G55" s="56">
        <v>10539615</v>
      </c>
      <c r="H55" s="56"/>
      <c r="I55" s="56">
        <v>14489884</v>
      </c>
      <c r="J55" s="56"/>
      <c r="K55" s="56">
        <f>2486533+206923+12944978</f>
        <v>15638434</v>
      </c>
      <c r="L55" s="56"/>
      <c r="M55" s="56">
        <v>22431536</v>
      </c>
      <c r="N55" s="56"/>
      <c r="O55" s="56">
        <f t="shared" si="2"/>
        <v>38069970</v>
      </c>
      <c r="P55" s="56"/>
      <c r="Q55" s="54">
        <f t="shared" si="3"/>
        <v>0</v>
      </c>
    </row>
    <row r="56" spans="1:17" ht="12.75">
      <c r="A56" s="30" t="s">
        <v>190</v>
      </c>
      <c r="B56" s="30"/>
      <c r="C56" s="56">
        <v>4690000</v>
      </c>
      <c r="D56" s="56"/>
      <c r="E56" s="56">
        <v>72093000</v>
      </c>
      <c r="F56" s="56"/>
      <c r="G56" s="56">
        <v>28741000</v>
      </c>
      <c r="H56" s="56"/>
      <c r="I56" s="56">
        <v>33641000</v>
      </c>
      <c r="J56" s="56"/>
      <c r="K56" s="56">
        <v>1429000</v>
      </c>
      <c r="L56" s="56"/>
      <c r="M56" s="56">
        <v>37023000</v>
      </c>
      <c r="N56" s="56"/>
      <c r="O56" s="56">
        <f t="shared" si="2"/>
        <v>38452000</v>
      </c>
      <c r="P56" s="56"/>
      <c r="Q56" s="54">
        <f t="shared" si="3"/>
        <v>0</v>
      </c>
    </row>
    <row r="57" spans="1:17" ht="12.75" hidden="1">
      <c r="A57" s="30" t="s">
        <v>52</v>
      </c>
      <c r="B57" s="30"/>
      <c r="C57" s="56">
        <v>0</v>
      </c>
      <c r="D57" s="56"/>
      <c r="E57" s="56">
        <v>0</v>
      </c>
      <c r="F57" s="56"/>
      <c r="G57" s="56">
        <v>0</v>
      </c>
      <c r="H57" s="56"/>
      <c r="I57" s="56">
        <v>0</v>
      </c>
      <c r="J57" s="56"/>
      <c r="K57" s="56">
        <v>0</v>
      </c>
      <c r="L57" s="56"/>
      <c r="M57" s="56">
        <v>0</v>
      </c>
      <c r="N57" s="56"/>
      <c r="O57" s="56">
        <f t="shared" si="2"/>
        <v>0</v>
      </c>
      <c r="P57" s="56"/>
      <c r="Q57" s="54">
        <f t="shared" si="3"/>
        <v>0</v>
      </c>
    </row>
    <row r="58" spans="1:17" s="126" customFormat="1" ht="12.75" hidden="1">
      <c r="A58" s="153" t="s">
        <v>53</v>
      </c>
      <c r="B58" s="153"/>
      <c r="C58" s="161">
        <v>0</v>
      </c>
      <c r="D58" s="161"/>
      <c r="E58" s="161">
        <v>0</v>
      </c>
      <c r="F58" s="161"/>
      <c r="G58" s="161">
        <v>0</v>
      </c>
      <c r="H58" s="161"/>
      <c r="I58" s="161">
        <v>0</v>
      </c>
      <c r="J58" s="161"/>
      <c r="K58" s="161">
        <v>0</v>
      </c>
      <c r="L58" s="161"/>
      <c r="M58" s="161">
        <v>0</v>
      </c>
      <c r="N58" s="161"/>
      <c r="O58" s="161">
        <f t="shared" si="2"/>
        <v>0</v>
      </c>
      <c r="P58" s="161"/>
      <c r="Q58" s="133">
        <f t="shared" si="3"/>
        <v>0</v>
      </c>
    </row>
    <row r="59" spans="1:17" ht="12.75">
      <c r="A59" s="30" t="s">
        <v>54</v>
      </c>
      <c r="B59" s="30"/>
      <c r="C59" s="56">
        <v>5573876</v>
      </c>
      <c r="D59" s="56"/>
      <c r="E59" s="56">
        <v>10412597</v>
      </c>
      <c r="F59" s="56"/>
      <c r="G59" s="56">
        <v>3503761</v>
      </c>
      <c r="H59" s="56"/>
      <c r="I59" s="56">
        <v>3877429</v>
      </c>
      <c r="J59" s="56"/>
      <c r="K59" s="56">
        <f>203472+293971</f>
        <v>497443</v>
      </c>
      <c r="L59" s="56"/>
      <c r="M59" s="56">
        <v>6037725</v>
      </c>
      <c r="N59" s="56"/>
      <c r="O59" s="56">
        <f t="shared" si="2"/>
        <v>6535168</v>
      </c>
      <c r="P59" s="56"/>
      <c r="Q59" s="54">
        <f t="shared" si="3"/>
        <v>0</v>
      </c>
    </row>
    <row r="60" spans="1:17" ht="12.75">
      <c r="A60" s="79" t="s">
        <v>55</v>
      </c>
      <c r="B60" s="30"/>
      <c r="C60" s="56">
        <v>9680380</v>
      </c>
      <c r="D60" s="56"/>
      <c r="E60" s="56">
        <v>25750480</v>
      </c>
      <c r="F60" s="56"/>
      <c r="G60" s="56">
        <v>11117958</v>
      </c>
      <c r="H60" s="56"/>
      <c r="I60" s="56">
        <v>13184824</v>
      </c>
      <c r="J60" s="56"/>
      <c r="K60" s="56">
        <f>567922+115397</f>
        <v>683319</v>
      </c>
      <c r="L60" s="56"/>
      <c r="M60" s="56">
        <v>11882337</v>
      </c>
      <c r="N60" s="56"/>
      <c r="O60" s="56">
        <f t="shared" si="2"/>
        <v>12565656</v>
      </c>
      <c r="P60" s="56"/>
      <c r="Q60" s="54">
        <f t="shared" si="3"/>
        <v>0</v>
      </c>
    </row>
    <row r="61" spans="1:17" ht="12.75" hidden="1">
      <c r="A61" s="30" t="s">
        <v>175</v>
      </c>
      <c r="B61" s="30"/>
      <c r="C61" s="56">
        <v>0</v>
      </c>
      <c r="D61" s="56"/>
      <c r="E61" s="56">
        <v>0</v>
      </c>
      <c r="F61" s="56"/>
      <c r="G61" s="56">
        <v>0</v>
      </c>
      <c r="H61" s="56"/>
      <c r="I61" s="56">
        <v>0</v>
      </c>
      <c r="J61" s="56"/>
      <c r="K61" s="56">
        <v>0</v>
      </c>
      <c r="L61" s="56"/>
      <c r="M61" s="56">
        <v>0</v>
      </c>
      <c r="N61" s="56"/>
      <c r="O61" s="56">
        <f t="shared" si="2"/>
        <v>0</v>
      </c>
      <c r="P61" s="56"/>
      <c r="Q61" s="54">
        <f t="shared" si="3"/>
        <v>0</v>
      </c>
    </row>
    <row r="62" spans="1:17" ht="12.75" hidden="1">
      <c r="A62" s="30" t="s">
        <v>56</v>
      </c>
      <c r="B62" s="30"/>
      <c r="C62" s="56">
        <v>0</v>
      </c>
      <c r="D62" s="56"/>
      <c r="E62" s="56">
        <v>0</v>
      </c>
      <c r="F62" s="56"/>
      <c r="G62" s="56">
        <v>0</v>
      </c>
      <c r="H62" s="56"/>
      <c r="I62" s="56">
        <v>0</v>
      </c>
      <c r="J62" s="56"/>
      <c r="K62" s="56">
        <v>0</v>
      </c>
      <c r="L62" s="56"/>
      <c r="M62" s="56">
        <v>0</v>
      </c>
      <c r="N62" s="56"/>
      <c r="O62" s="56">
        <f t="shared" si="2"/>
        <v>0</v>
      </c>
      <c r="P62" s="56"/>
      <c r="Q62" s="54">
        <f t="shared" si="3"/>
        <v>0</v>
      </c>
    </row>
    <row r="63" spans="1:17" ht="12.75">
      <c r="A63" s="30" t="s">
        <v>57</v>
      </c>
      <c r="B63" s="30"/>
      <c r="C63" s="56">
        <v>962623</v>
      </c>
      <c r="D63" s="56"/>
      <c r="E63" s="56">
        <v>23366693</v>
      </c>
      <c r="F63" s="56"/>
      <c r="G63" s="56">
        <v>6321304</v>
      </c>
      <c r="H63" s="56"/>
      <c r="I63" s="56">
        <v>7375663</v>
      </c>
      <c r="J63" s="56"/>
      <c r="K63" s="56">
        <f>685679+131475+55468</f>
        <v>872622</v>
      </c>
      <c r="L63" s="56"/>
      <c r="M63" s="56">
        <v>15118408</v>
      </c>
      <c r="N63" s="56"/>
      <c r="O63" s="56">
        <f t="shared" si="2"/>
        <v>15991030</v>
      </c>
      <c r="P63" s="56"/>
      <c r="Q63" s="54">
        <f t="shared" si="3"/>
        <v>0</v>
      </c>
    </row>
    <row r="64" spans="1:17" ht="12.75">
      <c r="A64" s="30" t="s">
        <v>58</v>
      </c>
      <c r="B64" s="30"/>
      <c r="C64" s="56">
        <v>219122</v>
      </c>
      <c r="D64" s="56"/>
      <c r="E64" s="56">
        <v>1483621</v>
      </c>
      <c r="F64" s="56"/>
      <c r="G64" s="56">
        <v>934544</v>
      </c>
      <c r="H64" s="56"/>
      <c r="I64" s="56">
        <v>1127924</v>
      </c>
      <c r="J64" s="56"/>
      <c r="K64" s="56">
        <v>4001</v>
      </c>
      <c r="L64" s="56"/>
      <c r="M64" s="56">
        <v>351696</v>
      </c>
      <c r="N64" s="56"/>
      <c r="O64" s="56">
        <f t="shared" si="2"/>
        <v>355697</v>
      </c>
      <c r="P64" s="56"/>
      <c r="Q64" s="54">
        <f t="shared" si="3"/>
        <v>0</v>
      </c>
    </row>
    <row r="65" spans="1:17" ht="12.75">
      <c r="A65" s="30" t="s">
        <v>59</v>
      </c>
      <c r="B65" s="30"/>
      <c r="C65" s="56">
        <f>30947135+1521127</f>
        <v>32468262</v>
      </c>
      <c r="D65" s="56"/>
      <c r="E65" s="56">
        <v>88206917</v>
      </c>
      <c r="F65" s="56"/>
      <c r="G65" s="56">
        <v>38837140</v>
      </c>
      <c r="H65" s="56"/>
      <c r="I65" s="56">
        <v>48045353</v>
      </c>
      <c r="J65" s="56"/>
      <c r="K65" s="56">
        <v>411819</v>
      </c>
      <c r="L65" s="56"/>
      <c r="M65" s="56">
        <v>39749745</v>
      </c>
      <c r="N65" s="56"/>
      <c r="O65" s="56">
        <f t="shared" si="2"/>
        <v>40161564</v>
      </c>
      <c r="P65" s="56"/>
      <c r="Q65" s="54">
        <f t="shared" si="3"/>
        <v>0</v>
      </c>
    </row>
    <row r="66" spans="1:17" ht="12.75" hidden="1">
      <c r="A66" s="30" t="s">
        <v>60</v>
      </c>
      <c r="B66" s="30"/>
      <c r="C66" s="56">
        <v>0</v>
      </c>
      <c r="D66" s="56"/>
      <c r="E66" s="56">
        <v>0</v>
      </c>
      <c r="F66" s="56"/>
      <c r="G66" s="56">
        <v>0</v>
      </c>
      <c r="H66" s="56"/>
      <c r="I66" s="56">
        <v>0</v>
      </c>
      <c r="J66" s="56"/>
      <c r="K66" s="56">
        <v>0</v>
      </c>
      <c r="L66" s="56"/>
      <c r="M66" s="56">
        <v>0</v>
      </c>
      <c r="N66" s="56"/>
      <c r="O66" s="56">
        <f t="shared" si="2"/>
        <v>0</v>
      </c>
      <c r="P66" s="56"/>
      <c r="Q66" s="54">
        <f t="shared" si="3"/>
        <v>0</v>
      </c>
    </row>
    <row r="67" spans="1:17" ht="12.75">
      <c r="A67" s="30" t="s">
        <v>97</v>
      </c>
      <c r="B67" s="30"/>
      <c r="C67" s="56">
        <v>1138022</v>
      </c>
      <c r="D67" s="56"/>
      <c r="E67" s="56">
        <v>4523408</v>
      </c>
      <c r="F67" s="56"/>
      <c r="G67" s="56">
        <v>2372561</v>
      </c>
      <c r="H67" s="56"/>
      <c r="I67" s="56">
        <v>2895835</v>
      </c>
      <c r="J67" s="56"/>
      <c r="K67" s="56">
        <f>241794+19099+85699+48040</f>
        <v>394632</v>
      </c>
      <c r="L67" s="56"/>
      <c r="M67" s="56">
        <v>1232941</v>
      </c>
      <c r="N67" s="56"/>
      <c r="O67" s="56">
        <f t="shared" si="2"/>
        <v>1627573</v>
      </c>
      <c r="P67" s="56"/>
      <c r="Q67" s="54">
        <f t="shared" si="3"/>
        <v>0</v>
      </c>
    </row>
    <row r="68" spans="1:17" ht="12.75">
      <c r="A68" s="30" t="s">
        <v>61</v>
      </c>
      <c r="B68" s="30"/>
      <c r="C68" s="56">
        <v>8633519</v>
      </c>
      <c r="D68" s="56"/>
      <c r="E68" s="56">
        <v>16929303</v>
      </c>
      <c r="F68" s="56"/>
      <c r="G68" s="56">
        <v>5228630</v>
      </c>
      <c r="H68" s="56"/>
      <c r="I68" s="56">
        <v>5971874</v>
      </c>
      <c r="J68" s="56"/>
      <c r="K68" s="56">
        <v>344616</v>
      </c>
      <c r="L68" s="56"/>
      <c r="M68" s="56">
        <v>10612813</v>
      </c>
      <c r="N68" s="56"/>
      <c r="O68" s="56">
        <f t="shared" si="2"/>
        <v>10957429</v>
      </c>
      <c r="P68" s="56"/>
      <c r="Q68" s="54">
        <f t="shared" si="3"/>
        <v>0</v>
      </c>
    </row>
    <row r="69" spans="1:17" ht="12.75">
      <c r="A69" s="30" t="s">
        <v>62</v>
      </c>
      <c r="B69" s="30"/>
      <c r="C69" s="56">
        <v>419028</v>
      </c>
      <c r="D69" s="56"/>
      <c r="E69" s="56">
        <v>1513674</v>
      </c>
      <c r="F69" s="56"/>
      <c r="G69" s="56">
        <v>802914</v>
      </c>
      <c r="H69" s="56"/>
      <c r="I69" s="56">
        <v>928243</v>
      </c>
      <c r="J69" s="56"/>
      <c r="K69" s="56">
        <f>18137+18441</f>
        <v>36578</v>
      </c>
      <c r="L69" s="56"/>
      <c r="M69" s="56">
        <v>548853</v>
      </c>
      <c r="N69" s="56"/>
      <c r="O69" s="56">
        <f t="shared" si="2"/>
        <v>585431</v>
      </c>
      <c r="P69" s="56"/>
      <c r="Q69" s="54">
        <f t="shared" si="3"/>
        <v>0</v>
      </c>
    </row>
    <row r="70" spans="1:17" ht="12.75">
      <c r="A70" s="30" t="s">
        <v>63</v>
      </c>
      <c r="B70" s="30"/>
      <c r="C70" s="56">
        <f>1192905+41163</f>
        <v>1234068</v>
      </c>
      <c r="D70" s="56"/>
      <c r="E70" s="56">
        <v>8261922</v>
      </c>
      <c r="F70" s="56"/>
      <c r="G70" s="56">
        <v>4862191</v>
      </c>
      <c r="H70" s="56"/>
      <c r="I70" s="56">
        <v>4862191</v>
      </c>
      <c r="J70" s="56"/>
      <c r="K70" s="56">
        <f>208142+80398+506600</f>
        <v>795140</v>
      </c>
      <c r="L70" s="56"/>
      <c r="M70" s="56">
        <v>2604591</v>
      </c>
      <c r="N70" s="56"/>
      <c r="O70" s="56">
        <f t="shared" si="2"/>
        <v>3399731</v>
      </c>
      <c r="P70" s="56"/>
      <c r="Q70" s="54">
        <f t="shared" si="3"/>
        <v>0</v>
      </c>
    </row>
    <row r="71" spans="1:17" ht="12.75" hidden="1">
      <c r="A71" s="30" t="s">
        <v>132</v>
      </c>
      <c r="B71" s="30"/>
      <c r="C71" s="56">
        <v>0</v>
      </c>
      <c r="D71" s="56"/>
      <c r="E71" s="56">
        <v>0</v>
      </c>
      <c r="F71" s="56"/>
      <c r="G71" s="56">
        <v>0</v>
      </c>
      <c r="H71" s="56"/>
      <c r="I71" s="56">
        <v>0</v>
      </c>
      <c r="J71" s="56"/>
      <c r="K71" s="56">
        <v>0</v>
      </c>
      <c r="L71" s="56"/>
      <c r="M71" s="56">
        <v>0</v>
      </c>
      <c r="N71" s="56"/>
      <c r="O71" s="56">
        <f t="shared" si="2"/>
        <v>0</v>
      </c>
      <c r="P71" s="56"/>
      <c r="Q71" s="54">
        <f t="shared" si="3"/>
        <v>0</v>
      </c>
    </row>
    <row r="72" spans="1:17" ht="12.75" hidden="1">
      <c r="A72" s="30" t="s">
        <v>64</v>
      </c>
      <c r="B72" s="30"/>
      <c r="C72" s="56">
        <v>0</v>
      </c>
      <c r="D72" s="56"/>
      <c r="E72" s="56">
        <v>0</v>
      </c>
      <c r="F72" s="56"/>
      <c r="G72" s="56">
        <v>0</v>
      </c>
      <c r="H72" s="56"/>
      <c r="I72" s="56">
        <v>0</v>
      </c>
      <c r="J72" s="56"/>
      <c r="K72" s="56">
        <v>0</v>
      </c>
      <c r="L72" s="56"/>
      <c r="M72" s="56">
        <v>0</v>
      </c>
      <c r="N72" s="56"/>
      <c r="O72" s="56">
        <f t="shared" si="2"/>
        <v>0</v>
      </c>
      <c r="P72" s="56"/>
      <c r="Q72" s="54">
        <f t="shared" si="3"/>
        <v>0</v>
      </c>
    </row>
    <row r="73" spans="1:17" ht="12.75">
      <c r="A73" s="30"/>
      <c r="B73" s="30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 t="s">
        <v>242</v>
      </c>
      <c r="P73" s="56"/>
      <c r="Q73" s="54"/>
    </row>
    <row r="74" spans="1:17" ht="12.75">
      <c r="A74" s="30" t="s">
        <v>65</v>
      </c>
      <c r="B74" s="30"/>
      <c r="C74" s="144">
        <f>2307169+42090</f>
        <v>2349259</v>
      </c>
      <c r="D74" s="144"/>
      <c r="E74" s="144">
        <v>7035979</v>
      </c>
      <c r="F74" s="144"/>
      <c r="G74" s="144">
        <v>3435692</v>
      </c>
      <c r="H74" s="144"/>
      <c r="I74" s="144">
        <v>4533205</v>
      </c>
      <c r="J74" s="144"/>
      <c r="K74" s="144">
        <v>0</v>
      </c>
      <c r="L74" s="144"/>
      <c r="M74" s="144">
        <v>2502774</v>
      </c>
      <c r="N74" s="144"/>
      <c r="O74" s="144">
        <f t="shared" si="2"/>
        <v>2502774</v>
      </c>
      <c r="P74" s="56"/>
      <c r="Q74" s="54">
        <f t="shared" si="3"/>
        <v>0</v>
      </c>
    </row>
    <row r="75" spans="1:17" ht="12.75">
      <c r="A75" s="30" t="s">
        <v>66</v>
      </c>
      <c r="B75" s="30"/>
      <c r="C75" s="56">
        <f>1514448+25107</f>
        <v>1539555</v>
      </c>
      <c r="D75" s="56"/>
      <c r="E75" s="56">
        <v>3704827</v>
      </c>
      <c r="F75" s="56"/>
      <c r="G75" s="56">
        <v>1446680</v>
      </c>
      <c r="H75" s="56"/>
      <c r="I75" s="56">
        <v>1729955</v>
      </c>
      <c r="J75" s="56"/>
      <c r="K75" s="56">
        <v>92440</v>
      </c>
      <c r="L75" s="56"/>
      <c r="M75" s="56">
        <v>1882432</v>
      </c>
      <c r="N75" s="56"/>
      <c r="O75" s="56">
        <f t="shared" si="2"/>
        <v>1974872</v>
      </c>
      <c r="P75" s="56"/>
      <c r="Q75" s="54">
        <f t="shared" si="3"/>
        <v>0</v>
      </c>
    </row>
    <row r="76" spans="1:17" ht="12.75">
      <c r="A76" s="30" t="s">
        <v>67</v>
      </c>
      <c r="B76" s="30"/>
      <c r="C76" s="56">
        <f>5324191+98354</f>
        <v>5422545</v>
      </c>
      <c r="D76" s="56"/>
      <c r="E76" s="56">
        <v>19993179</v>
      </c>
      <c r="F76" s="56"/>
      <c r="G76" s="56">
        <v>6686480</v>
      </c>
      <c r="H76" s="56"/>
      <c r="I76" s="56">
        <v>8482740</v>
      </c>
      <c r="J76" s="56"/>
      <c r="K76" s="56">
        <f>167690+419000+370561+343898</f>
        <v>1301149</v>
      </c>
      <c r="L76" s="56"/>
      <c r="M76" s="56">
        <v>10209290</v>
      </c>
      <c r="N76" s="56"/>
      <c r="O76" s="56">
        <f aca="true" t="shared" si="4" ref="O76:O96">+M76+K76</f>
        <v>11510439</v>
      </c>
      <c r="P76" s="56"/>
      <c r="Q76" s="54">
        <f aca="true" t="shared" si="5" ref="Q76:Q96">+E76-I76-O76</f>
        <v>0</v>
      </c>
    </row>
    <row r="77" spans="1:17" ht="12.75">
      <c r="A77" s="30" t="s">
        <v>68</v>
      </c>
      <c r="B77" s="30"/>
      <c r="C77" s="56">
        <f>1129379+6101</f>
        <v>1135480</v>
      </c>
      <c r="D77" s="56"/>
      <c r="E77" s="56">
        <v>5134105</v>
      </c>
      <c r="F77" s="56"/>
      <c r="G77" s="56">
        <v>2353408</v>
      </c>
      <c r="H77" s="56"/>
      <c r="I77" s="56">
        <v>3026661</v>
      </c>
      <c r="J77" s="56"/>
      <c r="K77" s="56">
        <v>129866</v>
      </c>
      <c r="L77" s="56"/>
      <c r="M77" s="56">
        <v>1977578</v>
      </c>
      <c r="N77" s="56"/>
      <c r="O77" s="56">
        <f t="shared" si="4"/>
        <v>2107444</v>
      </c>
      <c r="P77" s="56"/>
      <c r="Q77" s="54">
        <f t="shared" si="5"/>
        <v>0</v>
      </c>
    </row>
    <row r="78" spans="1:17" ht="12.75" hidden="1">
      <c r="A78" s="30" t="s">
        <v>180</v>
      </c>
      <c r="B78" s="30"/>
      <c r="C78" s="56">
        <v>0</v>
      </c>
      <c r="D78" s="56"/>
      <c r="E78" s="56">
        <v>0</v>
      </c>
      <c r="F78" s="56"/>
      <c r="G78" s="56">
        <v>0</v>
      </c>
      <c r="H78" s="56"/>
      <c r="I78" s="56">
        <v>0</v>
      </c>
      <c r="J78" s="56"/>
      <c r="K78" s="56">
        <v>0</v>
      </c>
      <c r="L78" s="56"/>
      <c r="M78" s="56">
        <v>0</v>
      </c>
      <c r="N78" s="56"/>
      <c r="O78" s="56">
        <f t="shared" si="4"/>
        <v>0</v>
      </c>
      <c r="P78" s="56"/>
      <c r="Q78" s="54">
        <f t="shared" si="5"/>
        <v>0</v>
      </c>
    </row>
    <row r="79" spans="1:17" ht="12.75">
      <c r="A79" s="30" t="s">
        <v>185</v>
      </c>
      <c r="B79" s="30"/>
      <c r="C79" s="56">
        <f>2209154+20719</f>
        <v>2229873</v>
      </c>
      <c r="D79" s="56"/>
      <c r="E79" s="56">
        <v>11610847</v>
      </c>
      <c r="F79" s="56"/>
      <c r="G79" s="56">
        <v>8768869</v>
      </c>
      <c r="H79" s="56"/>
      <c r="I79" s="56">
        <v>10359238</v>
      </c>
      <c r="J79" s="56"/>
      <c r="K79" s="56">
        <f>68380+383697</f>
        <v>452077</v>
      </c>
      <c r="L79" s="56"/>
      <c r="M79" s="56">
        <v>799532</v>
      </c>
      <c r="N79" s="56"/>
      <c r="O79" s="56">
        <f t="shared" si="4"/>
        <v>1251609</v>
      </c>
      <c r="P79" s="56"/>
      <c r="Q79" s="54">
        <f t="shared" si="5"/>
        <v>0</v>
      </c>
    </row>
    <row r="80" spans="1:17" ht="12.75">
      <c r="A80" s="30" t="s">
        <v>69</v>
      </c>
      <c r="B80" s="30"/>
      <c r="C80" s="56">
        <f>1232138+141864</f>
        <v>1374002</v>
      </c>
      <c r="D80" s="56"/>
      <c r="E80" s="56">
        <v>7148255</v>
      </c>
      <c r="F80" s="56"/>
      <c r="G80" s="56">
        <v>1936130</v>
      </c>
      <c r="H80" s="56"/>
      <c r="I80" s="56">
        <v>3442316</v>
      </c>
      <c r="J80" s="56"/>
      <c r="K80" s="56">
        <f>157107+450000</f>
        <v>607107</v>
      </c>
      <c r="L80" s="56"/>
      <c r="M80" s="56">
        <v>3098832</v>
      </c>
      <c r="N80" s="56"/>
      <c r="O80" s="56">
        <f t="shared" si="4"/>
        <v>3705939</v>
      </c>
      <c r="P80" s="56"/>
      <c r="Q80" s="54">
        <f t="shared" si="5"/>
        <v>0</v>
      </c>
    </row>
    <row r="81" spans="1:17" ht="12.75">
      <c r="A81" s="30" t="s">
        <v>98</v>
      </c>
      <c r="B81" s="30"/>
      <c r="C81" s="56">
        <v>3288365</v>
      </c>
      <c r="D81" s="56"/>
      <c r="E81" s="56">
        <v>8930810</v>
      </c>
      <c r="F81" s="56"/>
      <c r="G81" s="56">
        <v>3710044</v>
      </c>
      <c r="H81" s="56"/>
      <c r="I81" s="56">
        <v>4778503</v>
      </c>
      <c r="J81" s="56"/>
      <c r="K81" s="56">
        <f>74000+161410+83987+66487</f>
        <v>385884</v>
      </c>
      <c r="L81" s="56"/>
      <c r="M81" s="56">
        <v>3766423</v>
      </c>
      <c r="N81" s="56"/>
      <c r="O81" s="56">
        <f t="shared" si="4"/>
        <v>4152307</v>
      </c>
      <c r="P81" s="56"/>
      <c r="Q81" s="54">
        <f t="shared" si="5"/>
        <v>0</v>
      </c>
    </row>
    <row r="82" spans="1:17" ht="12.75">
      <c r="A82" s="30" t="s">
        <v>70</v>
      </c>
      <c r="B82" s="30"/>
      <c r="C82" s="56">
        <f>266979+18150</f>
        <v>285129</v>
      </c>
      <c r="D82" s="56"/>
      <c r="E82" s="56">
        <v>4527191</v>
      </c>
      <c r="F82" s="56"/>
      <c r="G82" s="56">
        <v>2315095</v>
      </c>
      <c r="H82" s="56"/>
      <c r="I82" s="56">
        <v>3881359</v>
      </c>
      <c r="J82" s="56"/>
      <c r="K82" s="56">
        <f>103494+194822+24171</f>
        <v>322487</v>
      </c>
      <c r="L82" s="56"/>
      <c r="M82" s="56">
        <v>323345</v>
      </c>
      <c r="N82" s="56"/>
      <c r="O82" s="56">
        <f t="shared" si="4"/>
        <v>645832</v>
      </c>
      <c r="P82" s="56"/>
      <c r="Q82" s="54">
        <f t="shared" si="5"/>
        <v>0</v>
      </c>
    </row>
    <row r="83" spans="1:17" ht="12.75">
      <c r="A83" s="30" t="s">
        <v>71</v>
      </c>
      <c r="B83" s="30"/>
      <c r="C83" s="56">
        <v>1413556</v>
      </c>
      <c r="D83" s="56"/>
      <c r="E83" s="56">
        <v>5588119</v>
      </c>
      <c r="F83" s="56"/>
      <c r="G83" s="56">
        <v>2105445</v>
      </c>
      <c r="H83" s="56"/>
      <c r="I83" s="56">
        <v>2879212</v>
      </c>
      <c r="J83" s="56"/>
      <c r="K83" s="56">
        <f>231969+94411</f>
        <v>326380</v>
      </c>
      <c r="L83" s="56"/>
      <c r="M83" s="56">
        <v>2382527</v>
      </c>
      <c r="N83" s="56"/>
      <c r="O83" s="56">
        <f t="shared" si="4"/>
        <v>2708907</v>
      </c>
      <c r="P83" s="56"/>
      <c r="Q83" s="54">
        <f t="shared" si="5"/>
        <v>0</v>
      </c>
    </row>
    <row r="84" spans="1:17" ht="12.75">
      <c r="A84" s="30" t="s">
        <v>72</v>
      </c>
      <c r="B84" s="30"/>
      <c r="C84" s="56">
        <f>1350493+12999</f>
        <v>1363492</v>
      </c>
      <c r="D84" s="56"/>
      <c r="E84" s="56">
        <v>5914261</v>
      </c>
      <c r="F84" s="56"/>
      <c r="G84" s="56">
        <v>3309868</v>
      </c>
      <c r="H84" s="56"/>
      <c r="I84" s="56">
        <v>3791788</v>
      </c>
      <c r="J84" s="56"/>
      <c r="K84" s="56">
        <f>30884+13808+22500+29411</f>
        <v>96603</v>
      </c>
      <c r="L84" s="56"/>
      <c r="M84" s="56">
        <v>2025870</v>
      </c>
      <c r="N84" s="56"/>
      <c r="O84" s="56">
        <f t="shared" si="4"/>
        <v>2122473</v>
      </c>
      <c r="P84" s="56"/>
      <c r="Q84" s="54">
        <f t="shared" si="5"/>
        <v>0</v>
      </c>
    </row>
    <row r="85" spans="1:17" ht="12.75">
      <c r="A85" s="30" t="s">
        <v>73</v>
      </c>
      <c r="B85" s="30"/>
      <c r="C85" s="56">
        <f>10670732+616565+8347</f>
        <v>11295644</v>
      </c>
      <c r="D85" s="56"/>
      <c r="E85" s="56">
        <v>35349476</v>
      </c>
      <c r="F85" s="56"/>
      <c r="G85" s="56">
        <v>19548052</v>
      </c>
      <c r="H85" s="56"/>
      <c r="I85" s="56">
        <v>22189997</v>
      </c>
      <c r="J85" s="56"/>
      <c r="K85" s="56">
        <f>3327170+410227</f>
        <v>3737397</v>
      </c>
      <c r="L85" s="56"/>
      <c r="M85" s="56">
        <v>9422082</v>
      </c>
      <c r="N85" s="56"/>
      <c r="O85" s="56">
        <f t="shared" si="4"/>
        <v>13159479</v>
      </c>
      <c r="P85" s="56"/>
      <c r="Q85" s="54">
        <f t="shared" si="5"/>
        <v>0</v>
      </c>
    </row>
    <row r="86" spans="1:17" ht="12.75">
      <c r="A86" s="30" t="s">
        <v>74</v>
      </c>
      <c r="B86" s="30"/>
      <c r="C86" s="56">
        <f>64627024+373114</f>
        <v>65000138</v>
      </c>
      <c r="D86" s="56"/>
      <c r="E86" s="56">
        <v>108058044</v>
      </c>
      <c r="F86" s="56"/>
      <c r="G86" s="56">
        <v>31333007</v>
      </c>
      <c r="H86" s="56"/>
      <c r="I86" s="56">
        <v>35902731</v>
      </c>
      <c r="J86" s="56"/>
      <c r="K86" s="56">
        <f>7631475+118718</f>
        <v>7750193</v>
      </c>
      <c r="L86" s="56"/>
      <c r="M86" s="56">
        <v>64405120</v>
      </c>
      <c r="N86" s="56"/>
      <c r="O86" s="56">
        <f t="shared" si="4"/>
        <v>72155313</v>
      </c>
      <c r="P86" s="56"/>
      <c r="Q86" s="54">
        <f t="shared" si="5"/>
        <v>0</v>
      </c>
    </row>
    <row r="87" spans="1:17" ht="12.75">
      <c r="A87" s="30" t="s">
        <v>75</v>
      </c>
      <c r="B87" s="30"/>
      <c r="C87" s="56">
        <f>3188728+624007</f>
        <v>3812735</v>
      </c>
      <c r="D87" s="56"/>
      <c r="E87" s="56">
        <v>16483911</v>
      </c>
      <c r="F87" s="56"/>
      <c r="G87" s="56">
        <v>10091740</v>
      </c>
      <c r="H87" s="56"/>
      <c r="I87" s="56">
        <v>11871740</v>
      </c>
      <c r="J87" s="56"/>
      <c r="K87" s="56">
        <f>382172+771864</f>
        <v>1154036</v>
      </c>
      <c r="L87" s="56"/>
      <c r="M87" s="56">
        <v>3458135</v>
      </c>
      <c r="N87" s="56"/>
      <c r="O87" s="56">
        <f t="shared" si="4"/>
        <v>4612171</v>
      </c>
      <c r="P87" s="56"/>
      <c r="Q87" s="54">
        <f t="shared" si="5"/>
        <v>0</v>
      </c>
    </row>
    <row r="88" spans="1:17" ht="12.75">
      <c r="A88" s="30" t="s">
        <v>76</v>
      </c>
      <c r="B88" s="30"/>
      <c r="C88" s="56">
        <v>12485822</v>
      </c>
      <c r="D88" s="56"/>
      <c r="E88" s="56">
        <v>20475513</v>
      </c>
      <c r="F88" s="56"/>
      <c r="G88" s="56">
        <v>6411704</v>
      </c>
      <c r="H88" s="56"/>
      <c r="I88" s="56">
        <v>7089712</v>
      </c>
      <c r="J88" s="56"/>
      <c r="K88" s="56">
        <f>115710+61119</f>
        <v>176829</v>
      </c>
      <c r="L88" s="56"/>
      <c r="M88" s="56">
        <v>13208972</v>
      </c>
      <c r="N88" s="56"/>
      <c r="O88" s="56">
        <f t="shared" si="4"/>
        <v>13385801</v>
      </c>
      <c r="P88" s="56"/>
      <c r="Q88" s="54">
        <f t="shared" si="5"/>
        <v>0</v>
      </c>
    </row>
    <row r="89" spans="1:17" ht="12.75">
      <c r="A89" s="30" t="s">
        <v>77</v>
      </c>
      <c r="B89" s="30"/>
      <c r="C89" s="56">
        <f>4194933+162143</f>
        <v>4357076</v>
      </c>
      <c r="D89" s="56"/>
      <c r="E89" s="56">
        <v>11051245</v>
      </c>
      <c r="F89" s="56"/>
      <c r="G89" s="56">
        <v>5168201</v>
      </c>
      <c r="H89" s="56"/>
      <c r="I89" s="56">
        <v>5830041</v>
      </c>
      <c r="J89" s="56"/>
      <c r="K89" s="56">
        <f>327121+97854+135637+217189</f>
        <v>777801</v>
      </c>
      <c r="L89" s="56"/>
      <c r="M89" s="56">
        <v>4443403</v>
      </c>
      <c r="N89" s="56"/>
      <c r="O89" s="56">
        <f t="shared" si="4"/>
        <v>5221204</v>
      </c>
      <c r="P89" s="56"/>
      <c r="Q89" s="54">
        <f t="shared" si="5"/>
        <v>0</v>
      </c>
    </row>
    <row r="90" spans="1:17" ht="12.75">
      <c r="A90" s="30" t="s">
        <v>78</v>
      </c>
      <c r="B90" s="30"/>
      <c r="C90" s="56">
        <f>943818+17811</f>
        <v>961629</v>
      </c>
      <c r="D90" s="56"/>
      <c r="E90" s="56">
        <v>3489528</v>
      </c>
      <c r="F90" s="56"/>
      <c r="G90" s="56">
        <v>1916493</v>
      </c>
      <c r="H90" s="56"/>
      <c r="I90" s="56">
        <v>2173470</v>
      </c>
      <c r="J90" s="56"/>
      <c r="K90" s="56">
        <f>17855+21000+11104</f>
        <v>49959</v>
      </c>
      <c r="L90" s="56"/>
      <c r="M90" s="56">
        <v>1266099</v>
      </c>
      <c r="N90" s="56"/>
      <c r="O90" s="56">
        <f t="shared" si="4"/>
        <v>1316058</v>
      </c>
      <c r="P90" s="56"/>
      <c r="Q90" s="54">
        <f t="shared" si="5"/>
        <v>0</v>
      </c>
    </row>
    <row r="91" spans="1:17" ht="12.75">
      <c r="A91" s="30" t="s">
        <v>79</v>
      </c>
      <c r="B91" s="30"/>
      <c r="C91" s="56">
        <v>24313</v>
      </c>
      <c r="D91" s="56"/>
      <c r="E91" s="56">
        <v>1378405</v>
      </c>
      <c r="F91" s="56"/>
      <c r="G91" s="56">
        <v>1185908</v>
      </c>
      <c r="H91" s="56"/>
      <c r="I91" s="56">
        <v>1276798</v>
      </c>
      <c r="J91" s="56"/>
      <c r="K91" s="56">
        <v>16602</v>
      </c>
      <c r="L91" s="56"/>
      <c r="M91" s="56">
        <v>85005</v>
      </c>
      <c r="N91" s="56"/>
      <c r="O91" s="56">
        <f t="shared" si="4"/>
        <v>101607</v>
      </c>
      <c r="P91" s="56"/>
      <c r="Q91" s="54">
        <f t="shared" si="5"/>
        <v>0</v>
      </c>
    </row>
    <row r="92" spans="1:17" ht="12.75">
      <c r="A92" s="30" t="s">
        <v>80</v>
      </c>
      <c r="B92" s="30"/>
      <c r="C92" s="56">
        <v>17019007</v>
      </c>
      <c r="D92" s="56"/>
      <c r="E92" s="56">
        <v>32074321</v>
      </c>
      <c r="F92" s="56"/>
      <c r="G92" s="56">
        <v>9123789</v>
      </c>
      <c r="H92" s="56"/>
      <c r="I92" s="56">
        <v>11034463</v>
      </c>
      <c r="J92" s="56"/>
      <c r="K92" s="56">
        <f>1693977+175697+9919+52075</f>
        <v>1931668</v>
      </c>
      <c r="L92" s="56"/>
      <c r="M92" s="56">
        <v>19108190</v>
      </c>
      <c r="N92" s="56"/>
      <c r="O92" s="56">
        <f t="shared" si="4"/>
        <v>21039858</v>
      </c>
      <c r="P92" s="56"/>
      <c r="Q92" s="54">
        <f t="shared" si="5"/>
        <v>0</v>
      </c>
    </row>
    <row r="93" spans="1:17" ht="12.75">
      <c r="A93" s="30" t="s">
        <v>81</v>
      </c>
      <c r="B93" s="30"/>
      <c r="C93" s="56">
        <f>5770093+24784</f>
        <v>5794877</v>
      </c>
      <c r="D93" s="56"/>
      <c r="E93" s="56">
        <v>10819723</v>
      </c>
      <c r="F93" s="56"/>
      <c r="G93" s="56">
        <v>3016994</v>
      </c>
      <c r="H93" s="56"/>
      <c r="I93" s="56">
        <v>3956846</v>
      </c>
      <c r="J93" s="56"/>
      <c r="K93" s="56">
        <f>799174+127050</f>
        <v>926224</v>
      </c>
      <c r="L93" s="56"/>
      <c r="M93" s="56">
        <v>5936653</v>
      </c>
      <c r="N93" s="56"/>
      <c r="O93" s="56">
        <f t="shared" si="4"/>
        <v>6862877</v>
      </c>
      <c r="P93" s="56"/>
      <c r="Q93" s="54">
        <f t="shared" si="5"/>
        <v>0</v>
      </c>
    </row>
    <row r="94" spans="1:17" ht="12.75">
      <c r="A94" s="30" t="s">
        <v>82</v>
      </c>
      <c r="B94" s="30"/>
      <c r="C94" s="56">
        <f>6251590+36595</f>
        <v>6288185</v>
      </c>
      <c r="D94" s="56"/>
      <c r="E94" s="56">
        <v>14093916</v>
      </c>
      <c r="F94" s="56"/>
      <c r="G94" s="56">
        <v>4634431</v>
      </c>
      <c r="H94" s="56"/>
      <c r="I94" s="56">
        <v>6184454</v>
      </c>
      <c r="J94" s="56"/>
      <c r="K94" s="56">
        <f>1655411+135417+305162</f>
        <v>2095990</v>
      </c>
      <c r="L94" s="56"/>
      <c r="M94" s="56">
        <f>400000+5413472</f>
        <v>5813472</v>
      </c>
      <c r="N94" s="56"/>
      <c r="O94" s="56">
        <f t="shared" si="4"/>
        <v>7909462</v>
      </c>
      <c r="P94" s="56"/>
      <c r="Q94" s="54">
        <f t="shared" si="5"/>
        <v>0</v>
      </c>
    </row>
    <row r="95" spans="1:17" ht="12.75" hidden="1">
      <c r="A95" s="30" t="s">
        <v>178</v>
      </c>
      <c r="B95" s="30"/>
      <c r="C95" s="56">
        <v>0</v>
      </c>
      <c r="D95" s="56"/>
      <c r="E95" s="56">
        <v>0</v>
      </c>
      <c r="F95" s="56"/>
      <c r="G95" s="56">
        <v>0</v>
      </c>
      <c r="H95" s="56"/>
      <c r="I95" s="56">
        <v>0</v>
      </c>
      <c r="J95" s="56"/>
      <c r="K95" s="56">
        <v>0</v>
      </c>
      <c r="L95" s="56"/>
      <c r="M95" s="56">
        <v>0</v>
      </c>
      <c r="N95" s="56"/>
      <c r="O95" s="56">
        <f t="shared" si="4"/>
        <v>0</v>
      </c>
      <c r="P95" s="56"/>
      <c r="Q95" s="54">
        <f t="shared" si="5"/>
        <v>0</v>
      </c>
    </row>
    <row r="96" spans="1:17" ht="12.75">
      <c r="A96" s="30" t="s">
        <v>83</v>
      </c>
      <c r="B96" s="30"/>
      <c r="C96" s="56">
        <f>6793024+67041</f>
        <v>6860065</v>
      </c>
      <c r="D96" s="56"/>
      <c r="E96" s="56">
        <v>19979077</v>
      </c>
      <c r="F96" s="56"/>
      <c r="G96" s="56">
        <v>9541561</v>
      </c>
      <c r="H96" s="56"/>
      <c r="I96" s="56">
        <v>11122825</v>
      </c>
      <c r="J96" s="56"/>
      <c r="K96" s="56">
        <f>1128531+90126+546979</f>
        <v>1765636</v>
      </c>
      <c r="L96" s="56"/>
      <c r="M96" s="56">
        <v>7090616</v>
      </c>
      <c r="N96" s="56"/>
      <c r="O96" s="56">
        <f t="shared" si="4"/>
        <v>8856252</v>
      </c>
      <c r="P96" s="56"/>
      <c r="Q96" s="54">
        <f t="shared" si="5"/>
        <v>0</v>
      </c>
    </row>
    <row r="97" spans="1:17" ht="12.75" hidden="1">
      <c r="A97" s="30" t="s">
        <v>179</v>
      </c>
      <c r="B97" s="30"/>
      <c r="C97" s="23">
        <v>0</v>
      </c>
      <c r="D97" s="23"/>
      <c r="E97" s="23">
        <v>0</v>
      </c>
      <c r="F97" s="23"/>
      <c r="G97" s="23">
        <v>0</v>
      </c>
      <c r="H97" s="23"/>
      <c r="I97" s="23">
        <v>0</v>
      </c>
      <c r="J97" s="23"/>
      <c r="K97" s="23">
        <v>0</v>
      </c>
      <c r="L97" s="23"/>
      <c r="M97" s="23">
        <v>0</v>
      </c>
      <c r="N97" s="23"/>
      <c r="O97" s="56">
        <f>+M97+K97</f>
        <v>0</v>
      </c>
      <c r="P97" s="23"/>
      <c r="Q97" s="54">
        <f>+E97-I97-O97</f>
        <v>0</v>
      </c>
    </row>
    <row r="98" spans="1:17" ht="12.75">
      <c r="A98" s="30"/>
      <c r="B98" s="30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54">
        <f>+E98-I98-O98</f>
        <v>0</v>
      </c>
    </row>
    <row r="99" spans="1:16" ht="12.75">
      <c r="A99" s="30"/>
      <c r="B99" s="30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0"/>
    </row>
  </sheetData>
  <printOptions/>
  <pageMargins left="1" right="1" top="0.5" bottom="0.5" header="0" footer="0.25"/>
  <pageSetup firstPageNumber="16" useFirstPageNumber="1" horizontalDpi="600" verticalDpi="600" orientation="portrait" pageOrder="overThenDown" scale="95" r:id="rId1"/>
  <headerFooter alignWithMargins="0">
    <oddFooter>&amp;C&amp;"Times New Roman,Regular"&amp;11&amp;P</oddFooter>
  </headerFooter>
  <rowBreaks count="1" manualBreakCount="1">
    <brk id="7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Q99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26" sqref="I26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" width="12.7109375" style="60" customWidth="1"/>
    <col min="4" max="4" width="1.7109375" style="60" customWidth="1"/>
    <col min="5" max="5" width="12.7109375" style="60" customWidth="1"/>
    <col min="6" max="6" width="1.7109375" style="60" customWidth="1"/>
    <col min="7" max="7" width="12.7109375" style="60" customWidth="1"/>
    <col min="8" max="8" width="1.7109375" style="60" customWidth="1"/>
    <col min="9" max="9" width="12.7109375" style="60" customWidth="1"/>
    <col min="10" max="10" width="1.7109375" style="60" customWidth="1"/>
    <col min="11" max="11" width="12.7109375" style="60" customWidth="1"/>
    <col min="12" max="12" width="1.7109375" style="60" customWidth="1"/>
    <col min="13" max="13" width="12.7109375" style="60" customWidth="1"/>
    <col min="14" max="14" width="1.7109375" style="60" customWidth="1"/>
    <col min="15" max="15" width="12.7109375" style="60" customWidth="1"/>
    <col min="16" max="16" width="9.28125" style="0" bestFit="1" customWidth="1"/>
    <col min="17" max="17" width="17.7109375" style="0" bestFit="1" customWidth="1"/>
  </cols>
  <sheetData>
    <row r="1" spans="1:16" ht="12.75">
      <c r="A1" s="24" t="s">
        <v>250</v>
      </c>
      <c r="B1" s="24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4"/>
    </row>
    <row r="2" spans="1:16" ht="12.75">
      <c r="A2" s="24" t="s">
        <v>252</v>
      </c>
      <c r="B2" s="24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24"/>
    </row>
    <row r="3" spans="1:16" ht="12.75">
      <c r="A3" s="25"/>
      <c r="B3" s="25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25"/>
    </row>
    <row r="4" spans="1:16" ht="12.75">
      <c r="A4" s="19" t="s">
        <v>191</v>
      </c>
      <c r="B4" s="21"/>
      <c r="C4" s="48"/>
      <c r="D4" s="48"/>
      <c r="E4" s="48"/>
      <c r="F4" s="48"/>
      <c r="G4" s="48"/>
      <c r="H4" s="48"/>
      <c r="I4" s="48"/>
      <c r="J4" s="48"/>
      <c r="P4" s="26"/>
    </row>
    <row r="5" spans="1:16" ht="12.75">
      <c r="A5" s="19"/>
      <c r="B5" s="21"/>
      <c r="C5" s="48"/>
      <c r="D5" s="48"/>
      <c r="E5" s="48"/>
      <c r="F5" s="48"/>
      <c r="G5" s="48"/>
      <c r="H5" s="48"/>
      <c r="I5" s="48"/>
      <c r="J5" s="48"/>
      <c r="P5" s="26"/>
    </row>
    <row r="6" spans="1:16" ht="12.75">
      <c r="A6" s="19"/>
      <c r="B6" s="21"/>
      <c r="C6" s="48"/>
      <c r="D6" s="48"/>
      <c r="E6" s="48"/>
      <c r="F6" s="48"/>
      <c r="G6" s="48"/>
      <c r="H6" s="48"/>
      <c r="I6" s="48"/>
      <c r="J6" s="48"/>
      <c r="K6" s="48" t="s">
        <v>117</v>
      </c>
      <c r="L6" s="48"/>
      <c r="M6" s="48" t="s">
        <v>251</v>
      </c>
      <c r="N6" s="48"/>
      <c r="O6" s="48" t="s">
        <v>4</v>
      </c>
      <c r="P6" s="26"/>
    </row>
    <row r="7" spans="1:17" ht="12.75">
      <c r="A7" s="21"/>
      <c r="B7" s="21"/>
      <c r="C7" s="48" t="s">
        <v>118</v>
      </c>
      <c r="D7" s="48"/>
      <c r="E7" s="48" t="s">
        <v>4</v>
      </c>
      <c r="F7" s="48"/>
      <c r="G7" s="48" t="s">
        <v>119</v>
      </c>
      <c r="H7" s="48"/>
      <c r="I7" s="48" t="s">
        <v>4</v>
      </c>
      <c r="J7" s="48"/>
      <c r="K7" s="48" t="s">
        <v>120</v>
      </c>
      <c r="L7" s="48"/>
      <c r="M7" s="48" t="s">
        <v>120</v>
      </c>
      <c r="N7" s="48"/>
      <c r="O7" s="48" t="s">
        <v>120</v>
      </c>
      <c r="P7" s="26"/>
      <c r="Q7" s="69" t="s">
        <v>216</v>
      </c>
    </row>
    <row r="8" spans="1:16" s="78" customFormat="1" ht="12.75">
      <c r="A8" s="77" t="s">
        <v>5</v>
      </c>
      <c r="B8" s="71"/>
      <c r="C8" s="57" t="s">
        <v>121</v>
      </c>
      <c r="D8" s="76"/>
      <c r="E8" s="57" t="s">
        <v>116</v>
      </c>
      <c r="F8" s="76"/>
      <c r="G8" s="57" t="s">
        <v>11</v>
      </c>
      <c r="H8" s="76"/>
      <c r="I8" s="57" t="s">
        <v>122</v>
      </c>
      <c r="J8" s="76"/>
      <c r="K8" s="57" t="s">
        <v>123</v>
      </c>
      <c r="L8" s="76"/>
      <c r="M8" s="57" t="s">
        <v>123</v>
      </c>
      <c r="N8" s="76"/>
      <c r="O8" s="57" t="s">
        <v>123</v>
      </c>
      <c r="P8" s="26"/>
    </row>
    <row r="9" spans="1:16" ht="12.75">
      <c r="A9" s="71"/>
      <c r="B9" s="71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26"/>
    </row>
    <row r="10" spans="1:17" ht="12.75">
      <c r="A10" s="30" t="s">
        <v>13</v>
      </c>
      <c r="B10" s="30"/>
      <c r="C10" s="144">
        <f>35537975+258287</f>
        <v>35796262</v>
      </c>
      <c r="D10" s="144"/>
      <c r="E10" s="144">
        <v>69016787</v>
      </c>
      <c r="F10" s="144"/>
      <c r="G10" s="144">
        <v>25797944</v>
      </c>
      <c r="H10" s="144"/>
      <c r="I10" s="144">
        <v>32597782</v>
      </c>
      <c r="J10" s="144"/>
      <c r="K10" s="144">
        <f>1266058+6525508</f>
        <v>7791566</v>
      </c>
      <c r="L10" s="144"/>
      <c r="M10" s="144">
        <f>4782215+18924648+1561038+3359538</f>
        <v>28627439</v>
      </c>
      <c r="N10" s="144"/>
      <c r="O10" s="144">
        <f>+M10+K10</f>
        <v>36419005</v>
      </c>
      <c r="P10" s="56"/>
      <c r="Q10" s="54">
        <f>+E10-I10-O10</f>
        <v>0</v>
      </c>
    </row>
    <row r="11" spans="1:17" ht="12.75">
      <c r="A11" s="30" t="s">
        <v>14</v>
      </c>
      <c r="B11" s="30"/>
      <c r="C11" s="56">
        <v>13909512</v>
      </c>
      <c r="D11" s="56"/>
      <c r="E11" s="56">
        <v>26272920</v>
      </c>
      <c r="F11" s="56"/>
      <c r="G11" s="56">
        <v>10058963</v>
      </c>
      <c r="H11" s="56"/>
      <c r="I11" s="56">
        <v>11719525</v>
      </c>
      <c r="J11" s="56"/>
      <c r="K11" s="56">
        <f>47525+37941+87217</f>
        <v>172683</v>
      </c>
      <c r="L11" s="56"/>
      <c r="M11" s="56">
        <f>4417857+9244228+718627</f>
        <v>14380712</v>
      </c>
      <c r="N11" s="56"/>
      <c r="O11" s="56">
        <f aca="true" t="shared" si="0" ref="O11:O27">+M11+K11</f>
        <v>14553395</v>
      </c>
      <c r="P11" s="56"/>
      <c r="Q11" s="54">
        <f aca="true" t="shared" si="1" ref="Q11:Q27">+E11-I11-O11</f>
        <v>0</v>
      </c>
    </row>
    <row r="12" spans="1:17" ht="12.75">
      <c r="A12" s="30" t="s">
        <v>15</v>
      </c>
      <c r="B12" s="30"/>
      <c r="C12" s="56">
        <v>26373886</v>
      </c>
      <c r="D12" s="56"/>
      <c r="E12" s="56">
        <v>61158296</v>
      </c>
      <c r="F12" s="56"/>
      <c r="G12" s="56">
        <v>23053092</v>
      </c>
      <c r="H12" s="56"/>
      <c r="I12" s="56">
        <v>27164256</v>
      </c>
      <c r="J12" s="56"/>
      <c r="K12" s="56">
        <f>3226422+175369+90000+2725935</f>
        <v>6217726</v>
      </c>
      <c r="L12" s="56"/>
      <c r="M12" s="56">
        <f>4197519+22628084+548865+401846</f>
        <v>27776314</v>
      </c>
      <c r="N12" s="56"/>
      <c r="O12" s="56">
        <f t="shared" si="0"/>
        <v>33994040</v>
      </c>
      <c r="P12" s="56"/>
      <c r="Q12" s="54">
        <f t="shared" si="1"/>
        <v>0</v>
      </c>
    </row>
    <row r="13" spans="1:17" ht="12.75">
      <c r="A13" s="30" t="s">
        <v>16</v>
      </c>
      <c r="B13" s="30"/>
      <c r="C13" s="56">
        <v>13437487</v>
      </c>
      <c r="D13" s="56"/>
      <c r="E13" s="56">
        <v>29684758</v>
      </c>
      <c r="F13" s="56"/>
      <c r="G13" s="56">
        <v>12843305</v>
      </c>
      <c r="H13" s="56"/>
      <c r="I13" s="56">
        <v>15427938</v>
      </c>
      <c r="J13" s="56"/>
      <c r="K13" s="56">
        <f>547291+209854</f>
        <v>757145</v>
      </c>
      <c r="L13" s="56"/>
      <c r="M13" s="56">
        <f>2155567+11206015+8255+129838</f>
        <v>13499675</v>
      </c>
      <c r="N13" s="56"/>
      <c r="O13" s="56">
        <f t="shared" si="0"/>
        <v>14256820</v>
      </c>
      <c r="P13" s="56"/>
      <c r="Q13" s="54">
        <f t="shared" si="1"/>
        <v>0</v>
      </c>
    </row>
    <row r="14" spans="1:17" ht="12.75">
      <c r="A14" s="30" t="s">
        <v>17</v>
      </c>
      <c r="B14" s="30"/>
      <c r="C14" s="56">
        <v>15240531</v>
      </c>
      <c r="D14" s="56"/>
      <c r="E14" s="56">
        <v>30273178</v>
      </c>
      <c r="F14" s="56"/>
      <c r="G14" s="56">
        <v>11056402</v>
      </c>
      <c r="H14" s="56"/>
      <c r="I14" s="56">
        <v>12372953</v>
      </c>
      <c r="J14" s="56"/>
      <c r="K14" s="56">
        <f>528594+734738</f>
        <v>1263332</v>
      </c>
      <c r="L14" s="56"/>
      <c r="M14" s="56">
        <f>2972438+8435414+1172379+4056662</f>
        <v>16636893</v>
      </c>
      <c r="N14" s="56"/>
      <c r="O14" s="56">
        <f t="shared" si="0"/>
        <v>17900225</v>
      </c>
      <c r="P14" s="56"/>
      <c r="Q14" s="54">
        <f t="shared" si="1"/>
        <v>0</v>
      </c>
    </row>
    <row r="15" spans="1:17" ht="12.75">
      <c r="A15" s="30" t="s">
        <v>18</v>
      </c>
      <c r="B15" s="30"/>
      <c r="C15" s="56">
        <f>27848674+24367</f>
        <v>27873041</v>
      </c>
      <c r="D15" s="56"/>
      <c r="E15" s="56">
        <v>52690779</v>
      </c>
      <c r="F15" s="56"/>
      <c r="G15" s="56">
        <v>16130191</v>
      </c>
      <c r="H15" s="56"/>
      <c r="I15" s="56">
        <v>21619214</v>
      </c>
      <c r="J15" s="56"/>
      <c r="K15" s="56">
        <f>2512102+1309566+124364</f>
        <v>3946032</v>
      </c>
      <c r="L15" s="56"/>
      <c r="M15" s="56">
        <f>966045+3504940+13416224+90188+9148136</f>
        <v>27125533</v>
      </c>
      <c r="N15" s="56"/>
      <c r="O15" s="56">
        <f t="shared" si="0"/>
        <v>31071565</v>
      </c>
      <c r="P15" s="56"/>
      <c r="Q15" s="54">
        <f t="shared" si="1"/>
        <v>0</v>
      </c>
    </row>
    <row r="16" spans="1:17" ht="12.75" hidden="1">
      <c r="A16" s="30" t="s">
        <v>133</v>
      </c>
      <c r="B16" s="30"/>
      <c r="C16" s="56">
        <v>0</v>
      </c>
      <c r="D16" s="56"/>
      <c r="E16" s="56">
        <v>0</v>
      </c>
      <c r="F16" s="56"/>
      <c r="G16" s="56">
        <v>0</v>
      </c>
      <c r="H16" s="56"/>
      <c r="I16" s="56">
        <v>0</v>
      </c>
      <c r="J16" s="56"/>
      <c r="K16" s="56">
        <v>0</v>
      </c>
      <c r="L16" s="56"/>
      <c r="M16" s="56">
        <v>0</v>
      </c>
      <c r="N16" s="56"/>
      <c r="O16" s="56">
        <f t="shared" si="0"/>
        <v>0</v>
      </c>
      <c r="P16" s="56"/>
      <c r="Q16" s="54">
        <f t="shared" si="1"/>
        <v>0</v>
      </c>
    </row>
    <row r="17" spans="1:17" ht="12.75">
      <c r="A17" s="30" t="s">
        <v>182</v>
      </c>
      <c r="B17" s="30"/>
      <c r="C17" s="56">
        <v>61212679</v>
      </c>
      <c r="D17" s="56"/>
      <c r="E17" s="56">
        <v>188114382</v>
      </c>
      <c r="F17" s="56"/>
      <c r="G17" s="56">
        <v>89441671</v>
      </c>
      <c r="H17" s="56"/>
      <c r="I17" s="56">
        <v>123191768</v>
      </c>
      <c r="J17" s="56"/>
      <c r="K17" s="56">
        <f>9748746+489317+2486672+1953943</f>
        <v>14678678</v>
      </c>
      <c r="L17" s="56"/>
      <c r="M17" s="56">
        <f>6589687+39882983+9394492-5623226</f>
        <v>50243936</v>
      </c>
      <c r="N17" s="56"/>
      <c r="O17" s="56">
        <f t="shared" si="0"/>
        <v>64922614</v>
      </c>
      <c r="P17" s="56"/>
      <c r="Q17" s="54">
        <f t="shared" si="1"/>
        <v>0</v>
      </c>
    </row>
    <row r="18" spans="1:17" ht="12.75">
      <c r="A18" s="30" t="s">
        <v>20</v>
      </c>
      <c r="B18" s="30"/>
      <c r="C18" s="56">
        <f>4492991+90369</f>
        <v>4583360</v>
      </c>
      <c r="D18" s="56"/>
      <c r="E18" s="56">
        <v>12871403</v>
      </c>
      <c r="F18" s="56"/>
      <c r="G18" s="56">
        <v>6338750</v>
      </c>
      <c r="H18" s="56"/>
      <c r="I18" s="56">
        <v>7444175</v>
      </c>
      <c r="J18" s="56"/>
      <c r="K18" s="56">
        <f>507283+71038+321688+6000+25167</f>
        <v>931176</v>
      </c>
      <c r="L18" s="56"/>
      <c r="M18" s="56">
        <f>701552+3618033+176467</f>
        <v>4496052</v>
      </c>
      <c r="N18" s="56"/>
      <c r="O18" s="56">
        <f t="shared" si="0"/>
        <v>5427228</v>
      </c>
      <c r="P18" s="56"/>
      <c r="Q18" s="54">
        <f t="shared" si="1"/>
        <v>0</v>
      </c>
    </row>
    <row r="19" spans="1:17" ht="12.75" hidden="1">
      <c r="A19" s="30" t="s">
        <v>176</v>
      </c>
      <c r="B19" s="30"/>
      <c r="C19" s="56">
        <v>0</v>
      </c>
      <c r="D19" s="56"/>
      <c r="E19" s="56">
        <v>0</v>
      </c>
      <c r="F19" s="56"/>
      <c r="G19" s="56">
        <v>0</v>
      </c>
      <c r="H19" s="56"/>
      <c r="I19" s="56">
        <v>0</v>
      </c>
      <c r="J19" s="56"/>
      <c r="K19" s="56">
        <v>0</v>
      </c>
      <c r="L19" s="56"/>
      <c r="M19" s="56">
        <v>0</v>
      </c>
      <c r="N19" s="56"/>
      <c r="O19" s="56">
        <f t="shared" si="0"/>
        <v>0</v>
      </c>
      <c r="P19" s="56"/>
      <c r="Q19" s="54">
        <f t="shared" si="1"/>
        <v>0</v>
      </c>
    </row>
    <row r="20" spans="1:17" ht="12.75">
      <c r="A20" s="30" t="s">
        <v>21</v>
      </c>
      <c r="B20" s="30"/>
      <c r="C20" s="56">
        <f>29785024+441091+520340</f>
        <v>30746455</v>
      </c>
      <c r="D20" s="56"/>
      <c r="E20" s="56">
        <v>78672228</v>
      </c>
      <c r="F20" s="56"/>
      <c r="G20" s="56">
        <v>45846325</v>
      </c>
      <c r="H20" s="56"/>
      <c r="I20" s="56">
        <v>61505984</v>
      </c>
      <c r="J20" s="56"/>
      <c r="K20" s="56">
        <f>4535561+153813+140226+74787</f>
        <v>4904387</v>
      </c>
      <c r="L20" s="56"/>
      <c r="M20" s="56">
        <f>5779672+13412059+26337+50890-7007101</f>
        <v>12261857</v>
      </c>
      <c r="N20" s="56"/>
      <c r="O20" s="56">
        <f t="shared" si="0"/>
        <v>17166244</v>
      </c>
      <c r="P20" s="56"/>
      <c r="Q20" s="54">
        <f t="shared" si="1"/>
        <v>0</v>
      </c>
    </row>
    <row r="21" spans="1:17" ht="12.75">
      <c r="A21" s="30" t="s">
        <v>188</v>
      </c>
      <c r="B21" s="30"/>
      <c r="C21" s="56">
        <f>64086911+1847</f>
        <v>64088758</v>
      </c>
      <c r="D21" s="56"/>
      <c r="E21" s="56">
        <v>115527505</v>
      </c>
      <c r="F21" s="56"/>
      <c r="G21" s="56">
        <v>45358661</v>
      </c>
      <c r="H21" s="56"/>
      <c r="I21" s="56">
        <v>55709418</v>
      </c>
      <c r="J21" s="56"/>
      <c r="K21" s="56">
        <f>12706007+138952</f>
        <v>12844959</v>
      </c>
      <c r="L21" s="56"/>
      <c r="M21" s="56">
        <f>2300000+13745204+17650193+423226+12854505</f>
        <v>46973128</v>
      </c>
      <c r="N21" s="56"/>
      <c r="O21" s="56">
        <f t="shared" si="0"/>
        <v>59818087</v>
      </c>
      <c r="P21" s="56"/>
      <c r="Q21" s="54">
        <f t="shared" si="1"/>
        <v>0</v>
      </c>
    </row>
    <row r="22" spans="1:17" ht="12.75">
      <c r="A22" s="30" t="s">
        <v>22</v>
      </c>
      <c r="B22" s="30"/>
      <c r="C22" s="56">
        <v>7298002</v>
      </c>
      <c r="D22" s="56"/>
      <c r="E22" s="56">
        <v>20410257</v>
      </c>
      <c r="F22" s="56"/>
      <c r="G22" s="56">
        <v>9615235</v>
      </c>
      <c r="H22" s="56"/>
      <c r="I22" s="56">
        <v>16415647</v>
      </c>
      <c r="J22" s="56"/>
      <c r="K22" s="56">
        <f>372544+65685+86295+99225</f>
        <v>623749</v>
      </c>
      <c r="L22" s="56"/>
      <c r="M22" s="56">
        <f>722143+6186982+444418-3982682</f>
        <v>3370861</v>
      </c>
      <c r="N22" s="56"/>
      <c r="O22" s="56">
        <f>+M22+K22</f>
        <v>3994610</v>
      </c>
      <c r="P22" s="56"/>
      <c r="Q22" s="54">
        <f t="shared" si="1"/>
        <v>0</v>
      </c>
    </row>
    <row r="23" spans="1:17" ht="12.75" hidden="1">
      <c r="A23" s="30" t="s">
        <v>23</v>
      </c>
      <c r="B23" s="30"/>
      <c r="C23" s="56">
        <v>0</v>
      </c>
      <c r="D23" s="56"/>
      <c r="E23" s="56">
        <v>0</v>
      </c>
      <c r="F23" s="56"/>
      <c r="G23" s="56">
        <v>0</v>
      </c>
      <c r="H23" s="56"/>
      <c r="I23" s="56">
        <v>0</v>
      </c>
      <c r="J23" s="56"/>
      <c r="K23" s="56">
        <v>0</v>
      </c>
      <c r="L23" s="56"/>
      <c r="M23" s="56">
        <v>0</v>
      </c>
      <c r="N23" s="56"/>
      <c r="O23" s="56">
        <f t="shared" si="0"/>
        <v>0</v>
      </c>
      <c r="P23" s="56"/>
      <c r="Q23" s="54">
        <f t="shared" si="1"/>
        <v>0</v>
      </c>
    </row>
    <row r="24" spans="1:17" ht="12.75" hidden="1">
      <c r="A24" s="30" t="s">
        <v>24</v>
      </c>
      <c r="B24" s="30"/>
      <c r="C24" s="56">
        <v>0</v>
      </c>
      <c r="D24" s="56"/>
      <c r="E24" s="56">
        <v>0</v>
      </c>
      <c r="F24" s="56"/>
      <c r="G24" s="56">
        <v>0</v>
      </c>
      <c r="H24" s="56"/>
      <c r="I24" s="56">
        <v>0</v>
      </c>
      <c r="J24" s="56"/>
      <c r="K24" s="56">
        <v>0</v>
      </c>
      <c r="L24" s="56"/>
      <c r="M24" s="56">
        <v>0</v>
      </c>
      <c r="N24" s="56"/>
      <c r="O24" s="56">
        <f t="shared" si="0"/>
        <v>0</v>
      </c>
      <c r="P24" s="56"/>
      <c r="Q24" s="54">
        <f t="shared" si="1"/>
        <v>0</v>
      </c>
    </row>
    <row r="25" spans="1:17" ht="12.75">
      <c r="A25" s="30" t="s">
        <v>186</v>
      </c>
      <c r="B25" s="30"/>
      <c r="C25" s="56">
        <v>12636732</v>
      </c>
      <c r="D25" s="56"/>
      <c r="E25" s="56">
        <v>24561942</v>
      </c>
      <c r="F25" s="56"/>
      <c r="G25" s="56">
        <v>8928311</v>
      </c>
      <c r="H25" s="56"/>
      <c r="I25" s="56">
        <v>12127239</v>
      </c>
      <c r="J25" s="56"/>
      <c r="K25" s="56">
        <f>926141+447986+68308</f>
        <v>1442435</v>
      </c>
      <c r="L25" s="56"/>
      <c r="M25" s="56">
        <f>4650120+6581777+149623-389252</f>
        <v>10992268</v>
      </c>
      <c r="N25" s="56"/>
      <c r="O25" s="56">
        <f t="shared" si="0"/>
        <v>12434703</v>
      </c>
      <c r="P25" s="56"/>
      <c r="Q25" s="54">
        <f t="shared" si="1"/>
        <v>0</v>
      </c>
    </row>
    <row r="26" spans="1:17" ht="12.75">
      <c r="A26" s="30" t="s">
        <v>25</v>
      </c>
      <c r="B26" s="30"/>
      <c r="C26" s="56">
        <v>285466000</v>
      </c>
      <c r="D26" s="56"/>
      <c r="E26" s="56">
        <v>925053000</v>
      </c>
      <c r="F26" s="56"/>
      <c r="G26" s="56">
        <v>351309000</v>
      </c>
      <c r="H26" s="56"/>
      <c r="I26" s="56">
        <v>521753000</v>
      </c>
      <c r="J26" s="56"/>
      <c r="K26" s="56">
        <f>25756000+19739000+15423000</f>
        <v>60918000</v>
      </c>
      <c r="L26" s="56"/>
      <c r="M26" s="56">
        <f>1978000+1961000+130034000+216651000-8242000</f>
        <v>342382000</v>
      </c>
      <c r="N26" s="56"/>
      <c r="O26" s="56">
        <f t="shared" si="0"/>
        <v>403300000</v>
      </c>
      <c r="P26" s="56"/>
      <c r="Q26" s="54">
        <f t="shared" si="1"/>
        <v>0</v>
      </c>
    </row>
    <row r="27" spans="1:17" ht="12.75">
      <c r="A27" s="30" t="s">
        <v>26</v>
      </c>
      <c r="B27" s="30"/>
      <c r="C27" s="56">
        <f>12133604+220786+10000</f>
        <v>12364390</v>
      </c>
      <c r="D27" s="56"/>
      <c r="E27" s="56">
        <v>26324341</v>
      </c>
      <c r="F27" s="56"/>
      <c r="G27" s="56">
        <v>9569430</v>
      </c>
      <c r="H27" s="56"/>
      <c r="I27" s="56">
        <v>15387164</v>
      </c>
      <c r="J27" s="56"/>
      <c r="K27" s="56">
        <f>243796+60567+323930+22775+745395+116221</f>
        <v>1512684</v>
      </c>
      <c r="L27" s="56"/>
      <c r="M27" s="56">
        <f>2272309+11186774-4034590</f>
        <v>9424493</v>
      </c>
      <c r="N27" s="56"/>
      <c r="O27" s="56">
        <f t="shared" si="0"/>
        <v>10937177</v>
      </c>
      <c r="P27" s="56"/>
      <c r="Q27" s="54">
        <f t="shared" si="1"/>
        <v>0</v>
      </c>
    </row>
    <row r="28" spans="1:17" ht="12.75">
      <c r="A28" s="30" t="s">
        <v>27</v>
      </c>
      <c r="B28" s="30"/>
      <c r="C28" s="56">
        <f>21806585+154548+2161</f>
        <v>21963294</v>
      </c>
      <c r="D28" s="56"/>
      <c r="E28" s="56">
        <v>39809446</v>
      </c>
      <c r="F28" s="56"/>
      <c r="G28" s="56">
        <v>13007467</v>
      </c>
      <c r="H28" s="56"/>
      <c r="I28" s="56">
        <v>18879877</v>
      </c>
      <c r="J28" s="56"/>
      <c r="K28" s="56">
        <f>641286+299474+386525+2506248+218776</f>
        <v>4052309</v>
      </c>
      <c r="L28" s="56"/>
      <c r="M28" s="56">
        <f>42517+7423550+7760845+144786+1505562</f>
        <v>16877260</v>
      </c>
      <c r="N28" s="56"/>
      <c r="O28" s="56">
        <f aca="true" t="shared" si="2" ref="O28:O75">+M28+K28</f>
        <v>20929569</v>
      </c>
      <c r="P28" s="56"/>
      <c r="Q28" s="54">
        <f aca="true" t="shared" si="3" ref="Q28:Q75">+E28-I28-O28</f>
        <v>0</v>
      </c>
    </row>
    <row r="29" spans="1:17" ht="12.75">
      <c r="A29" s="30" t="s">
        <v>28</v>
      </c>
      <c r="B29" s="30"/>
      <c r="C29" s="56">
        <f>71391818+16862</f>
        <v>71408680</v>
      </c>
      <c r="D29" s="56"/>
      <c r="E29" s="56">
        <v>113765095</v>
      </c>
      <c r="F29" s="56"/>
      <c r="G29" s="56">
        <v>23842788</v>
      </c>
      <c r="H29" s="56"/>
      <c r="I29" s="56">
        <v>35235004</v>
      </c>
      <c r="J29" s="56"/>
      <c r="K29" s="56">
        <f>4476035+802516</f>
        <v>5278551</v>
      </c>
      <c r="L29" s="56"/>
      <c r="M29" s="56">
        <f>16277101+45667663+11306776</f>
        <v>73251540</v>
      </c>
      <c r="N29" s="56"/>
      <c r="O29" s="56">
        <f t="shared" si="2"/>
        <v>78530091</v>
      </c>
      <c r="P29" s="56"/>
      <c r="Q29" s="54">
        <f t="shared" si="3"/>
        <v>0</v>
      </c>
    </row>
    <row r="30" spans="1:17" ht="12.75">
      <c r="A30" s="30" t="s">
        <v>29</v>
      </c>
      <c r="B30" s="30"/>
      <c r="C30" s="56">
        <v>23552815</v>
      </c>
      <c r="D30" s="56"/>
      <c r="E30" s="56">
        <v>44526844</v>
      </c>
      <c r="F30" s="56"/>
      <c r="G30" s="56">
        <v>14936061</v>
      </c>
      <c r="H30" s="56"/>
      <c r="I30" s="56">
        <v>20176200</v>
      </c>
      <c r="J30" s="56"/>
      <c r="K30" s="56">
        <f>3306113+60147+383975+287479+6401</f>
        <v>4044115</v>
      </c>
      <c r="L30" s="56"/>
      <c r="M30" s="56">
        <f>1187567+7594457+9846152+1678353</f>
        <v>20306529</v>
      </c>
      <c r="N30" s="56"/>
      <c r="O30" s="56">
        <f t="shared" si="2"/>
        <v>24350644</v>
      </c>
      <c r="P30" s="56"/>
      <c r="Q30" s="54">
        <f t="shared" si="3"/>
        <v>0</v>
      </c>
    </row>
    <row r="31" spans="1:17" ht="12.75">
      <c r="A31" s="30" t="s">
        <v>30</v>
      </c>
      <c r="B31" s="30"/>
      <c r="C31" s="56">
        <f>33804138+565179+147813</f>
        <v>34517130</v>
      </c>
      <c r="D31" s="56"/>
      <c r="E31" s="56">
        <v>75128498</v>
      </c>
      <c r="F31" s="56"/>
      <c r="G31" s="56">
        <v>32814641</v>
      </c>
      <c r="H31" s="56"/>
      <c r="I31" s="56">
        <v>41914256</v>
      </c>
      <c r="J31" s="56"/>
      <c r="K31" s="56">
        <f>4049895+147813+411396</f>
        <v>4609104</v>
      </c>
      <c r="L31" s="56"/>
      <c r="M31" s="56">
        <f>270946+11630909+17270580+569371-1136668</f>
        <v>28605138</v>
      </c>
      <c r="N31" s="56"/>
      <c r="O31" s="56">
        <f t="shared" si="2"/>
        <v>33214242</v>
      </c>
      <c r="P31" s="56"/>
      <c r="Q31" s="54">
        <f t="shared" si="3"/>
        <v>0</v>
      </c>
    </row>
    <row r="32" spans="1:17" ht="12.75" hidden="1">
      <c r="A32" s="30" t="s">
        <v>31</v>
      </c>
      <c r="B32" s="30"/>
      <c r="C32" s="56">
        <v>0</v>
      </c>
      <c r="D32" s="56"/>
      <c r="E32" s="56">
        <v>0</v>
      </c>
      <c r="F32" s="56"/>
      <c r="G32" s="56">
        <v>0</v>
      </c>
      <c r="H32" s="56"/>
      <c r="I32" s="56">
        <v>0</v>
      </c>
      <c r="J32" s="56"/>
      <c r="K32" s="56">
        <v>0</v>
      </c>
      <c r="L32" s="56"/>
      <c r="M32" s="56">
        <v>0</v>
      </c>
      <c r="N32" s="56"/>
      <c r="O32" s="56">
        <f t="shared" si="2"/>
        <v>0</v>
      </c>
      <c r="P32" s="56"/>
      <c r="Q32" s="54">
        <f t="shared" si="3"/>
        <v>0</v>
      </c>
    </row>
    <row r="33" spans="1:17" ht="12.75">
      <c r="A33" s="30" t="s">
        <v>32</v>
      </c>
      <c r="B33" s="30"/>
      <c r="C33" s="56">
        <f>377967000+1415000</f>
        <v>379382000</v>
      </c>
      <c r="D33" s="56"/>
      <c r="E33" s="56">
        <v>989370000</v>
      </c>
      <c r="F33" s="56"/>
      <c r="G33" s="56">
        <v>153127000</v>
      </c>
      <c r="H33" s="56"/>
      <c r="I33" s="56">
        <v>616531000</v>
      </c>
      <c r="J33" s="56"/>
      <c r="K33" s="56">
        <f>15621000+291000+3689000</f>
        <v>19601000</v>
      </c>
      <c r="L33" s="56"/>
      <c r="M33" s="56">
        <f>11250000+18750000+56201000+260734000+30000+6273000</f>
        <v>353238000</v>
      </c>
      <c r="N33" s="56"/>
      <c r="O33" s="56">
        <f t="shared" si="2"/>
        <v>372839000</v>
      </c>
      <c r="P33" s="56"/>
      <c r="Q33" s="54">
        <f t="shared" si="3"/>
        <v>0</v>
      </c>
    </row>
    <row r="34" spans="1:17" ht="12.75">
      <c r="A34" s="30" t="s">
        <v>33</v>
      </c>
      <c r="B34" s="30"/>
      <c r="C34" s="56">
        <f>15315183+337861</f>
        <v>15653044</v>
      </c>
      <c r="D34" s="56"/>
      <c r="E34" s="56">
        <v>30767631</v>
      </c>
      <c r="F34" s="56"/>
      <c r="G34" s="56">
        <v>11868596</v>
      </c>
      <c r="H34" s="56"/>
      <c r="I34" s="56">
        <v>13013052</v>
      </c>
      <c r="J34" s="56"/>
      <c r="K34" s="56">
        <f>965138+94092+217049+192851+459361+33322+36198</f>
        <v>1998011</v>
      </c>
      <c r="L34" s="56"/>
      <c r="M34" s="56">
        <f>500000+3908844+10956421+391303</f>
        <v>15756568</v>
      </c>
      <c r="N34" s="56"/>
      <c r="O34" s="56">
        <f t="shared" si="2"/>
        <v>17754579</v>
      </c>
      <c r="P34" s="56"/>
      <c r="Q34" s="54">
        <f t="shared" si="3"/>
        <v>0</v>
      </c>
    </row>
    <row r="35" spans="1:17" ht="12.75">
      <c r="A35" s="30" t="s">
        <v>34</v>
      </c>
      <c r="B35" s="30"/>
      <c r="C35" s="56">
        <f>4387397+34847</f>
        <v>4422244</v>
      </c>
      <c r="D35" s="56"/>
      <c r="E35" s="56">
        <v>14266101</v>
      </c>
      <c r="F35" s="56"/>
      <c r="G35" s="56">
        <v>7360765</v>
      </c>
      <c r="H35" s="56"/>
      <c r="I35" s="56">
        <v>9011710</v>
      </c>
      <c r="J35" s="56"/>
      <c r="K35" s="56">
        <f>96216+70432+66783</f>
        <v>233431</v>
      </c>
      <c r="L35" s="56"/>
      <c r="M35" s="56">
        <f>1453497+3567463</f>
        <v>5020960</v>
      </c>
      <c r="N35" s="56"/>
      <c r="O35" s="56">
        <f t="shared" si="2"/>
        <v>5254391</v>
      </c>
      <c r="P35" s="56"/>
      <c r="Q35" s="54">
        <f t="shared" si="3"/>
        <v>0</v>
      </c>
    </row>
    <row r="36" spans="1:17" ht="12.75">
      <c r="A36" s="30" t="s">
        <v>35</v>
      </c>
      <c r="B36" s="30"/>
      <c r="C36" s="56">
        <f>27266536+24935+12</f>
        <v>27291483</v>
      </c>
      <c r="D36" s="56"/>
      <c r="E36" s="56">
        <v>73939577</v>
      </c>
      <c r="F36" s="56"/>
      <c r="G36" s="56">
        <v>40067777</v>
      </c>
      <c r="H36" s="56"/>
      <c r="I36" s="56">
        <v>54225569</v>
      </c>
      <c r="J36" s="56"/>
      <c r="K36" s="56">
        <f>2850358+3153509</f>
        <v>6003867</v>
      </c>
      <c r="L36" s="56"/>
      <c r="M36" s="56">
        <f>5806133+13348555+1255065-6699612</f>
        <v>13710141</v>
      </c>
      <c r="N36" s="56"/>
      <c r="O36" s="56">
        <f t="shared" si="2"/>
        <v>19714008</v>
      </c>
      <c r="P36" s="56"/>
      <c r="Q36" s="54">
        <f t="shared" si="3"/>
        <v>0</v>
      </c>
    </row>
    <row r="37" spans="1:17" ht="12.75">
      <c r="A37" s="30" t="s">
        <v>239</v>
      </c>
      <c r="B37" s="30"/>
      <c r="C37" s="56">
        <f>52279522+981</f>
        <v>52280503</v>
      </c>
      <c r="D37" s="56"/>
      <c r="E37" s="56">
        <v>98112416</v>
      </c>
      <c r="F37" s="56"/>
      <c r="G37" s="56">
        <v>38619289</v>
      </c>
      <c r="H37" s="56"/>
      <c r="I37" s="56">
        <v>58626010</v>
      </c>
      <c r="J37" s="56"/>
      <c r="K37" s="56">
        <f>4440374+150980+103056</f>
        <v>4694410</v>
      </c>
      <c r="L37" s="56"/>
      <c r="M37" s="56">
        <f>1750000+6050924+26620499+370573</f>
        <v>34791996</v>
      </c>
      <c r="N37" s="56"/>
      <c r="O37" s="56">
        <f t="shared" si="2"/>
        <v>39486406</v>
      </c>
      <c r="P37" s="56"/>
      <c r="Q37" s="54">
        <f t="shared" si="3"/>
        <v>0</v>
      </c>
    </row>
    <row r="38" spans="1:17" ht="12.75" hidden="1">
      <c r="A38" s="30" t="s">
        <v>36</v>
      </c>
      <c r="B38" s="30"/>
      <c r="C38" s="56">
        <v>0</v>
      </c>
      <c r="D38" s="56"/>
      <c r="E38" s="56">
        <v>0</v>
      </c>
      <c r="F38" s="56"/>
      <c r="G38" s="56">
        <v>0</v>
      </c>
      <c r="H38" s="56"/>
      <c r="I38" s="56">
        <v>0</v>
      </c>
      <c r="J38" s="56"/>
      <c r="K38" s="56">
        <v>0</v>
      </c>
      <c r="L38" s="56"/>
      <c r="M38" s="56">
        <v>0</v>
      </c>
      <c r="N38" s="56"/>
      <c r="O38" s="56">
        <f t="shared" si="2"/>
        <v>0</v>
      </c>
      <c r="P38" s="56"/>
      <c r="Q38" s="54">
        <f t="shared" si="3"/>
        <v>0</v>
      </c>
    </row>
    <row r="39" spans="1:17" ht="12.75" hidden="1">
      <c r="A39" s="30" t="s">
        <v>37</v>
      </c>
      <c r="B39" s="30"/>
      <c r="C39" s="56">
        <v>0</v>
      </c>
      <c r="D39" s="56"/>
      <c r="E39" s="56">
        <v>0</v>
      </c>
      <c r="F39" s="56"/>
      <c r="G39" s="56">
        <v>0</v>
      </c>
      <c r="H39" s="56"/>
      <c r="I39" s="56">
        <v>0</v>
      </c>
      <c r="J39" s="56"/>
      <c r="K39" s="56">
        <v>0</v>
      </c>
      <c r="L39" s="56"/>
      <c r="M39" s="56">
        <v>0</v>
      </c>
      <c r="N39" s="56"/>
      <c r="O39" s="56">
        <f>+M39+K39</f>
        <v>0</v>
      </c>
      <c r="P39" s="56"/>
      <c r="Q39" s="54">
        <f t="shared" si="3"/>
        <v>0</v>
      </c>
    </row>
    <row r="40" spans="1:17" ht="12.75">
      <c r="A40" s="30" t="s">
        <v>38</v>
      </c>
      <c r="B40" s="30"/>
      <c r="C40" s="56">
        <v>19260808</v>
      </c>
      <c r="D40" s="56"/>
      <c r="E40" s="56">
        <v>44086856</v>
      </c>
      <c r="F40" s="56"/>
      <c r="G40" s="56">
        <v>21041844</v>
      </c>
      <c r="H40" s="56"/>
      <c r="I40" s="56">
        <v>28215669</v>
      </c>
      <c r="J40" s="56"/>
      <c r="K40" s="56">
        <f>2600877+95063+247000</f>
        <v>2942940</v>
      </c>
      <c r="L40" s="56"/>
      <c r="M40" s="56">
        <f>5727753+5344480+1359608+390859+105547</f>
        <v>12928247</v>
      </c>
      <c r="N40" s="56"/>
      <c r="O40" s="56">
        <f>+M40+K40</f>
        <v>15871187</v>
      </c>
      <c r="P40" s="56"/>
      <c r="Q40" s="54">
        <f t="shared" si="3"/>
        <v>0</v>
      </c>
    </row>
    <row r="41" spans="1:17" ht="12.75" hidden="1">
      <c r="A41" s="30" t="s">
        <v>172</v>
      </c>
      <c r="B41" s="30"/>
      <c r="C41" s="56">
        <v>0</v>
      </c>
      <c r="D41" s="56"/>
      <c r="E41" s="56">
        <v>0</v>
      </c>
      <c r="F41" s="56"/>
      <c r="G41" s="56">
        <v>0</v>
      </c>
      <c r="H41" s="56"/>
      <c r="I41" s="56">
        <v>0</v>
      </c>
      <c r="J41" s="56"/>
      <c r="K41" s="56">
        <v>0</v>
      </c>
      <c r="L41" s="56"/>
      <c r="M41" s="56">
        <v>0</v>
      </c>
      <c r="N41" s="56"/>
      <c r="O41" s="56">
        <f t="shared" si="2"/>
        <v>0</v>
      </c>
      <c r="P41" s="56"/>
      <c r="Q41" s="54">
        <f t="shared" si="3"/>
        <v>0</v>
      </c>
    </row>
    <row r="42" spans="1:17" ht="12.75" hidden="1">
      <c r="A42" s="30" t="s">
        <v>39</v>
      </c>
      <c r="B42" s="30"/>
      <c r="C42" s="56">
        <v>0</v>
      </c>
      <c r="D42" s="56"/>
      <c r="E42" s="56">
        <v>0</v>
      </c>
      <c r="F42" s="56"/>
      <c r="G42" s="56">
        <v>0</v>
      </c>
      <c r="H42" s="56"/>
      <c r="I42" s="56">
        <v>0</v>
      </c>
      <c r="J42" s="56"/>
      <c r="K42" s="56">
        <v>0</v>
      </c>
      <c r="L42" s="56"/>
      <c r="M42" s="56">
        <v>0</v>
      </c>
      <c r="N42" s="56"/>
      <c r="O42" s="56">
        <f t="shared" si="2"/>
        <v>0</v>
      </c>
      <c r="P42" s="56"/>
      <c r="Q42" s="54">
        <f t="shared" si="3"/>
        <v>0</v>
      </c>
    </row>
    <row r="43" spans="1:17" ht="12.75">
      <c r="A43" s="30" t="s">
        <v>40</v>
      </c>
      <c r="B43" s="30"/>
      <c r="C43" s="56">
        <v>10997047</v>
      </c>
      <c r="D43" s="56"/>
      <c r="E43" s="56">
        <v>26467040</v>
      </c>
      <c r="F43" s="56"/>
      <c r="G43" s="56">
        <v>11809992</v>
      </c>
      <c r="H43" s="56"/>
      <c r="I43" s="56">
        <v>13035069</v>
      </c>
      <c r="J43" s="56"/>
      <c r="K43" s="56">
        <f>473551+89072+133213+952413</f>
        <v>1648249</v>
      </c>
      <c r="L43" s="56"/>
      <c r="M43" s="56">
        <f>1685123+8107615+1485926+505058</f>
        <v>11783722</v>
      </c>
      <c r="N43" s="56"/>
      <c r="O43" s="56">
        <f t="shared" si="2"/>
        <v>13431971</v>
      </c>
      <c r="P43" s="56"/>
      <c r="Q43" s="54">
        <f t="shared" si="3"/>
        <v>0</v>
      </c>
    </row>
    <row r="44" spans="1:17" ht="12.75" hidden="1">
      <c r="A44" s="30" t="s">
        <v>41</v>
      </c>
      <c r="B44" s="30"/>
      <c r="C44" s="56">
        <v>0</v>
      </c>
      <c r="D44" s="56"/>
      <c r="E44" s="56">
        <v>0</v>
      </c>
      <c r="F44" s="56"/>
      <c r="G44" s="56">
        <v>0</v>
      </c>
      <c r="H44" s="56"/>
      <c r="I44" s="56">
        <v>0</v>
      </c>
      <c r="J44" s="56"/>
      <c r="K44" s="56">
        <v>0</v>
      </c>
      <c r="L44" s="56"/>
      <c r="M44" s="56">
        <v>0</v>
      </c>
      <c r="N44" s="56"/>
      <c r="O44" s="56">
        <f t="shared" si="2"/>
        <v>0</v>
      </c>
      <c r="P44" s="56"/>
      <c r="Q44" s="54">
        <f t="shared" si="3"/>
        <v>0</v>
      </c>
    </row>
    <row r="45" spans="1:17" ht="12.75">
      <c r="A45" s="30" t="s">
        <v>42</v>
      </c>
      <c r="B45" s="30"/>
      <c r="C45" s="56">
        <v>8211691</v>
      </c>
      <c r="D45" s="56"/>
      <c r="E45" s="56">
        <v>18909321</v>
      </c>
      <c r="F45" s="56"/>
      <c r="G45" s="56">
        <v>7290781</v>
      </c>
      <c r="H45" s="56"/>
      <c r="I45" s="56">
        <v>8457300</v>
      </c>
      <c r="J45" s="56"/>
      <c r="K45" s="56">
        <v>370942</v>
      </c>
      <c r="L45" s="56"/>
      <c r="M45" s="56">
        <f>2199597+7583501+104524+193457</f>
        <v>10081079</v>
      </c>
      <c r="N45" s="56"/>
      <c r="O45" s="56">
        <f t="shared" si="2"/>
        <v>10452021</v>
      </c>
      <c r="P45" s="56"/>
      <c r="Q45" s="54">
        <f t="shared" si="3"/>
        <v>0</v>
      </c>
    </row>
    <row r="46" spans="1:17" ht="12.75">
      <c r="A46" s="30" t="s">
        <v>43</v>
      </c>
      <c r="B46" s="30"/>
      <c r="C46" s="56">
        <v>10350466</v>
      </c>
      <c r="D46" s="56"/>
      <c r="E46" s="56">
        <v>21229932</v>
      </c>
      <c r="F46" s="56"/>
      <c r="G46" s="56">
        <v>8455673</v>
      </c>
      <c r="H46" s="56"/>
      <c r="I46" s="56">
        <v>9917966</v>
      </c>
      <c r="J46" s="56"/>
      <c r="K46" s="56">
        <f>48569+60569+685417+433213+158440</f>
        <v>1386208</v>
      </c>
      <c r="L46" s="56"/>
      <c r="M46" s="56">
        <f>250000+1431655+7728254+515849</f>
        <v>9925758</v>
      </c>
      <c r="N46" s="56"/>
      <c r="O46" s="56">
        <f t="shared" si="2"/>
        <v>11311966</v>
      </c>
      <c r="P46" s="56"/>
      <c r="Q46" s="54">
        <f t="shared" si="3"/>
        <v>0</v>
      </c>
    </row>
    <row r="47" spans="1:17" ht="12.75">
      <c r="A47" s="30" t="s">
        <v>44</v>
      </c>
      <c r="B47" s="30"/>
      <c r="C47" s="56">
        <v>12668298</v>
      </c>
      <c r="D47" s="56"/>
      <c r="E47" s="56">
        <v>23213354</v>
      </c>
      <c r="F47" s="56"/>
      <c r="G47" s="56">
        <v>6692041</v>
      </c>
      <c r="H47" s="56"/>
      <c r="I47" s="56">
        <v>9385519</v>
      </c>
      <c r="J47" s="56"/>
      <c r="K47" s="56">
        <f>577299+263260+109066+244994</f>
        <v>1194619</v>
      </c>
      <c r="L47" s="56"/>
      <c r="M47" s="56">
        <f>3354346+8710620+41584+526666</f>
        <v>12633216</v>
      </c>
      <c r="N47" s="56"/>
      <c r="O47" s="56">
        <f t="shared" si="2"/>
        <v>13827835</v>
      </c>
      <c r="P47" s="56"/>
      <c r="Q47" s="54">
        <f t="shared" si="3"/>
        <v>0</v>
      </c>
    </row>
    <row r="48" spans="1:17" ht="12.75" hidden="1">
      <c r="A48" s="30" t="s">
        <v>45</v>
      </c>
      <c r="B48" s="30"/>
      <c r="C48" s="56">
        <v>0</v>
      </c>
      <c r="D48" s="56"/>
      <c r="E48" s="56">
        <v>0</v>
      </c>
      <c r="F48" s="56"/>
      <c r="G48" s="56">
        <v>0</v>
      </c>
      <c r="H48" s="56"/>
      <c r="I48" s="56">
        <v>0</v>
      </c>
      <c r="J48" s="56"/>
      <c r="K48" s="56">
        <v>0</v>
      </c>
      <c r="L48" s="56"/>
      <c r="M48" s="56">
        <v>0</v>
      </c>
      <c r="N48" s="56"/>
      <c r="O48" s="56">
        <f t="shared" si="2"/>
        <v>0</v>
      </c>
      <c r="P48" s="56"/>
      <c r="Q48" s="54">
        <f t="shared" si="3"/>
        <v>0</v>
      </c>
    </row>
    <row r="49" spans="1:17" ht="12.75">
      <c r="A49" s="30" t="s">
        <v>46</v>
      </c>
      <c r="B49" s="30"/>
      <c r="C49" s="56">
        <f>8845705+611391+47750</f>
        <v>9504846</v>
      </c>
      <c r="D49" s="56"/>
      <c r="E49" s="56">
        <v>47304942</v>
      </c>
      <c r="F49" s="56"/>
      <c r="G49" s="56">
        <v>22521993</v>
      </c>
      <c r="H49" s="56"/>
      <c r="I49" s="56">
        <v>31200338</v>
      </c>
      <c r="J49" s="56"/>
      <c r="K49" s="56">
        <f>173183+880141+558597</f>
        <v>1611921</v>
      </c>
      <c r="L49" s="56"/>
      <c r="M49" s="56">
        <f>43744+2281991+8568880+2021574+1576494</f>
        <v>14492683</v>
      </c>
      <c r="N49" s="56"/>
      <c r="O49" s="56">
        <f t="shared" si="2"/>
        <v>16104604</v>
      </c>
      <c r="P49" s="56"/>
      <c r="Q49" s="54">
        <f t="shared" si="3"/>
        <v>0</v>
      </c>
    </row>
    <row r="50" spans="1:17" ht="12.75">
      <c r="A50" s="30" t="s">
        <v>47</v>
      </c>
      <c r="B50" s="30"/>
      <c r="C50" s="56">
        <f>13088122+87426+37221+981013</f>
        <v>14193782</v>
      </c>
      <c r="D50" s="56"/>
      <c r="E50" s="56">
        <v>29571408</v>
      </c>
      <c r="F50" s="56"/>
      <c r="G50" s="56">
        <v>12074639</v>
      </c>
      <c r="H50" s="56"/>
      <c r="I50" s="56">
        <v>14477723</v>
      </c>
      <c r="J50" s="56"/>
      <c r="K50" s="56">
        <f>1446057+336224+636106+102532+34012+223576</f>
        <v>2778507</v>
      </c>
      <c r="L50" s="56"/>
      <c r="M50" s="56">
        <f>1700477+9795079+819622</f>
        <v>12315178</v>
      </c>
      <c r="N50" s="56"/>
      <c r="O50" s="56">
        <f t="shared" si="2"/>
        <v>15093685</v>
      </c>
      <c r="P50" s="56"/>
      <c r="Q50" s="54">
        <f t="shared" si="3"/>
        <v>0</v>
      </c>
    </row>
    <row r="51" spans="1:17" ht="12.75">
      <c r="A51" s="30" t="s">
        <v>48</v>
      </c>
      <c r="B51" s="30"/>
      <c r="C51" s="56">
        <v>83181720</v>
      </c>
      <c r="D51" s="56"/>
      <c r="E51" s="56">
        <v>165867137</v>
      </c>
      <c r="F51" s="56"/>
      <c r="G51" s="56">
        <v>59765175</v>
      </c>
      <c r="H51" s="56"/>
      <c r="I51" s="56">
        <v>69703418</v>
      </c>
      <c r="J51" s="56"/>
      <c r="K51" s="56">
        <f>2549133+516502+263504+2085623+3868175+45658+2602552</f>
        <v>11931147</v>
      </c>
      <c r="L51" s="56"/>
      <c r="M51" s="56">
        <f>242725+17689948+59905327+6394572</f>
        <v>84232572</v>
      </c>
      <c r="N51" s="56"/>
      <c r="O51" s="56">
        <f t="shared" si="2"/>
        <v>96163719</v>
      </c>
      <c r="P51" s="56"/>
      <c r="Q51" s="54">
        <f t="shared" si="3"/>
        <v>0</v>
      </c>
    </row>
    <row r="52" spans="1:17" ht="12.75" hidden="1">
      <c r="A52" s="30" t="s">
        <v>234</v>
      </c>
      <c r="B52" s="30"/>
      <c r="C52" s="56">
        <v>0</v>
      </c>
      <c r="D52" s="56"/>
      <c r="E52" s="56">
        <v>0</v>
      </c>
      <c r="F52" s="56"/>
      <c r="G52" s="56">
        <v>0</v>
      </c>
      <c r="H52" s="56"/>
      <c r="I52" s="56">
        <v>0</v>
      </c>
      <c r="J52" s="56"/>
      <c r="K52" s="56">
        <v>0</v>
      </c>
      <c r="L52" s="56"/>
      <c r="M52" s="56">
        <v>0</v>
      </c>
      <c r="N52" s="56"/>
      <c r="O52" s="56">
        <f t="shared" si="2"/>
        <v>0</v>
      </c>
      <c r="P52" s="56"/>
      <c r="Q52" s="54">
        <f t="shared" si="3"/>
        <v>0</v>
      </c>
    </row>
    <row r="53" spans="1:17" ht="12.75">
      <c r="A53" s="30" t="s">
        <v>49</v>
      </c>
      <c r="B53" s="30"/>
      <c r="C53" s="56">
        <f>20942265+165136</f>
        <v>21107401</v>
      </c>
      <c r="D53" s="56"/>
      <c r="E53" s="56">
        <v>66494577</v>
      </c>
      <c r="F53" s="56"/>
      <c r="G53" s="56">
        <v>27178881</v>
      </c>
      <c r="H53" s="56"/>
      <c r="I53" s="56">
        <v>35364008</v>
      </c>
      <c r="J53" s="56"/>
      <c r="K53" s="56">
        <f>1682177+154549+248169+3772556+2754047</f>
        <v>8611498</v>
      </c>
      <c r="L53" s="56"/>
      <c r="M53" s="56">
        <f>6935336+17175181-1591446</f>
        <v>22519071</v>
      </c>
      <c r="N53" s="56"/>
      <c r="O53" s="56">
        <f t="shared" si="2"/>
        <v>31130569</v>
      </c>
      <c r="P53" s="56"/>
      <c r="Q53" s="54">
        <f t="shared" si="3"/>
        <v>0</v>
      </c>
    </row>
    <row r="54" spans="1:17" ht="12.75">
      <c r="A54" s="30" t="s">
        <v>50</v>
      </c>
      <c r="B54" s="30"/>
      <c r="C54" s="56">
        <v>18375974</v>
      </c>
      <c r="D54" s="56"/>
      <c r="E54" s="56">
        <v>32835376</v>
      </c>
      <c r="F54" s="56"/>
      <c r="G54" s="56">
        <v>11750118</v>
      </c>
      <c r="H54" s="56"/>
      <c r="I54" s="56">
        <v>14137943</v>
      </c>
      <c r="J54" s="56"/>
      <c r="K54" s="56">
        <f>4161392+524346+210487</f>
        <v>4896225</v>
      </c>
      <c r="L54" s="56"/>
      <c r="M54" s="56">
        <f>2359383+9751543+1690282</f>
        <v>13801208</v>
      </c>
      <c r="N54" s="56"/>
      <c r="O54" s="56">
        <f t="shared" si="2"/>
        <v>18697433</v>
      </c>
      <c r="P54" s="56"/>
      <c r="Q54" s="54">
        <f t="shared" si="3"/>
        <v>0</v>
      </c>
    </row>
    <row r="55" spans="1:17" ht="12.75">
      <c r="A55" s="30" t="s">
        <v>51</v>
      </c>
      <c r="B55" s="30"/>
      <c r="C55" s="56">
        <v>103073909</v>
      </c>
      <c r="D55" s="56"/>
      <c r="E55" s="56">
        <v>218271057</v>
      </c>
      <c r="F55" s="56"/>
      <c r="G55" s="56">
        <v>76733863</v>
      </c>
      <c r="H55" s="56"/>
      <c r="I55" s="56">
        <v>112765063</v>
      </c>
      <c r="J55" s="56"/>
      <c r="K55" s="56">
        <f>11426686+1064766+12944978+220220+953126+231421</f>
        <v>26841197</v>
      </c>
      <c r="L55" s="56"/>
      <c r="M55" s="56">
        <f>22431536+67459178-11225917</f>
        <v>78664797</v>
      </c>
      <c r="N55" s="56"/>
      <c r="O55" s="56">
        <f t="shared" si="2"/>
        <v>105505994</v>
      </c>
      <c r="P55" s="56"/>
      <c r="Q55" s="54">
        <f t="shared" si="3"/>
        <v>0</v>
      </c>
    </row>
    <row r="56" spans="1:17" ht="12.75">
      <c r="A56" s="30" t="s">
        <v>190</v>
      </c>
      <c r="B56" s="30"/>
      <c r="C56" s="56">
        <v>7262000</v>
      </c>
      <c r="D56" s="56"/>
      <c r="E56" s="56">
        <v>332856000</v>
      </c>
      <c r="F56" s="56"/>
      <c r="G56" s="56">
        <v>142203000</v>
      </c>
      <c r="H56" s="56"/>
      <c r="I56" s="56">
        <v>167232000</v>
      </c>
      <c r="J56" s="56"/>
      <c r="K56" s="56">
        <f>26596000+356000+36000+7682000</f>
        <v>34670000</v>
      </c>
      <c r="L56" s="56"/>
      <c r="M56" s="56">
        <f>37023000+83586000+10345000</f>
        <v>130954000</v>
      </c>
      <c r="N56" s="56"/>
      <c r="O56" s="56">
        <f t="shared" si="2"/>
        <v>165624000</v>
      </c>
      <c r="P56" s="56"/>
      <c r="Q56" s="54">
        <f t="shared" si="3"/>
        <v>0</v>
      </c>
    </row>
    <row r="57" spans="1:17" ht="12.75" hidden="1">
      <c r="A57" s="30" t="s">
        <v>52</v>
      </c>
      <c r="B57" s="30"/>
      <c r="C57" s="56">
        <v>0</v>
      </c>
      <c r="D57" s="56"/>
      <c r="E57" s="56">
        <v>0</v>
      </c>
      <c r="F57" s="56"/>
      <c r="G57" s="56">
        <v>0</v>
      </c>
      <c r="H57" s="56"/>
      <c r="I57" s="56">
        <v>0</v>
      </c>
      <c r="J57" s="56"/>
      <c r="K57" s="56">
        <v>0</v>
      </c>
      <c r="L57" s="56"/>
      <c r="M57" s="56">
        <v>0</v>
      </c>
      <c r="N57" s="56"/>
      <c r="O57" s="56">
        <f t="shared" si="2"/>
        <v>0</v>
      </c>
      <c r="P57" s="56"/>
      <c r="Q57" s="54">
        <f t="shared" si="3"/>
        <v>0</v>
      </c>
    </row>
    <row r="58" spans="1:17" s="126" customFormat="1" ht="12.75" hidden="1">
      <c r="A58" s="153" t="s">
        <v>53</v>
      </c>
      <c r="B58" s="153"/>
      <c r="C58" s="161">
        <v>0</v>
      </c>
      <c r="D58" s="161"/>
      <c r="E58" s="161">
        <v>0</v>
      </c>
      <c r="F58" s="161"/>
      <c r="G58" s="161">
        <v>0</v>
      </c>
      <c r="H58" s="161"/>
      <c r="I58" s="161">
        <v>0</v>
      </c>
      <c r="J58" s="161"/>
      <c r="K58" s="161">
        <v>0</v>
      </c>
      <c r="L58" s="161"/>
      <c r="M58" s="161">
        <v>0</v>
      </c>
      <c r="N58" s="161"/>
      <c r="O58" s="161">
        <f t="shared" si="2"/>
        <v>0</v>
      </c>
      <c r="P58" s="161"/>
      <c r="Q58" s="133">
        <f t="shared" si="3"/>
        <v>0</v>
      </c>
    </row>
    <row r="59" spans="1:17" ht="12.75">
      <c r="A59" s="30" t="s">
        <v>54</v>
      </c>
      <c r="B59" s="30"/>
      <c r="C59" s="56">
        <f>21242248+22850</f>
        <v>21265098</v>
      </c>
      <c r="D59" s="56"/>
      <c r="E59" s="56">
        <v>37202200</v>
      </c>
      <c r="F59" s="56"/>
      <c r="G59" s="56">
        <v>12514754</v>
      </c>
      <c r="H59" s="56"/>
      <c r="I59" s="56">
        <v>14738669</v>
      </c>
      <c r="J59" s="56"/>
      <c r="K59" s="56">
        <f>1809818+567597+56356</f>
        <v>2433771</v>
      </c>
      <c r="L59" s="56"/>
      <c r="M59" s="56">
        <f>6037725+11871904+651940+1468191</f>
        <v>20029760</v>
      </c>
      <c r="N59" s="56"/>
      <c r="O59" s="56">
        <f t="shared" si="2"/>
        <v>22463531</v>
      </c>
      <c r="P59" s="56"/>
      <c r="Q59" s="54">
        <f t="shared" si="3"/>
        <v>0</v>
      </c>
    </row>
    <row r="60" spans="1:17" ht="12.75">
      <c r="A60" s="30" t="s">
        <v>55</v>
      </c>
      <c r="B60" s="30"/>
      <c r="C60" s="56">
        <v>43131753</v>
      </c>
      <c r="D60" s="56"/>
      <c r="E60" s="56">
        <v>87112082</v>
      </c>
      <c r="F60" s="56"/>
      <c r="G60" s="56">
        <v>36186562</v>
      </c>
      <c r="H60" s="56"/>
      <c r="I60" s="56">
        <v>44809281</v>
      </c>
      <c r="J60" s="56"/>
      <c r="K60" s="56">
        <f>2754757+115397</f>
        <v>2870154</v>
      </c>
      <c r="L60" s="56"/>
      <c r="M60" s="56">
        <f>11882337+25512420+1343977+693913</f>
        <v>39432647</v>
      </c>
      <c r="N60" s="56"/>
      <c r="O60" s="56">
        <f t="shared" si="2"/>
        <v>42302801</v>
      </c>
      <c r="P60" s="56"/>
      <c r="Q60" s="54">
        <f t="shared" si="3"/>
        <v>0</v>
      </c>
    </row>
    <row r="61" spans="1:17" ht="12.75" hidden="1">
      <c r="A61" s="30" t="s">
        <v>175</v>
      </c>
      <c r="B61" s="30"/>
      <c r="C61" s="56">
        <v>0</v>
      </c>
      <c r="D61" s="56"/>
      <c r="E61" s="56">
        <v>0</v>
      </c>
      <c r="F61" s="56"/>
      <c r="G61" s="56">
        <v>0</v>
      </c>
      <c r="H61" s="56"/>
      <c r="I61" s="56">
        <v>0</v>
      </c>
      <c r="J61" s="56"/>
      <c r="K61" s="56">
        <v>0</v>
      </c>
      <c r="L61" s="56"/>
      <c r="M61" s="56">
        <v>0</v>
      </c>
      <c r="N61" s="56"/>
      <c r="O61" s="56">
        <f t="shared" si="2"/>
        <v>0</v>
      </c>
      <c r="P61" s="56"/>
      <c r="Q61" s="54">
        <f t="shared" si="3"/>
        <v>0</v>
      </c>
    </row>
    <row r="62" spans="1:17" ht="12.75" hidden="1">
      <c r="A62" s="30" t="s">
        <v>56</v>
      </c>
      <c r="B62" s="30"/>
      <c r="C62" s="56">
        <v>0</v>
      </c>
      <c r="D62" s="56"/>
      <c r="E62" s="56">
        <v>0</v>
      </c>
      <c r="F62" s="56"/>
      <c r="G62" s="56">
        <v>0</v>
      </c>
      <c r="H62" s="56"/>
      <c r="I62" s="56">
        <v>0</v>
      </c>
      <c r="J62" s="56"/>
      <c r="K62" s="56">
        <v>0</v>
      </c>
      <c r="L62" s="56"/>
      <c r="M62" s="56">
        <v>0</v>
      </c>
      <c r="N62" s="56"/>
      <c r="O62" s="56">
        <f t="shared" si="2"/>
        <v>0</v>
      </c>
      <c r="P62" s="56"/>
      <c r="Q62" s="54">
        <f t="shared" si="3"/>
        <v>0</v>
      </c>
    </row>
    <row r="63" spans="1:17" ht="12.75">
      <c r="A63" s="30" t="s">
        <v>57</v>
      </c>
      <c r="B63" s="30"/>
      <c r="C63" s="56">
        <f>16610095+1826440</f>
        <v>18436535</v>
      </c>
      <c r="D63" s="56"/>
      <c r="E63" s="56">
        <v>73967784</v>
      </c>
      <c r="F63" s="56"/>
      <c r="G63" s="56">
        <v>26106610</v>
      </c>
      <c r="H63" s="56"/>
      <c r="I63" s="56">
        <v>29143333</v>
      </c>
      <c r="J63" s="56"/>
      <c r="K63" s="56">
        <f>2316432+172611+257598+102824+667568+55468</f>
        <v>3572501</v>
      </c>
      <c r="L63" s="56"/>
      <c r="M63" s="56">
        <f>15118408+22360201+3773341</f>
        <v>41251950</v>
      </c>
      <c r="N63" s="56"/>
      <c r="O63" s="56">
        <f>+M63+K63</f>
        <v>44824451</v>
      </c>
      <c r="P63" s="56"/>
      <c r="Q63" s="54">
        <f>+E63-I63-O63</f>
        <v>0</v>
      </c>
    </row>
    <row r="64" spans="1:17" ht="12.75">
      <c r="A64" s="30" t="s">
        <v>58</v>
      </c>
      <c r="B64" s="30"/>
      <c r="C64" s="56">
        <v>4819847</v>
      </c>
      <c r="D64" s="56"/>
      <c r="E64" s="56">
        <v>8531253</v>
      </c>
      <c r="F64" s="56"/>
      <c r="G64" s="56">
        <v>2522982</v>
      </c>
      <c r="H64" s="56"/>
      <c r="I64" s="56">
        <v>3213500</v>
      </c>
      <c r="J64" s="56"/>
      <c r="K64" s="56">
        <f>232395+34000+322187</f>
        <v>588582</v>
      </c>
      <c r="L64" s="56"/>
      <c r="M64" s="56">
        <f>351696+4168435+209040</f>
        <v>4729171</v>
      </c>
      <c r="N64" s="56"/>
      <c r="O64" s="56">
        <f t="shared" si="2"/>
        <v>5317753</v>
      </c>
      <c r="P64" s="56"/>
      <c r="Q64" s="54">
        <f t="shared" si="3"/>
        <v>0</v>
      </c>
    </row>
    <row r="65" spans="1:17" ht="12.75">
      <c r="A65" s="30" t="s">
        <v>59</v>
      </c>
      <c r="B65" s="30"/>
      <c r="C65" s="56">
        <f>233390250+10009961</f>
        <v>243400211</v>
      </c>
      <c r="D65" s="56"/>
      <c r="E65" s="56">
        <v>468996259</v>
      </c>
      <c r="F65" s="56"/>
      <c r="G65" s="56">
        <v>167837033</v>
      </c>
      <c r="H65" s="56"/>
      <c r="I65" s="56">
        <v>219718535</v>
      </c>
      <c r="J65" s="56"/>
      <c r="K65" s="56">
        <f>75633177+1029051</f>
        <v>76662228</v>
      </c>
      <c r="L65" s="56"/>
      <c r="M65" s="56">
        <f>39749745+101812790+31052961</f>
        <v>172615496</v>
      </c>
      <c r="N65" s="56"/>
      <c r="O65" s="56">
        <f t="shared" si="2"/>
        <v>249277724</v>
      </c>
      <c r="P65" s="56"/>
      <c r="Q65" s="54">
        <f t="shared" si="3"/>
        <v>0</v>
      </c>
    </row>
    <row r="66" spans="1:17" ht="12.75" hidden="1">
      <c r="A66" s="30" t="s">
        <v>60</v>
      </c>
      <c r="B66" s="30"/>
      <c r="C66" s="56">
        <v>0</v>
      </c>
      <c r="D66" s="56"/>
      <c r="E66" s="56">
        <v>0</v>
      </c>
      <c r="F66" s="56"/>
      <c r="G66" s="56">
        <v>0</v>
      </c>
      <c r="H66" s="56"/>
      <c r="I66" s="56">
        <v>0</v>
      </c>
      <c r="J66" s="56"/>
      <c r="K66" s="56">
        <v>0</v>
      </c>
      <c r="L66" s="56"/>
      <c r="M66" s="56">
        <v>0</v>
      </c>
      <c r="N66" s="56"/>
      <c r="O66" s="56">
        <f t="shared" si="2"/>
        <v>0</v>
      </c>
      <c r="P66" s="56"/>
      <c r="Q66" s="54">
        <f t="shared" si="3"/>
        <v>0</v>
      </c>
    </row>
    <row r="67" spans="1:17" ht="12.75">
      <c r="A67" s="30" t="s">
        <v>97</v>
      </c>
      <c r="B67" s="30"/>
      <c r="C67" s="56">
        <v>9059782</v>
      </c>
      <c r="D67" s="56"/>
      <c r="E67" s="56">
        <v>19239878</v>
      </c>
      <c r="F67" s="56"/>
      <c r="G67" s="56">
        <v>6362526</v>
      </c>
      <c r="H67" s="56"/>
      <c r="I67" s="56">
        <v>7685538</v>
      </c>
      <c r="J67" s="56"/>
      <c r="K67" s="56">
        <f>1037384+107862+2786984+201854+926639+48040</f>
        <v>5108763</v>
      </c>
      <c r="L67" s="56"/>
      <c r="M67" s="56">
        <f>1232941+4297814+914822</f>
        <v>6445577</v>
      </c>
      <c r="N67" s="56"/>
      <c r="O67" s="56">
        <f t="shared" si="2"/>
        <v>11554340</v>
      </c>
      <c r="P67" s="56"/>
      <c r="Q67" s="54">
        <f t="shared" si="3"/>
        <v>0</v>
      </c>
    </row>
    <row r="68" spans="1:17" ht="12.75">
      <c r="A68" s="30" t="s">
        <v>61</v>
      </c>
      <c r="B68" s="30"/>
      <c r="C68" s="56">
        <v>32815304</v>
      </c>
      <c r="D68" s="56"/>
      <c r="E68" s="56">
        <v>61019593</v>
      </c>
      <c r="F68" s="56"/>
      <c r="G68" s="56">
        <v>20999653</v>
      </c>
      <c r="H68" s="56"/>
      <c r="I68" s="56">
        <v>26332634</v>
      </c>
      <c r="J68" s="56"/>
      <c r="K68" s="56">
        <v>4178744</v>
      </c>
      <c r="L68" s="56"/>
      <c r="M68" s="56">
        <f>10612813+18689737+417895+787770</f>
        <v>30508215</v>
      </c>
      <c r="N68" s="56"/>
      <c r="O68" s="56">
        <f t="shared" si="2"/>
        <v>34686959</v>
      </c>
      <c r="P68" s="56"/>
      <c r="Q68" s="54">
        <f t="shared" si="3"/>
        <v>0</v>
      </c>
    </row>
    <row r="69" spans="1:17" ht="12.75">
      <c r="A69" s="30" t="s">
        <v>62</v>
      </c>
      <c r="B69" s="30"/>
      <c r="C69" s="56">
        <f>4069815+1400+226570</f>
        <v>4297785</v>
      </c>
      <c r="D69" s="56"/>
      <c r="E69" s="56">
        <v>9009378</v>
      </c>
      <c r="F69" s="56"/>
      <c r="G69" s="56">
        <v>3406338</v>
      </c>
      <c r="H69" s="56"/>
      <c r="I69" s="56">
        <v>4243190</v>
      </c>
      <c r="J69" s="56"/>
      <c r="K69" s="56">
        <f>86860+18441+8039</f>
        <v>113340</v>
      </c>
      <c r="L69" s="56"/>
      <c r="M69" s="56">
        <f>548853+3828929+163507+111559</f>
        <v>4652848</v>
      </c>
      <c r="N69" s="56"/>
      <c r="O69" s="56">
        <f t="shared" si="2"/>
        <v>4766188</v>
      </c>
      <c r="P69" s="56"/>
      <c r="Q69" s="54">
        <f t="shared" si="3"/>
        <v>0</v>
      </c>
    </row>
    <row r="70" spans="1:17" ht="12.75">
      <c r="A70" s="30" t="s">
        <v>63</v>
      </c>
      <c r="B70" s="30"/>
      <c r="C70" s="56">
        <f>13601548+47864</f>
        <v>13649412</v>
      </c>
      <c r="D70" s="56"/>
      <c r="E70" s="56">
        <v>48866574</v>
      </c>
      <c r="F70" s="56"/>
      <c r="G70" s="56">
        <v>31120215</v>
      </c>
      <c r="H70" s="56"/>
      <c r="I70" s="56">
        <v>35003674</v>
      </c>
      <c r="J70" s="56"/>
      <c r="K70" s="56">
        <f>1426487+80398+1072+1098265+1334221</f>
        <v>3940443</v>
      </c>
      <c r="L70" s="56"/>
      <c r="M70" s="56">
        <f>2604591+8764744-1446878</f>
        <v>9922457</v>
      </c>
      <c r="N70" s="56"/>
      <c r="O70" s="56">
        <f t="shared" si="2"/>
        <v>13862900</v>
      </c>
      <c r="P70" s="56"/>
      <c r="Q70" s="54">
        <f t="shared" si="3"/>
        <v>0</v>
      </c>
    </row>
    <row r="71" spans="1:17" ht="12.75" hidden="1">
      <c r="A71" s="30" t="s">
        <v>132</v>
      </c>
      <c r="B71" s="30"/>
      <c r="C71" s="56">
        <v>0</v>
      </c>
      <c r="D71" s="56"/>
      <c r="E71" s="56">
        <v>0</v>
      </c>
      <c r="F71" s="56"/>
      <c r="G71" s="56">
        <v>0</v>
      </c>
      <c r="H71" s="56"/>
      <c r="I71" s="56">
        <v>0</v>
      </c>
      <c r="J71" s="56"/>
      <c r="K71" s="56">
        <v>0</v>
      </c>
      <c r="L71" s="56"/>
      <c r="M71" s="56">
        <v>0</v>
      </c>
      <c r="N71" s="56"/>
      <c r="O71" s="56">
        <f t="shared" si="2"/>
        <v>0</v>
      </c>
      <c r="P71" s="56"/>
      <c r="Q71" s="54">
        <f t="shared" si="3"/>
        <v>0</v>
      </c>
    </row>
    <row r="72" spans="1:17" ht="12.75" hidden="1">
      <c r="A72" s="30" t="s">
        <v>64</v>
      </c>
      <c r="B72" s="30"/>
      <c r="C72" s="56">
        <v>0</v>
      </c>
      <c r="D72" s="56"/>
      <c r="E72" s="56">
        <v>0</v>
      </c>
      <c r="F72" s="56"/>
      <c r="G72" s="56">
        <v>0</v>
      </c>
      <c r="H72" s="56"/>
      <c r="I72" s="56">
        <v>0</v>
      </c>
      <c r="J72" s="56"/>
      <c r="K72" s="56">
        <v>0</v>
      </c>
      <c r="L72" s="56"/>
      <c r="M72" s="56">
        <v>0</v>
      </c>
      <c r="N72" s="56"/>
      <c r="O72" s="56">
        <f t="shared" si="2"/>
        <v>0</v>
      </c>
      <c r="P72" s="56"/>
      <c r="Q72" s="54">
        <f t="shared" si="3"/>
        <v>0</v>
      </c>
    </row>
    <row r="73" spans="1:17" ht="12.75">
      <c r="A73" s="30"/>
      <c r="B73" s="30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 t="s">
        <v>242</v>
      </c>
      <c r="P73" s="56"/>
      <c r="Q73" s="54"/>
    </row>
    <row r="74" spans="1:17" ht="12.75">
      <c r="A74" s="30" t="s">
        <v>65</v>
      </c>
      <c r="B74" s="30"/>
      <c r="C74" s="144">
        <f>8872091+99728</f>
        <v>8971819</v>
      </c>
      <c r="D74" s="144"/>
      <c r="E74" s="144">
        <v>19694584</v>
      </c>
      <c r="F74" s="144"/>
      <c r="G74" s="144">
        <v>7943438</v>
      </c>
      <c r="H74" s="144"/>
      <c r="I74" s="144">
        <v>10613917</v>
      </c>
      <c r="J74" s="144"/>
      <c r="K74" s="144">
        <f>264080+97555</f>
        <v>361635</v>
      </c>
      <c r="L74" s="144"/>
      <c r="M74" s="144">
        <f>2502774+5778000+438258</f>
        <v>8719032</v>
      </c>
      <c r="N74" s="144"/>
      <c r="O74" s="144">
        <f t="shared" si="2"/>
        <v>9080667</v>
      </c>
      <c r="P74" s="56"/>
      <c r="Q74" s="54">
        <f t="shared" si="3"/>
        <v>0</v>
      </c>
    </row>
    <row r="75" spans="1:17" ht="12.75">
      <c r="A75" s="30" t="s">
        <v>66</v>
      </c>
      <c r="B75" s="30"/>
      <c r="C75" s="56">
        <f>8165505+27014</f>
        <v>8192519</v>
      </c>
      <c r="D75" s="56"/>
      <c r="E75" s="56">
        <v>17393232</v>
      </c>
      <c r="F75" s="56"/>
      <c r="G75" s="56">
        <v>5336868</v>
      </c>
      <c r="H75" s="56"/>
      <c r="I75" s="56">
        <v>9886163</v>
      </c>
      <c r="J75" s="56"/>
      <c r="K75" s="56">
        <f>590091+1333801</f>
        <v>1923892</v>
      </c>
      <c r="L75" s="56"/>
      <c r="M75" s="56">
        <f>6263985+1882432-2563240</f>
        <v>5583177</v>
      </c>
      <c r="N75" s="56"/>
      <c r="O75" s="56">
        <f t="shared" si="2"/>
        <v>7507069</v>
      </c>
      <c r="P75" s="56"/>
      <c r="Q75" s="54">
        <f t="shared" si="3"/>
        <v>0</v>
      </c>
    </row>
    <row r="76" spans="1:17" ht="12.75">
      <c r="A76" s="30" t="s">
        <v>67</v>
      </c>
      <c r="B76" s="30"/>
      <c r="C76" s="56">
        <f>35780790+1047243</f>
        <v>36828033</v>
      </c>
      <c r="D76" s="56"/>
      <c r="E76" s="56">
        <v>91850960</v>
      </c>
      <c r="F76" s="56"/>
      <c r="G76" s="56">
        <v>41517564</v>
      </c>
      <c r="H76" s="56"/>
      <c r="I76" s="56">
        <v>49405757</v>
      </c>
      <c r="J76" s="56"/>
      <c r="K76" s="56">
        <f>3943685+419000+4714444+343898</f>
        <v>9421027</v>
      </c>
      <c r="L76" s="56"/>
      <c r="M76" s="56">
        <f>10209290+23350252+342150-877516</f>
        <v>33024176</v>
      </c>
      <c r="N76" s="56"/>
      <c r="O76" s="56">
        <f aca="true" t="shared" si="4" ref="O76:O96">+M76+K76</f>
        <v>42445203</v>
      </c>
      <c r="P76" s="56"/>
      <c r="Q76" s="54">
        <f aca="true" t="shared" si="5" ref="Q76:Q96">+E76-I76-O76</f>
        <v>0</v>
      </c>
    </row>
    <row r="77" spans="1:17" ht="12.75">
      <c r="A77" s="30" t="s">
        <v>68</v>
      </c>
      <c r="B77" s="30"/>
      <c r="C77" s="56">
        <f>7326798+116885</f>
        <v>7443683</v>
      </c>
      <c r="D77" s="56"/>
      <c r="E77" s="56">
        <v>19472529</v>
      </c>
      <c r="F77" s="56"/>
      <c r="G77" s="56">
        <v>8137495</v>
      </c>
      <c r="H77" s="56"/>
      <c r="I77" s="56">
        <v>10770252</v>
      </c>
      <c r="J77" s="56"/>
      <c r="K77" s="56">
        <v>680307</v>
      </c>
      <c r="L77" s="56"/>
      <c r="M77" s="56">
        <f>1977578+5264621+514890+264881</f>
        <v>8021970</v>
      </c>
      <c r="N77" s="56"/>
      <c r="O77" s="56">
        <f t="shared" si="4"/>
        <v>8702277</v>
      </c>
      <c r="P77" s="56"/>
      <c r="Q77" s="54">
        <f t="shared" si="5"/>
        <v>0</v>
      </c>
    </row>
    <row r="78" spans="1:17" ht="12.75" hidden="1">
      <c r="A78" s="30" t="s">
        <v>180</v>
      </c>
      <c r="B78" s="30"/>
      <c r="C78" s="56">
        <v>0</v>
      </c>
      <c r="D78" s="56"/>
      <c r="E78" s="56">
        <v>0</v>
      </c>
      <c r="F78" s="56"/>
      <c r="G78" s="56">
        <v>0</v>
      </c>
      <c r="H78" s="56"/>
      <c r="I78" s="56">
        <v>0</v>
      </c>
      <c r="J78" s="56"/>
      <c r="K78" s="56">
        <v>0</v>
      </c>
      <c r="L78" s="56"/>
      <c r="M78" s="56">
        <v>0</v>
      </c>
      <c r="N78" s="56"/>
      <c r="O78" s="56">
        <f t="shared" si="4"/>
        <v>0</v>
      </c>
      <c r="P78" s="56"/>
      <c r="Q78" s="54">
        <f t="shared" si="5"/>
        <v>0</v>
      </c>
    </row>
    <row r="79" spans="1:17" ht="12.75">
      <c r="A79" s="30" t="s">
        <v>185</v>
      </c>
      <c r="B79" s="30"/>
      <c r="C79" s="56">
        <f>47017138+45602</f>
        <v>47062740</v>
      </c>
      <c r="D79" s="56"/>
      <c r="E79" s="56">
        <v>94260737</v>
      </c>
      <c r="F79" s="56"/>
      <c r="G79" s="56">
        <v>42145327</v>
      </c>
      <c r="H79" s="56"/>
      <c r="I79" s="56">
        <v>61582861</v>
      </c>
      <c r="J79" s="56"/>
      <c r="K79" s="56">
        <f>1956421+334692+383697</f>
        <v>2674810</v>
      </c>
      <c r="L79" s="56"/>
      <c r="M79" s="56">
        <f>100314+799532+33855283-226097-4525966</f>
        <v>30003066</v>
      </c>
      <c r="N79" s="56"/>
      <c r="O79" s="56">
        <f t="shared" si="4"/>
        <v>32677876</v>
      </c>
      <c r="P79" s="56"/>
      <c r="Q79" s="54">
        <f t="shared" si="5"/>
        <v>0</v>
      </c>
    </row>
    <row r="80" spans="1:17" ht="12.75">
      <c r="A80" s="30" t="s">
        <v>69</v>
      </c>
      <c r="B80" s="30"/>
      <c r="C80" s="56">
        <f>6875644+444022</f>
        <v>7319666</v>
      </c>
      <c r="D80" s="56"/>
      <c r="E80" s="56">
        <v>23686875</v>
      </c>
      <c r="F80" s="56"/>
      <c r="G80" s="56">
        <v>7856133</v>
      </c>
      <c r="H80" s="56"/>
      <c r="I80" s="56">
        <v>15144139</v>
      </c>
      <c r="J80" s="56"/>
      <c r="K80" s="56">
        <f>900348+450000+3275</f>
        <v>1353623</v>
      </c>
      <c r="L80" s="56"/>
      <c r="M80" s="56">
        <f>3098832+3610217+396524+83540</f>
        <v>7189113</v>
      </c>
      <c r="N80" s="56"/>
      <c r="O80" s="56">
        <f t="shared" si="4"/>
        <v>8542736</v>
      </c>
      <c r="P80" s="56"/>
      <c r="Q80" s="54">
        <f t="shared" si="5"/>
        <v>0</v>
      </c>
    </row>
    <row r="81" spans="1:17" ht="12.75">
      <c r="A81" s="30" t="s">
        <v>98</v>
      </c>
      <c r="B81" s="30"/>
      <c r="C81" s="56">
        <v>19958256</v>
      </c>
      <c r="D81" s="56"/>
      <c r="E81" s="56">
        <v>34783178</v>
      </c>
      <c r="F81" s="56"/>
      <c r="G81" s="56">
        <v>10879295</v>
      </c>
      <c r="H81" s="56"/>
      <c r="I81" s="56">
        <v>13951805</v>
      </c>
      <c r="J81" s="56"/>
      <c r="K81" s="56">
        <f>271135+86089+405148+82887+107160</f>
        <v>952419</v>
      </c>
      <c r="L81" s="56"/>
      <c r="M81" s="56">
        <f>3766423+12576956+811059+2724516</f>
        <v>19878954</v>
      </c>
      <c r="N81" s="56"/>
      <c r="O81" s="56">
        <f t="shared" si="4"/>
        <v>20831373</v>
      </c>
      <c r="P81" s="56"/>
      <c r="Q81" s="54">
        <f t="shared" si="5"/>
        <v>0</v>
      </c>
    </row>
    <row r="82" spans="1:17" ht="12.75">
      <c r="A82" s="30" t="s">
        <v>70</v>
      </c>
      <c r="B82" s="30"/>
      <c r="C82" s="56">
        <f>8785734+79386</f>
        <v>8865120</v>
      </c>
      <c r="D82" s="56"/>
      <c r="E82" s="56">
        <v>25466712</v>
      </c>
      <c r="F82" s="56"/>
      <c r="G82" s="56">
        <v>9711192</v>
      </c>
      <c r="H82" s="56"/>
      <c r="I82" s="56">
        <v>14443331</v>
      </c>
      <c r="J82" s="56"/>
      <c r="K82" s="56">
        <f>331378+194822+680295+24171+271023</f>
        <v>1501689</v>
      </c>
      <c r="L82" s="56"/>
      <c r="M82" s="56">
        <f>323345+8786630+116364+295353</f>
        <v>9521692</v>
      </c>
      <c r="N82" s="56"/>
      <c r="O82" s="56">
        <f t="shared" si="4"/>
        <v>11023381</v>
      </c>
      <c r="P82" s="56"/>
      <c r="Q82" s="54">
        <f t="shared" si="5"/>
        <v>0</v>
      </c>
    </row>
    <row r="83" spans="1:17" ht="12.75">
      <c r="A83" s="30" t="s">
        <v>71</v>
      </c>
      <c r="B83" s="30"/>
      <c r="C83" s="56">
        <v>15153153</v>
      </c>
      <c r="D83" s="56"/>
      <c r="E83" s="56">
        <v>33586194</v>
      </c>
      <c r="F83" s="56"/>
      <c r="G83" s="56">
        <v>13924943</v>
      </c>
      <c r="H83" s="56"/>
      <c r="I83" s="56">
        <v>16914935</v>
      </c>
      <c r="J83" s="56"/>
      <c r="K83" s="56">
        <f>1793410+119095+108597</f>
        <v>2021102</v>
      </c>
      <c r="L83" s="56"/>
      <c r="M83" s="56">
        <f>2382527+11283661+22676+961293</f>
        <v>14650157</v>
      </c>
      <c r="N83" s="56"/>
      <c r="O83" s="56">
        <f t="shared" si="4"/>
        <v>16671259</v>
      </c>
      <c r="P83" s="56"/>
      <c r="Q83" s="54">
        <f t="shared" si="5"/>
        <v>0</v>
      </c>
    </row>
    <row r="84" spans="1:17" ht="12.75">
      <c r="A84" s="30" t="s">
        <v>72</v>
      </c>
      <c r="B84" s="30"/>
      <c r="C84" s="56">
        <f>11943774+31412</f>
        <v>11975186</v>
      </c>
      <c r="D84" s="56"/>
      <c r="E84" s="56">
        <v>27909941</v>
      </c>
      <c r="F84" s="56"/>
      <c r="G84" s="56">
        <v>11555923</v>
      </c>
      <c r="H84" s="56"/>
      <c r="I84" s="56">
        <v>14198743</v>
      </c>
      <c r="J84" s="56"/>
      <c r="K84" s="56">
        <f>860695+157276+22500+794857+29411</f>
        <v>1864739</v>
      </c>
      <c r="L84" s="56"/>
      <c r="M84" s="56">
        <f>2025870+8906767+11588+902234</f>
        <v>11846459</v>
      </c>
      <c r="N84" s="56"/>
      <c r="O84" s="56">
        <f t="shared" si="4"/>
        <v>13711198</v>
      </c>
      <c r="P84" s="56"/>
      <c r="Q84" s="54">
        <f t="shared" si="5"/>
        <v>0</v>
      </c>
    </row>
    <row r="85" spans="1:17" ht="12.75">
      <c r="A85" s="30" t="s">
        <v>73</v>
      </c>
      <c r="B85" s="30"/>
      <c r="C85" s="56">
        <f>63810412+692273+1114658</f>
        <v>65617343</v>
      </c>
      <c r="D85" s="56"/>
      <c r="E85" s="56">
        <v>195692303</v>
      </c>
      <c r="F85" s="56"/>
      <c r="G85" s="56">
        <v>103249317</v>
      </c>
      <c r="H85" s="56"/>
      <c r="I85" s="56">
        <v>121499899</v>
      </c>
      <c r="J85" s="56"/>
      <c r="K85" s="56">
        <f>18147519+337172+1996068+410227</f>
        <v>20890986</v>
      </c>
      <c r="L85" s="56"/>
      <c r="M85" s="56">
        <f>9422082+42639887+1239449</f>
        <v>53301418</v>
      </c>
      <c r="N85" s="56"/>
      <c r="O85" s="56">
        <f t="shared" si="4"/>
        <v>74192404</v>
      </c>
      <c r="P85" s="56"/>
      <c r="Q85" s="54">
        <f t="shared" si="5"/>
        <v>0</v>
      </c>
    </row>
    <row r="86" spans="1:17" ht="12.75">
      <c r="A86" s="30" t="s">
        <v>74</v>
      </c>
      <c r="B86" s="30"/>
      <c r="C86" s="56">
        <f>154517883+5228279</f>
        <v>159746162</v>
      </c>
      <c r="D86" s="56"/>
      <c r="E86" s="56">
        <v>346225437</v>
      </c>
      <c r="F86" s="56"/>
      <c r="G86" s="56">
        <v>154062630</v>
      </c>
      <c r="H86" s="56"/>
      <c r="I86" s="56">
        <v>182826663</v>
      </c>
      <c r="J86" s="56"/>
      <c r="K86" s="56">
        <f>31464663+140647+1669881+4312519</f>
        <v>37587710</v>
      </c>
      <c r="L86" s="56"/>
      <c r="M86" s="56">
        <f>64405120+49412088+3781966+8211890</f>
        <v>125811064</v>
      </c>
      <c r="N86" s="56"/>
      <c r="O86" s="56">
        <f t="shared" si="4"/>
        <v>163398774</v>
      </c>
      <c r="P86" s="56"/>
      <c r="Q86" s="54">
        <f t="shared" si="5"/>
        <v>0</v>
      </c>
    </row>
    <row r="87" spans="1:17" ht="12.75">
      <c r="A87" s="30" t="s">
        <v>75</v>
      </c>
      <c r="B87" s="30"/>
      <c r="C87" s="56">
        <f>46160975+715494+48039</f>
        <v>46924508</v>
      </c>
      <c r="D87" s="56"/>
      <c r="E87" s="56">
        <v>99014329</v>
      </c>
      <c r="F87" s="56"/>
      <c r="G87" s="56">
        <v>46415929</v>
      </c>
      <c r="H87" s="56"/>
      <c r="I87" s="56">
        <v>54491426</v>
      </c>
      <c r="J87" s="56"/>
      <c r="K87" s="56">
        <f>6841233+999607+771864</f>
        <v>8612704</v>
      </c>
      <c r="L87" s="56"/>
      <c r="M87" s="56">
        <f>3458135+22014092+1337212+9100760</f>
        <v>35910199</v>
      </c>
      <c r="N87" s="56"/>
      <c r="O87" s="56">
        <f t="shared" si="4"/>
        <v>44522903</v>
      </c>
      <c r="P87" s="56"/>
      <c r="Q87" s="54">
        <f t="shared" si="5"/>
        <v>0</v>
      </c>
    </row>
    <row r="88" spans="1:17" ht="12.75">
      <c r="A88" s="30" t="s">
        <v>76</v>
      </c>
      <c r="B88" s="30"/>
      <c r="C88" s="56">
        <f>42965438+102953+1379910</f>
        <v>44448301</v>
      </c>
      <c r="D88" s="56"/>
      <c r="E88" s="56">
        <v>68282573</v>
      </c>
      <c r="F88" s="56"/>
      <c r="G88" s="56">
        <v>14951890</v>
      </c>
      <c r="H88" s="56"/>
      <c r="I88" s="56">
        <v>21687902</v>
      </c>
      <c r="J88" s="56"/>
      <c r="K88" s="56">
        <f>3220430+61119+4151193+849043+102953</f>
        <v>8384738</v>
      </c>
      <c r="L88" s="56"/>
      <c r="M88" s="56">
        <f>13208972+22321999+2678962</f>
        <v>38209933</v>
      </c>
      <c r="N88" s="56"/>
      <c r="O88" s="56">
        <f t="shared" si="4"/>
        <v>46594671</v>
      </c>
      <c r="P88" s="56"/>
      <c r="Q88" s="54">
        <f t="shared" si="5"/>
        <v>0</v>
      </c>
    </row>
    <row r="89" spans="1:17" ht="12.75">
      <c r="A89" s="30" t="s">
        <v>77</v>
      </c>
      <c r="B89" s="30"/>
      <c r="C89" s="56">
        <f>15991751+690992</f>
        <v>16682743</v>
      </c>
      <c r="D89" s="56"/>
      <c r="E89" s="56">
        <v>35939858</v>
      </c>
      <c r="F89" s="56"/>
      <c r="G89" s="56">
        <v>16378246</v>
      </c>
      <c r="H89" s="56"/>
      <c r="I89" s="56">
        <v>18334439</v>
      </c>
      <c r="J89" s="56"/>
      <c r="K89" s="56">
        <f>677251+135637+162485+136149+351063</f>
        <v>1462585</v>
      </c>
      <c r="L89" s="56"/>
      <c r="M89" s="56">
        <f>4443403+10035585+1663846</f>
        <v>16142834</v>
      </c>
      <c r="N89" s="56"/>
      <c r="O89" s="56">
        <f t="shared" si="4"/>
        <v>17605419</v>
      </c>
      <c r="P89" s="56"/>
      <c r="Q89" s="54">
        <f t="shared" si="5"/>
        <v>0</v>
      </c>
    </row>
    <row r="90" spans="1:17" ht="12.75">
      <c r="A90" s="30" t="s">
        <v>78</v>
      </c>
      <c r="B90" s="30"/>
      <c r="C90" s="56">
        <f>5870485+54992+144141</f>
        <v>6069618</v>
      </c>
      <c r="D90" s="56"/>
      <c r="E90" s="56">
        <v>17217430</v>
      </c>
      <c r="F90" s="56"/>
      <c r="G90" s="56">
        <v>9222157</v>
      </c>
      <c r="H90" s="56"/>
      <c r="I90" s="56">
        <v>15009643</v>
      </c>
      <c r="J90" s="56"/>
      <c r="K90" s="56">
        <f>61436+253023+11104</f>
        <v>325563</v>
      </c>
      <c r="L90" s="56"/>
      <c r="M90" s="56">
        <f>1266099+4799394+407147-4590416</f>
        <v>1882224</v>
      </c>
      <c r="N90" s="56"/>
      <c r="O90" s="56">
        <f t="shared" si="4"/>
        <v>2207787</v>
      </c>
      <c r="P90" s="56"/>
      <c r="Q90" s="54">
        <f t="shared" si="5"/>
        <v>0</v>
      </c>
    </row>
    <row r="91" spans="1:17" ht="12.75">
      <c r="A91" s="30" t="s">
        <v>79</v>
      </c>
      <c r="B91" s="30"/>
      <c r="C91" s="56">
        <v>2068882</v>
      </c>
      <c r="D91" s="56"/>
      <c r="E91" s="56">
        <v>10393156</v>
      </c>
      <c r="F91" s="56"/>
      <c r="G91" s="56">
        <v>5784927</v>
      </c>
      <c r="H91" s="56"/>
      <c r="I91" s="56">
        <v>6400255</v>
      </c>
      <c r="J91" s="56"/>
      <c r="K91" s="56">
        <f>1393+16602+892879</f>
        <v>910874</v>
      </c>
      <c r="L91" s="56"/>
      <c r="M91" s="56">
        <f>85005+2918556-102104+180570</f>
        <v>3082027</v>
      </c>
      <c r="N91" s="56"/>
      <c r="O91" s="56">
        <f t="shared" si="4"/>
        <v>3992901</v>
      </c>
      <c r="P91" s="56"/>
      <c r="Q91" s="54">
        <f t="shared" si="5"/>
        <v>0</v>
      </c>
    </row>
    <row r="92" spans="1:17" ht="12.75">
      <c r="A92" s="30" t="s">
        <v>80</v>
      </c>
      <c r="B92" s="30"/>
      <c r="C92" s="56">
        <v>77341485</v>
      </c>
      <c r="D92" s="56"/>
      <c r="E92" s="56">
        <v>149749144</v>
      </c>
      <c r="F92" s="56"/>
      <c r="G92" s="56">
        <v>60078216</v>
      </c>
      <c r="H92" s="56"/>
      <c r="I92" s="56">
        <v>66453106</v>
      </c>
      <c r="J92" s="56"/>
      <c r="K92" s="56">
        <f>7064842+203972+780944+3302300+1132075</f>
        <v>12484133</v>
      </c>
      <c r="L92" s="56"/>
      <c r="M92" s="56">
        <f>19108190+42019099+9643552+41064</f>
        <v>70811905</v>
      </c>
      <c r="N92" s="56"/>
      <c r="O92" s="56">
        <f t="shared" si="4"/>
        <v>83296038</v>
      </c>
      <c r="P92" s="56"/>
      <c r="Q92" s="54">
        <f t="shared" si="5"/>
        <v>0</v>
      </c>
    </row>
    <row r="93" spans="1:17" ht="12.75">
      <c r="A93" s="30" t="s">
        <v>81</v>
      </c>
      <c r="B93" s="30"/>
      <c r="C93" s="56">
        <f>18627226+37273+335051</f>
        <v>18999550</v>
      </c>
      <c r="D93" s="56"/>
      <c r="E93" s="56">
        <v>36311313</v>
      </c>
      <c r="F93" s="56"/>
      <c r="G93" s="56">
        <v>14635890</v>
      </c>
      <c r="H93" s="56"/>
      <c r="I93" s="56">
        <v>17117619</v>
      </c>
      <c r="J93" s="56"/>
      <c r="K93" s="56">
        <f>1895253+127050+6288</f>
        <v>2028591</v>
      </c>
      <c r="L93" s="56"/>
      <c r="M93" s="56">
        <f>5936653+10544456+173694+510300</f>
        <v>17165103</v>
      </c>
      <c r="N93" s="56"/>
      <c r="O93" s="56">
        <f t="shared" si="4"/>
        <v>19193694</v>
      </c>
      <c r="P93" s="56"/>
      <c r="Q93" s="54">
        <f t="shared" si="5"/>
        <v>0</v>
      </c>
    </row>
    <row r="94" spans="1:17" ht="12.75">
      <c r="A94" s="30" t="s">
        <v>82</v>
      </c>
      <c r="B94" s="30"/>
      <c r="C94" s="56">
        <f>33666523+477538</f>
        <v>34144061</v>
      </c>
      <c r="D94" s="56"/>
      <c r="E94" s="56">
        <v>60357327</v>
      </c>
      <c r="F94" s="56"/>
      <c r="G94" s="56">
        <v>19725933</v>
      </c>
      <c r="H94" s="56"/>
      <c r="I94" s="56">
        <v>25090706</v>
      </c>
      <c r="J94" s="56"/>
      <c r="K94" s="56">
        <f>4628904+313850+422044+284308</f>
        <v>5649106</v>
      </c>
      <c r="L94" s="56"/>
      <c r="M94" s="56">
        <f>400000+5413472+20740275+829348+2234420</f>
        <v>29617515</v>
      </c>
      <c r="N94" s="56"/>
      <c r="O94" s="56">
        <f t="shared" si="4"/>
        <v>35266621</v>
      </c>
      <c r="P94" s="56"/>
      <c r="Q94" s="54">
        <f t="shared" si="5"/>
        <v>0</v>
      </c>
    </row>
    <row r="95" spans="1:17" ht="12.75" hidden="1">
      <c r="A95" s="30" t="s">
        <v>178</v>
      </c>
      <c r="B95" s="30"/>
      <c r="C95" s="56">
        <v>0</v>
      </c>
      <c r="D95" s="56"/>
      <c r="E95" s="56">
        <v>0</v>
      </c>
      <c r="F95" s="56"/>
      <c r="G95" s="56">
        <v>0</v>
      </c>
      <c r="H95" s="56"/>
      <c r="I95" s="56">
        <v>0</v>
      </c>
      <c r="J95" s="56"/>
      <c r="K95" s="56">
        <v>0</v>
      </c>
      <c r="L95" s="56"/>
      <c r="M95" s="56">
        <v>0</v>
      </c>
      <c r="N95" s="56"/>
      <c r="O95" s="56">
        <f t="shared" si="4"/>
        <v>0</v>
      </c>
      <c r="P95" s="56"/>
      <c r="Q95" s="54">
        <f t="shared" si="5"/>
        <v>0</v>
      </c>
    </row>
    <row r="96" spans="1:17" ht="12.75">
      <c r="A96" s="30" t="s">
        <v>83</v>
      </c>
      <c r="B96" s="30"/>
      <c r="C96" s="56">
        <f>56655938+151100</f>
        <v>56807038</v>
      </c>
      <c r="D96" s="56"/>
      <c r="E96" s="56">
        <v>104204527</v>
      </c>
      <c r="F96" s="56"/>
      <c r="G96" s="56">
        <v>40636108</v>
      </c>
      <c r="H96" s="56"/>
      <c r="I96" s="56">
        <v>46485479</v>
      </c>
      <c r="J96" s="56"/>
      <c r="K96" s="56">
        <f>277551+1128531+90126+1705356</f>
        <v>3201564</v>
      </c>
      <c r="L96" s="56"/>
      <c r="M96" s="56">
        <f>7090616+39293832-174571+8307607</f>
        <v>54517484</v>
      </c>
      <c r="N96" s="56"/>
      <c r="O96" s="56">
        <f t="shared" si="4"/>
        <v>57719048</v>
      </c>
      <c r="P96" s="56"/>
      <c r="Q96" s="54">
        <f t="shared" si="5"/>
        <v>0</v>
      </c>
    </row>
    <row r="97" spans="1:17" ht="12.75" hidden="1">
      <c r="A97" s="30" t="s">
        <v>179</v>
      </c>
      <c r="B97" s="30"/>
      <c r="C97" s="23">
        <v>0</v>
      </c>
      <c r="D97" s="23"/>
      <c r="E97" s="23">
        <v>0</v>
      </c>
      <c r="F97" s="23"/>
      <c r="G97" s="23">
        <v>0</v>
      </c>
      <c r="H97" s="23"/>
      <c r="I97" s="23">
        <v>0</v>
      </c>
      <c r="J97" s="23"/>
      <c r="K97" s="23">
        <v>0</v>
      </c>
      <c r="L97" s="23"/>
      <c r="M97" s="23">
        <v>0</v>
      </c>
      <c r="N97" s="23"/>
      <c r="O97" s="56">
        <f>+M97+K97</f>
        <v>0</v>
      </c>
      <c r="P97" s="23"/>
      <c r="Q97" s="54">
        <f>+E97-I97-O97</f>
        <v>0</v>
      </c>
    </row>
    <row r="98" spans="1:17" ht="12.75">
      <c r="A98" s="30"/>
      <c r="B98" s="30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54">
        <f>+E98-I98-O98</f>
        <v>0</v>
      </c>
    </row>
    <row r="99" spans="1:16" ht="12.75">
      <c r="A99" s="30"/>
      <c r="B99" s="30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0"/>
    </row>
  </sheetData>
  <printOptions/>
  <pageMargins left="0.75" right="0.75" top="1" bottom="1" header="0.5" footer="0.5"/>
  <pageSetup firstPageNumber="20" useFirstPageNumber="1" horizontalDpi="1200" verticalDpi="1200" orientation="portrait" pageOrder="overThenDown" scale="95" r:id="rId1"/>
  <headerFooter alignWithMargins="0">
    <oddFooter>&amp;C&amp;"Times New Roman,Regular"&amp;11&amp;P</oddFooter>
  </headerFooter>
  <rowBreaks count="1" manualBreakCount="1">
    <brk id="7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103"/>
  <sheetViews>
    <sheetView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" sqref="C27"/>
    </sheetView>
  </sheetViews>
  <sheetFormatPr defaultColWidth="9.140625" defaultRowHeight="12.75"/>
  <cols>
    <col min="1" max="1" width="18.7109375" style="7" customWidth="1"/>
    <col min="2" max="2" width="1.7109375" style="7" customWidth="1"/>
    <col min="3" max="3" width="11.7109375" style="7" customWidth="1"/>
    <col min="4" max="4" width="1.7109375" style="7" customWidth="1"/>
    <col min="5" max="5" width="11.7109375" style="7" customWidth="1"/>
    <col min="6" max="6" width="1.7109375" style="7" customWidth="1"/>
    <col min="7" max="7" width="11.7109375" style="7" customWidth="1"/>
    <col min="8" max="8" width="1.7109375" style="7" customWidth="1"/>
    <col min="9" max="9" width="11.7109375" style="7" customWidth="1"/>
    <col min="10" max="10" width="1.7109375" style="7" customWidth="1"/>
    <col min="11" max="11" width="11.7109375" style="7" customWidth="1"/>
    <col min="12" max="12" width="1.7109375" style="7" customWidth="1"/>
    <col min="13" max="13" width="11.7109375" style="7" customWidth="1"/>
    <col min="14" max="14" width="1.7109375" style="7" customWidth="1"/>
    <col min="15" max="15" width="12.7109375" style="7" customWidth="1"/>
    <col min="16" max="16" width="1.7109375" style="7" customWidth="1"/>
    <col min="17" max="17" width="12.7109375" style="7" customWidth="1"/>
  </cols>
  <sheetData>
    <row r="1" spans="1:19" s="14" customFormat="1" ht="12.75">
      <c r="A1" s="24" t="s">
        <v>208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9"/>
    </row>
    <row r="2" spans="1:19" s="14" customFormat="1" ht="12.75">
      <c r="A2" s="24" t="s">
        <v>254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  <c r="S2" s="29"/>
    </row>
    <row r="3" spans="1:19" s="14" customFormat="1" ht="12.75">
      <c r="A3" s="24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29"/>
    </row>
    <row r="4" spans="1:19" s="7" customFormat="1" ht="12.75">
      <c r="A4" s="24" t="s">
        <v>191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30"/>
      <c r="S4" s="30"/>
    </row>
    <row r="5" spans="1:19" s="7" customFormat="1" ht="12.7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30"/>
      <c r="S5" s="30"/>
    </row>
    <row r="6" spans="1:19" s="7" customFormat="1" ht="12.75">
      <c r="A6" s="34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30"/>
      <c r="S6" s="30" t="s">
        <v>168</v>
      </c>
    </row>
    <row r="7" spans="1:19" s="7" customFormat="1" ht="12.75">
      <c r="A7" s="21"/>
      <c r="B7" s="21"/>
      <c r="C7" s="21" t="s">
        <v>151</v>
      </c>
      <c r="D7" s="21"/>
      <c r="E7" s="21" t="s">
        <v>171</v>
      </c>
      <c r="F7" s="21"/>
      <c r="G7" s="21" t="s">
        <v>168</v>
      </c>
      <c r="H7" s="21"/>
      <c r="I7" s="21" t="s">
        <v>0</v>
      </c>
      <c r="J7" s="21"/>
      <c r="K7" s="21" t="s">
        <v>1</v>
      </c>
      <c r="L7" s="21"/>
      <c r="M7" s="21" t="s">
        <v>2</v>
      </c>
      <c r="N7" s="21"/>
      <c r="O7" s="21" t="s">
        <v>3</v>
      </c>
      <c r="P7" s="21"/>
      <c r="Q7" s="21" t="s">
        <v>4</v>
      </c>
      <c r="R7" s="30"/>
      <c r="S7" s="30" t="s">
        <v>219</v>
      </c>
    </row>
    <row r="8" spans="1:19" s="7" customFormat="1" ht="12.75">
      <c r="A8" s="77" t="s">
        <v>5</v>
      </c>
      <c r="B8" s="70"/>
      <c r="C8" s="77" t="s">
        <v>243</v>
      </c>
      <c r="D8" s="70"/>
      <c r="E8" s="77" t="s">
        <v>7</v>
      </c>
      <c r="F8" s="70"/>
      <c r="G8" s="77" t="s">
        <v>6</v>
      </c>
      <c r="H8" s="70"/>
      <c r="I8" s="77" t="s">
        <v>8</v>
      </c>
      <c r="J8" s="70"/>
      <c r="K8" s="77" t="s">
        <v>9</v>
      </c>
      <c r="L8" s="70"/>
      <c r="M8" s="77" t="s">
        <v>10</v>
      </c>
      <c r="N8" s="70"/>
      <c r="O8" s="77" t="s">
        <v>11</v>
      </c>
      <c r="P8" s="70"/>
      <c r="Q8" s="77" t="s">
        <v>12</v>
      </c>
      <c r="R8" s="30"/>
      <c r="S8" s="30" t="s">
        <v>220</v>
      </c>
    </row>
    <row r="9" spans="1:19" s="7" customFormat="1" ht="12.75">
      <c r="A9" s="71"/>
      <c r="B9" s="70"/>
      <c r="C9" s="71"/>
      <c r="D9" s="70"/>
      <c r="E9" s="71"/>
      <c r="F9" s="70"/>
      <c r="G9" s="71"/>
      <c r="H9" s="70"/>
      <c r="I9" s="71"/>
      <c r="J9" s="70"/>
      <c r="K9" s="71"/>
      <c r="L9" s="70"/>
      <c r="M9" s="71"/>
      <c r="N9" s="70"/>
      <c r="O9" s="71"/>
      <c r="P9" s="70"/>
      <c r="Q9" s="71"/>
      <c r="R9" s="30"/>
      <c r="S9" s="30"/>
    </row>
    <row r="10" spans="1:19" s="7" customFormat="1" ht="12.75">
      <c r="A10" s="70" t="s">
        <v>13</v>
      </c>
      <c r="B10" s="70"/>
      <c r="C10" s="145">
        <v>3962285</v>
      </c>
      <c r="D10" s="145"/>
      <c r="E10" s="145">
        <v>11732546</v>
      </c>
      <c r="F10" s="145"/>
      <c r="G10" s="145">
        <v>0</v>
      </c>
      <c r="H10" s="145"/>
      <c r="I10" s="145">
        <v>3529993</v>
      </c>
      <c r="J10" s="145"/>
      <c r="K10" s="145">
        <v>2771656</v>
      </c>
      <c r="L10" s="145"/>
      <c r="M10" s="145">
        <v>0</v>
      </c>
      <c r="N10" s="144"/>
      <c r="O10" s="144">
        <f>Q10-C10-E10-G10-I10-K10-M10</f>
        <v>2503994</v>
      </c>
      <c r="P10" s="144"/>
      <c r="Q10" s="145">
        <v>24500474</v>
      </c>
      <c r="R10" s="30"/>
      <c r="S10" s="180">
        <f>14580+440000</f>
        <v>454580</v>
      </c>
    </row>
    <row r="11" spans="1:19" s="7" customFormat="1" ht="12.75">
      <c r="A11" s="70" t="s">
        <v>14</v>
      </c>
      <c r="B11" s="70"/>
      <c r="C11" s="64">
        <v>2118563</v>
      </c>
      <c r="D11" s="64"/>
      <c r="E11" s="64">
        <v>4835080</v>
      </c>
      <c r="F11" s="64"/>
      <c r="G11" s="64">
        <v>4146</v>
      </c>
      <c r="H11" s="64"/>
      <c r="I11" s="64">
        <v>1780366</v>
      </c>
      <c r="J11" s="64"/>
      <c r="K11" s="64">
        <v>2678077</v>
      </c>
      <c r="L11" s="64"/>
      <c r="M11" s="64">
        <v>0</v>
      </c>
      <c r="N11" s="56"/>
      <c r="O11" s="56">
        <f aca="true" t="shared" si="0" ref="O11:O27">Q11-C11-E11-G11-I11-K11-M11</f>
        <v>1080618</v>
      </c>
      <c r="P11" s="56"/>
      <c r="Q11" s="64">
        <v>12496850</v>
      </c>
      <c r="R11" s="30"/>
      <c r="S11" s="64">
        <v>198868</v>
      </c>
    </row>
    <row r="12" spans="1:19" s="7" customFormat="1" ht="12.75">
      <c r="A12" s="70" t="s">
        <v>15</v>
      </c>
      <c r="B12" s="70"/>
      <c r="C12" s="64">
        <v>3790401</v>
      </c>
      <c r="D12" s="64"/>
      <c r="E12" s="64">
        <v>8682584</v>
      </c>
      <c r="F12" s="64"/>
      <c r="G12" s="64">
        <v>117404</v>
      </c>
      <c r="H12" s="64"/>
      <c r="I12" s="64">
        <v>4082151</v>
      </c>
      <c r="J12" s="64"/>
      <c r="K12" s="64">
        <v>26253223</v>
      </c>
      <c r="L12" s="64"/>
      <c r="M12" s="64">
        <v>0</v>
      </c>
      <c r="N12" s="56"/>
      <c r="O12" s="56">
        <f t="shared" si="0"/>
        <v>-21841288</v>
      </c>
      <c r="P12" s="56"/>
      <c r="Q12" s="64">
        <v>21084475</v>
      </c>
      <c r="R12" s="30"/>
      <c r="S12" s="64">
        <f>336030+93251+3041920</f>
        <v>3471201</v>
      </c>
    </row>
    <row r="13" spans="1:19" s="7" customFormat="1" ht="12.75">
      <c r="A13" s="70" t="s">
        <v>16</v>
      </c>
      <c r="B13" s="70"/>
      <c r="C13" s="64">
        <v>1568358</v>
      </c>
      <c r="D13" s="64"/>
      <c r="E13" s="64">
        <v>4647237</v>
      </c>
      <c r="F13" s="64"/>
      <c r="G13" s="64">
        <v>0</v>
      </c>
      <c r="H13" s="64"/>
      <c r="I13" s="64">
        <v>1760794</v>
      </c>
      <c r="J13" s="64"/>
      <c r="K13" s="64">
        <v>1765496</v>
      </c>
      <c r="L13" s="64"/>
      <c r="M13" s="64">
        <v>0</v>
      </c>
      <c r="N13" s="56"/>
      <c r="O13" s="56">
        <f t="shared" si="0"/>
        <v>1250509</v>
      </c>
      <c r="P13" s="56"/>
      <c r="Q13" s="64">
        <v>10992394</v>
      </c>
      <c r="R13" s="30"/>
      <c r="S13" s="64">
        <f>2830+143896</f>
        <v>146726</v>
      </c>
    </row>
    <row r="14" spans="1:19" s="7" customFormat="1" ht="12.75">
      <c r="A14" s="70" t="s">
        <v>17</v>
      </c>
      <c r="B14" s="70"/>
      <c r="C14" s="64">
        <v>2046379</v>
      </c>
      <c r="D14" s="64"/>
      <c r="E14" s="64">
        <v>2609209</v>
      </c>
      <c r="F14" s="64"/>
      <c r="G14" s="64">
        <v>0</v>
      </c>
      <c r="H14" s="64"/>
      <c r="I14" s="64">
        <v>1032713</v>
      </c>
      <c r="J14" s="64"/>
      <c r="K14" s="64">
        <v>1271867</v>
      </c>
      <c r="L14" s="64"/>
      <c r="M14" s="64">
        <v>0</v>
      </c>
      <c r="N14" s="56"/>
      <c r="O14" s="56">
        <f t="shared" si="0"/>
        <v>953763</v>
      </c>
      <c r="P14" s="56"/>
      <c r="Q14" s="64">
        <v>7913931</v>
      </c>
      <c r="R14" s="30"/>
      <c r="S14" s="64">
        <f>3644+128327+1168</f>
        <v>133139</v>
      </c>
    </row>
    <row r="15" spans="1:19" s="7" customFormat="1" ht="12.75">
      <c r="A15" s="70" t="s">
        <v>18</v>
      </c>
      <c r="B15" s="70"/>
      <c r="C15" s="64">
        <v>1958671</v>
      </c>
      <c r="D15" s="64"/>
      <c r="E15" s="64">
        <v>11817903</v>
      </c>
      <c r="F15" s="64"/>
      <c r="G15" s="64">
        <v>0</v>
      </c>
      <c r="H15" s="64"/>
      <c r="I15" s="64">
        <v>2028703</v>
      </c>
      <c r="J15" s="64"/>
      <c r="K15" s="64">
        <v>1673781</v>
      </c>
      <c r="L15" s="64"/>
      <c r="M15" s="64">
        <v>0</v>
      </c>
      <c r="N15" s="56"/>
      <c r="O15" s="56">
        <f t="shared" si="0"/>
        <v>1842696</v>
      </c>
      <c r="P15" s="56"/>
      <c r="Q15" s="64">
        <v>19321754</v>
      </c>
      <c r="R15" s="30"/>
      <c r="S15" s="64">
        <f>12853+345577</f>
        <v>358430</v>
      </c>
    </row>
    <row r="16" spans="1:19" s="7" customFormat="1" ht="12.75" hidden="1">
      <c r="A16" s="70" t="s">
        <v>133</v>
      </c>
      <c r="B16" s="70"/>
      <c r="C16" s="64">
        <v>0</v>
      </c>
      <c r="D16" s="64"/>
      <c r="E16" s="64">
        <v>0</v>
      </c>
      <c r="F16" s="64"/>
      <c r="G16" s="64">
        <v>0</v>
      </c>
      <c r="H16" s="64"/>
      <c r="I16" s="64">
        <v>0</v>
      </c>
      <c r="J16" s="64"/>
      <c r="K16" s="64">
        <v>0</v>
      </c>
      <c r="L16" s="64"/>
      <c r="M16" s="64">
        <v>0</v>
      </c>
      <c r="N16" s="56"/>
      <c r="O16" s="56">
        <f t="shared" si="0"/>
        <v>0</v>
      </c>
      <c r="P16" s="56"/>
      <c r="Q16" s="64">
        <v>0</v>
      </c>
      <c r="R16" s="30"/>
      <c r="S16" s="64">
        <v>0</v>
      </c>
    </row>
    <row r="17" spans="1:19" s="7" customFormat="1" ht="12.75">
      <c r="A17" s="70" t="s">
        <v>182</v>
      </c>
      <c r="B17" s="70"/>
      <c r="C17" s="64">
        <v>30658240</v>
      </c>
      <c r="D17" s="64"/>
      <c r="E17" s="64">
        <v>0</v>
      </c>
      <c r="F17" s="64"/>
      <c r="G17" s="64">
        <v>0</v>
      </c>
      <c r="H17" s="64"/>
      <c r="I17" s="64">
        <v>28187005</v>
      </c>
      <c r="J17" s="64"/>
      <c r="K17" s="64">
        <v>7785697</v>
      </c>
      <c r="L17" s="64"/>
      <c r="M17" s="64">
        <v>0</v>
      </c>
      <c r="N17" s="56"/>
      <c r="O17" s="56">
        <f t="shared" si="0"/>
        <v>3699127</v>
      </c>
      <c r="P17" s="56"/>
      <c r="Q17" s="64">
        <v>70330069</v>
      </c>
      <c r="R17" s="30"/>
      <c r="S17" s="64">
        <f>330000+114411+263660</f>
        <v>708071</v>
      </c>
    </row>
    <row r="18" spans="1:19" s="7" customFormat="1" ht="12.75">
      <c r="A18" s="70" t="s">
        <v>20</v>
      </c>
      <c r="B18" s="70"/>
      <c r="C18" s="64">
        <v>446946</v>
      </c>
      <c r="D18" s="64"/>
      <c r="E18" s="64">
        <v>1724716</v>
      </c>
      <c r="F18" s="64"/>
      <c r="G18" s="64">
        <v>0</v>
      </c>
      <c r="H18" s="64"/>
      <c r="I18" s="64">
        <v>1017515</v>
      </c>
      <c r="J18" s="64"/>
      <c r="K18" s="64">
        <v>787477</v>
      </c>
      <c r="L18" s="64"/>
      <c r="M18" s="64">
        <v>0</v>
      </c>
      <c r="N18" s="56"/>
      <c r="O18" s="56">
        <f t="shared" si="0"/>
        <v>1662988</v>
      </c>
      <c r="P18" s="56"/>
      <c r="Q18" s="64">
        <v>5639642</v>
      </c>
      <c r="R18" s="30"/>
      <c r="S18" s="64">
        <v>0</v>
      </c>
    </row>
    <row r="19" spans="1:19" s="7" customFormat="1" ht="12.75" hidden="1">
      <c r="A19" s="70" t="s">
        <v>176</v>
      </c>
      <c r="B19" s="70"/>
      <c r="C19" s="64">
        <v>0</v>
      </c>
      <c r="D19" s="64"/>
      <c r="E19" s="64">
        <v>0</v>
      </c>
      <c r="F19" s="64"/>
      <c r="G19" s="64">
        <v>0</v>
      </c>
      <c r="H19" s="64"/>
      <c r="I19" s="64">
        <v>0</v>
      </c>
      <c r="J19" s="64"/>
      <c r="K19" s="64">
        <v>0</v>
      </c>
      <c r="L19" s="64"/>
      <c r="M19" s="64">
        <v>0</v>
      </c>
      <c r="N19" s="56"/>
      <c r="O19" s="56">
        <f t="shared" si="0"/>
        <v>0</v>
      </c>
      <c r="P19" s="56"/>
      <c r="Q19" s="64">
        <v>0</v>
      </c>
      <c r="R19" s="30"/>
      <c r="S19" s="64">
        <v>0</v>
      </c>
    </row>
    <row r="20" spans="1:19" s="7" customFormat="1" ht="12.75">
      <c r="A20" s="70" t="s">
        <v>21</v>
      </c>
      <c r="B20" s="70"/>
      <c r="C20" s="64">
        <v>3505252</v>
      </c>
      <c r="D20" s="64"/>
      <c r="E20" s="64">
        <v>16077939</v>
      </c>
      <c r="F20" s="64"/>
      <c r="G20" s="64">
        <v>0</v>
      </c>
      <c r="H20" s="64"/>
      <c r="I20" s="64">
        <v>6039661</v>
      </c>
      <c r="J20" s="64"/>
      <c r="K20" s="64">
        <v>5690105</v>
      </c>
      <c r="L20" s="64"/>
      <c r="M20" s="64">
        <v>0</v>
      </c>
      <c r="N20" s="56"/>
      <c r="O20" s="56">
        <f t="shared" si="0"/>
        <v>2686729</v>
      </c>
      <c r="P20" s="56"/>
      <c r="Q20" s="64">
        <v>33999686</v>
      </c>
      <c r="R20" s="30"/>
      <c r="S20" s="64">
        <f>47190+13830+999871</f>
        <v>1060891</v>
      </c>
    </row>
    <row r="21" spans="1:19" s="7" customFormat="1" ht="12.75">
      <c r="A21" s="70" t="s">
        <v>188</v>
      </c>
      <c r="B21" s="70"/>
      <c r="C21" s="64">
        <v>27852199</v>
      </c>
      <c r="D21" s="64"/>
      <c r="E21" s="64">
        <v>0</v>
      </c>
      <c r="F21" s="64"/>
      <c r="G21" s="64">
        <v>0</v>
      </c>
      <c r="H21" s="64"/>
      <c r="I21" s="64">
        <v>11868537</v>
      </c>
      <c r="J21" s="64"/>
      <c r="K21" s="64">
        <v>4663128</v>
      </c>
      <c r="L21" s="64"/>
      <c r="M21" s="64">
        <v>0</v>
      </c>
      <c r="N21" s="56"/>
      <c r="O21" s="56">
        <f t="shared" si="0"/>
        <v>6640255</v>
      </c>
      <c r="P21" s="56"/>
      <c r="Q21" s="64">
        <v>51024119</v>
      </c>
      <c r="R21" s="30"/>
      <c r="S21" s="64">
        <v>39102</v>
      </c>
    </row>
    <row r="22" spans="1:19" s="7" customFormat="1" ht="12.75">
      <c r="A22" s="70" t="s">
        <v>22</v>
      </c>
      <c r="B22" s="70"/>
      <c r="C22" s="64">
        <v>1618309</v>
      </c>
      <c r="D22" s="64"/>
      <c r="E22" s="64">
        <v>5293755</v>
      </c>
      <c r="F22" s="64"/>
      <c r="G22" s="64">
        <v>0</v>
      </c>
      <c r="H22" s="64"/>
      <c r="I22" s="64">
        <v>2140440</v>
      </c>
      <c r="J22" s="64"/>
      <c r="K22" s="64">
        <v>1211839</v>
      </c>
      <c r="L22" s="64"/>
      <c r="M22" s="64">
        <v>0</v>
      </c>
      <c r="N22" s="56"/>
      <c r="O22" s="56">
        <f t="shared" si="0"/>
        <v>1546201</v>
      </c>
      <c r="P22" s="56"/>
      <c r="Q22" s="64">
        <v>11810544</v>
      </c>
      <c r="R22" s="30"/>
      <c r="S22" s="64">
        <v>62163</v>
      </c>
    </row>
    <row r="23" spans="1:19" s="7" customFormat="1" ht="12.75" hidden="1">
      <c r="A23" s="70" t="s">
        <v>187</v>
      </c>
      <c r="B23" s="70"/>
      <c r="C23" s="64">
        <v>0</v>
      </c>
      <c r="D23" s="64"/>
      <c r="E23" s="64">
        <v>0</v>
      </c>
      <c r="F23" s="64"/>
      <c r="G23" s="64">
        <v>0</v>
      </c>
      <c r="H23" s="64"/>
      <c r="I23" s="64">
        <v>0</v>
      </c>
      <c r="J23" s="64"/>
      <c r="K23" s="64">
        <v>0</v>
      </c>
      <c r="L23" s="64"/>
      <c r="M23" s="64">
        <v>0</v>
      </c>
      <c r="N23" s="56"/>
      <c r="O23" s="56">
        <f t="shared" si="0"/>
        <v>0</v>
      </c>
      <c r="P23" s="56"/>
      <c r="Q23" s="64">
        <v>0</v>
      </c>
      <c r="R23" s="30"/>
      <c r="S23" s="64">
        <v>0</v>
      </c>
    </row>
    <row r="24" spans="1:19" s="7" customFormat="1" ht="12.75" hidden="1">
      <c r="A24" s="70" t="s">
        <v>24</v>
      </c>
      <c r="B24" s="70"/>
      <c r="C24" s="64">
        <v>0</v>
      </c>
      <c r="D24" s="64"/>
      <c r="E24" s="64">
        <v>0</v>
      </c>
      <c r="F24" s="64"/>
      <c r="G24" s="64">
        <v>0</v>
      </c>
      <c r="H24" s="64"/>
      <c r="I24" s="64">
        <v>0</v>
      </c>
      <c r="J24" s="64"/>
      <c r="K24" s="64">
        <v>0</v>
      </c>
      <c r="L24" s="64"/>
      <c r="M24" s="64">
        <v>0</v>
      </c>
      <c r="N24" s="56"/>
      <c r="O24" s="56">
        <f t="shared" si="0"/>
        <v>0</v>
      </c>
      <c r="P24" s="56"/>
      <c r="Q24" s="64">
        <v>0</v>
      </c>
      <c r="R24" s="30"/>
      <c r="S24" s="64">
        <v>0</v>
      </c>
    </row>
    <row r="25" spans="1:19" s="7" customFormat="1" ht="12.75">
      <c r="A25" s="70" t="s">
        <v>186</v>
      </c>
      <c r="B25" s="70"/>
      <c r="C25" s="64">
        <v>1351454</v>
      </c>
      <c r="D25" s="64"/>
      <c r="E25" s="64">
        <v>3389778</v>
      </c>
      <c r="F25" s="64"/>
      <c r="G25" s="64">
        <v>0</v>
      </c>
      <c r="H25" s="64"/>
      <c r="I25" s="64">
        <v>2081770</v>
      </c>
      <c r="J25" s="64"/>
      <c r="K25" s="64">
        <v>1463004</v>
      </c>
      <c r="L25" s="64"/>
      <c r="M25" s="64">
        <v>0</v>
      </c>
      <c r="N25" s="56"/>
      <c r="O25" s="56">
        <f t="shared" si="0"/>
        <v>794911</v>
      </c>
      <c r="P25" s="56"/>
      <c r="Q25" s="64">
        <v>9080917</v>
      </c>
      <c r="R25" s="30"/>
      <c r="S25" s="64">
        <v>0</v>
      </c>
    </row>
    <row r="26" spans="1:19" s="7" customFormat="1" ht="12.75">
      <c r="A26" s="70" t="s">
        <v>25</v>
      </c>
      <c r="B26" s="70"/>
      <c r="C26" s="64">
        <v>21790000</v>
      </c>
      <c r="D26" s="64"/>
      <c r="E26" s="64">
        <v>167156000</v>
      </c>
      <c r="F26" s="64"/>
      <c r="G26" s="64">
        <v>7000</v>
      </c>
      <c r="H26" s="64"/>
      <c r="I26" s="64">
        <v>64652000</v>
      </c>
      <c r="J26" s="64"/>
      <c r="K26" s="64">
        <v>24043000</v>
      </c>
      <c r="L26" s="64"/>
      <c r="M26" s="64">
        <v>0</v>
      </c>
      <c r="N26" s="56"/>
      <c r="O26" s="56">
        <f t="shared" si="0"/>
        <v>63821000</v>
      </c>
      <c r="P26" s="56"/>
      <c r="Q26" s="64">
        <v>341469000</v>
      </c>
      <c r="R26" s="30"/>
      <c r="S26" s="64">
        <v>1144000</v>
      </c>
    </row>
    <row r="27" spans="1:19" s="7" customFormat="1" ht="12.75">
      <c r="A27" s="70" t="s">
        <v>26</v>
      </c>
      <c r="B27" s="70"/>
      <c r="C27" s="64">
        <v>7328813</v>
      </c>
      <c r="D27" s="64"/>
      <c r="E27" s="64">
        <v>0</v>
      </c>
      <c r="F27" s="64"/>
      <c r="G27" s="64">
        <v>0</v>
      </c>
      <c r="H27" s="64"/>
      <c r="I27" s="64">
        <v>1240129</v>
      </c>
      <c r="J27" s="64"/>
      <c r="K27" s="64">
        <v>1141120</v>
      </c>
      <c r="L27" s="64"/>
      <c r="M27" s="64">
        <v>0</v>
      </c>
      <c r="N27" s="56"/>
      <c r="O27" s="56">
        <f t="shared" si="0"/>
        <v>1103735</v>
      </c>
      <c r="P27" s="56"/>
      <c r="Q27" s="64">
        <v>10813797</v>
      </c>
      <c r="R27" s="30"/>
      <c r="S27" s="64">
        <v>84450</v>
      </c>
    </row>
    <row r="28" spans="1:19" s="7" customFormat="1" ht="12.75">
      <c r="A28" s="70" t="s">
        <v>27</v>
      </c>
      <c r="B28" s="70"/>
      <c r="C28" s="64">
        <v>1714892</v>
      </c>
      <c r="D28" s="64"/>
      <c r="E28" s="64">
        <v>4479950</v>
      </c>
      <c r="F28" s="64"/>
      <c r="G28" s="64">
        <v>0</v>
      </c>
      <c r="H28" s="64"/>
      <c r="I28" s="64">
        <v>1494945</v>
      </c>
      <c r="J28" s="64"/>
      <c r="K28" s="64">
        <v>1168161</v>
      </c>
      <c r="L28" s="64"/>
      <c r="M28" s="64">
        <v>0</v>
      </c>
      <c r="N28" s="56"/>
      <c r="O28" s="56">
        <f aca="true" t="shared" si="1" ref="O28:O75">Q28-C28-E28-G28-I28-K28-M28</f>
        <v>2096994</v>
      </c>
      <c r="P28" s="56"/>
      <c r="Q28" s="64">
        <v>10954942</v>
      </c>
      <c r="R28" s="30"/>
      <c r="S28" s="64">
        <v>1291754</v>
      </c>
    </row>
    <row r="29" spans="1:19" s="7" customFormat="1" ht="12.75">
      <c r="A29" s="70" t="s">
        <v>28</v>
      </c>
      <c r="B29" s="70"/>
      <c r="C29" s="64">
        <v>4505255</v>
      </c>
      <c r="D29" s="64"/>
      <c r="E29" s="64">
        <v>19523710</v>
      </c>
      <c r="F29" s="64"/>
      <c r="G29" s="64">
        <v>0</v>
      </c>
      <c r="H29" s="64"/>
      <c r="I29" s="64">
        <v>11803960</v>
      </c>
      <c r="J29" s="64"/>
      <c r="K29" s="64">
        <v>3611108</v>
      </c>
      <c r="L29" s="64"/>
      <c r="M29" s="64">
        <v>0</v>
      </c>
      <c r="N29" s="56"/>
      <c r="O29" s="56">
        <f t="shared" si="1"/>
        <v>7129319</v>
      </c>
      <c r="P29" s="56"/>
      <c r="Q29" s="64">
        <v>46573352</v>
      </c>
      <c r="R29" s="30"/>
      <c r="S29" s="64">
        <f>3540000+44032+105074+100000</f>
        <v>3789106</v>
      </c>
    </row>
    <row r="30" spans="1:19" s="7" customFormat="1" ht="12.75">
      <c r="A30" s="70" t="s">
        <v>29</v>
      </c>
      <c r="B30" s="70"/>
      <c r="C30" s="64">
        <v>5182508</v>
      </c>
      <c r="D30" s="64"/>
      <c r="E30" s="64">
        <v>12091800</v>
      </c>
      <c r="F30" s="64"/>
      <c r="G30" s="64">
        <v>0</v>
      </c>
      <c r="H30" s="64"/>
      <c r="I30" s="64">
        <v>1319473</v>
      </c>
      <c r="J30" s="64"/>
      <c r="K30" s="64">
        <v>3909853</v>
      </c>
      <c r="L30" s="64"/>
      <c r="M30" s="64">
        <v>157856</v>
      </c>
      <c r="N30" s="56"/>
      <c r="O30" s="56">
        <f t="shared" si="1"/>
        <v>3548520</v>
      </c>
      <c r="P30" s="56"/>
      <c r="Q30" s="64">
        <v>26210010</v>
      </c>
      <c r="R30" s="30"/>
      <c r="S30" s="64">
        <v>15334</v>
      </c>
    </row>
    <row r="31" spans="1:19" s="7" customFormat="1" ht="12.75">
      <c r="A31" s="70" t="s">
        <v>30</v>
      </c>
      <c r="B31" s="70"/>
      <c r="C31" s="64">
        <v>7938766</v>
      </c>
      <c r="D31" s="64"/>
      <c r="E31" s="64">
        <v>10863623</v>
      </c>
      <c r="F31" s="64"/>
      <c r="G31" s="64">
        <v>0</v>
      </c>
      <c r="H31" s="64"/>
      <c r="I31" s="64">
        <v>4706064</v>
      </c>
      <c r="J31" s="64"/>
      <c r="K31" s="64">
        <v>3944760</v>
      </c>
      <c r="L31" s="64"/>
      <c r="M31" s="64">
        <v>0</v>
      </c>
      <c r="N31" s="56"/>
      <c r="O31" s="56">
        <f t="shared" si="1"/>
        <v>2227934</v>
      </c>
      <c r="P31" s="56"/>
      <c r="Q31" s="64">
        <v>29681147</v>
      </c>
      <c r="R31" s="30"/>
      <c r="S31" s="64">
        <f>894+200000+195087</f>
        <v>395981</v>
      </c>
    </row>
    <row r="32" spans="1:19" s="7" customFormat="1" ht="12.75" hidden="1">
      <c r="A32" s="70" t="s">
        <v>31</v>
      </c>
      <c r="B32" s="70"/>
      <c r="C32" s="64">
        <v>0</v>
      </c>
      <c r="D32" s="64"/>
      <c r="E32" s="64">
        <v>0</v>
      </c>
      <c r="F32" s="64"/>
      <c r="G32" s="64">
        <v>0</v>
      </c>
      <c r="H32" s="64"/>
      <c r="I32" s="64">
        <v>0</v>
      </c>
      <c r="J32" s="64"/>
      <c r="K32" s="64">
        <v>0</v>
      </c>
      <c r="L32" s="64"/>
      <c r="M32" s="64">
        <v>0</v>
      </c>
      <c r="N32" s="56"/>
      <c r="O32" s="56">
        <f t="shared" si="1"/>
        <v>0</v>
      </c>
      <c r="P32" s="56"/>
      <c r="Q32" s="64">
        <v>0</v>
      </c>
      <c r="R32" s="30"/>
      <c r="S32" s="64">
        <v>0</v>
      </c>
    </row>
    <row r="33" spans="1:19" s="7" customFormat="1" ht="12.75">
      <c r="A33" s="70" t="s">
        <v>32</v>
      </c>
      <c r="B33" s="70"/>
      <c r="C33" s="64">
        <v>33106000</v>
      </c>
      <c r="D33" s="64"/>
      <c r="E33" s="64">
        <v>97633000</v>
      </c>
      <c r="F33" s="64"/>
      <c r="G33" s="64">
        <v>0</v>
      </c>
      <c r="H33" s="64"/>
      <c r="I33" s="64">
        <v>54810000</v>
      </c>
      <c r="J33" s="64"/>
      <c r="K33" s="64">
        <v>39129000</v>
      </c>
      <c r="L33" s="64"/>
      <c r="M33" s="64">
        <v>0</v>
      </c>
      <c r="N33" s="56"/>
      <c r="O33" s="56">
        <f t="shared" si="1"/>
        <v>21933000</v>
      </c>
      <c r="P33" s="56"/>
      <c r="Q33" s="64">
        <v>246611000</v>
      </c>
      <c r="R33" s="30"/>
      <c r="S33" s="64">
        <f>4851000+347000+70000</f>
        <v>5268000</v>
      </c>
    </row>
    <row r="34" spans="1:19" s="7" customFormat="1" ht="12.75">
      <c r="A34" s="70" t="s">
        <v>33</v>
      </c>
      <c r="B34" s="70"/>
      <c r="C34" s="64">
        <v>1589996</v>
      </c>
      <c r="D34" s="64"/>
      <c r="E34" s="64">
        <v>4056452</v>
      </c>
      <c r="F34" s="64"/>
      <c r="G34" s="64">
        <v>0</v>
      </c>
      <c r="H34" s="64"/>
      <c r="I34" s="64">
        <v>1453129</v>
      </c>
      <c r="J34" s="64"/>
      <c r="K34" s="64">
        <v>1366257</v>
      </c>
      <c r="L34" s="64"/>
      <c r="M34" s="64">
        <v>0</v>
      </c>
      <c r="N34" s="56"/>
      <c r="O34" s="56">
        <f t="shared" si="1"/>
        <v>1449127</v>
      </c>
      <c r="P34" s="56"/>
      <c r="Q34" s="64">
        <v>9914961</v>
      </c>
      <c r="R34" s="30"/>
      <c r="S34" s="64">
        <f>555103+20951</f>
        <v>576054</v>
      </c>
    </row>
    <row r="35" spans="1:19" s="7" customFormat="1" ht="12.75">
      <c r="A35" s="70" t="s">
        <v>34</v>
      </c>
      <c r="B35" s="70"/>
      <c r="C35" s="64">
        <v>1563559</v>
      </c>
      <c r="D35" s="64"/>
      <c r="E35" s="64">
        <v>2965880</v>
      </c>
      <c r="F35" s="64"/>
      <c r="G35" s="64">
        <v>0</v>
      </c>
      <c r="H35" s="64"/>
      <c r="I35" s="64">
        <v>1393778</v>
      </c>
      <c r="J35" s="64"/>
      <c r="K35" s="64">
        <v>1065353</v>
      </c>
      <c r="L35" s="64"/>
      <c r="M35" s="64">
        <v>0</v>
      </c>
      <c r="N35" s="56"/>
      <c r="O35" s="56">
        <f t="shared" si="1"/>
        <v>587293</v>
      </c>
      <c r="P35" s="56"/>
      <c r="Q35" s="64">
        <v>7575863</v>
      </c>
      <c r="R35" s="30"/>
      <c r="S35" s="64">
        <v>0</v>
      </c>
    </row>
    <row r="36" spans="1:19" s="7" customFormat="1" ht="12.75">
      <c r="A36" s="70" t="s">
        <v>35</v>
      </c>
      <c r="B36" s="70"/>
      <c r="C36" s="64">
        <v>7421692</v>
      </c>
      <c r="D36" s="64"/>
      <c r="E36" s="64">
        <v>10596652</v>
      </c>
      <c r="F36" s="64"/>
      <c r="G36" s="64">
        <v>0</v>
      </c>
      <c r="H36" s="64"/>
      <c r="I36" s="64">
        <v>3325313</v>
      </c>
      <c r="J36" s="64"/>
      <c r="K36" s="64">
        <v>2342296</v>
      </c>
      <c r="L36" s="64"/>
      <c r="M36" s="64">
        <v>0</v>
      </c>
      <c r="N36" s="56"/>
      <c r="O36" s="56">
        <f t="shared" si="1"/>
        <v>1996876</v>
      </c>
      <c r="P36" s="56"/>
      <c r="Q36" s="64">
        <v>25682829</v>
      </c>
      <c r="R36" s="30"/>
      <c r="S36" s="64">
        <v>395000</v>
      </c>
    </row>
    <row r="37" spans="1:19" s="7" customFormat="1" ht="12.75">
      <c r="A37" s="70" t="s">
        <v>189</v>
      </c>
      <c r="B37" s="70"/>
      <c r="C37" s="64">
        <v>26296051</v>
      </c>
      <c r="D37" s="64"/>
      <c r="E37" s="64">
        <v>0</v>
      </c>
      <c r="F37" s="64"/>
      <c r="G37" s="64">
        <v>0</v>
      </c>
      <c r="H37" s="64"/>
      <c r="I37" s="64">
        <v>5637500</v>
      </c>
      <c r="J37" s="64"/>
      <c r="K37" s="64">
        <v>5253755</v>
      </c>
      <c r="L37" s="64"/>
      <c r="M37" s="64">
        <v>8403</v>
      </c>
      <c r="N37" s="56"/>
      <c r="O37" s="56">
        <f t="shared" si="1"/>
        <v>5342923</v>
      </c>
      <c r="P37" s="56"/>
      <c r="Q37" s="64">
        <v>42538632</v>
      </c>
      <c r="R37" s="30"/>
      <c r="S37" s="64">
        <f>145439+830000+50800+577100</f>
        <v>1603339</v>
      </c>
    </row>
    <row r="38" spans="1:19" s="7" customFormat="1" ht="12.75" hidden="1">
      <c r="A38" s="70" t="s">
        <v>36</v>
      </c>
      <c r="B38" s="70"/>
      <c r="C38" s="64">
        <v>0</v>
      </c>
      <c r="D38" s="64"/>
      <c r="E38" s="64">
        <v>0</v>
      </c>
      <c r="F38" s="64"/>
      <c r="G38" s="64">
        <v>0</v>
      </c>
      <c r="H38" s="64"/>
      <c r="I38" s="64">
        <v>0</v>
      </c>
      <c r="J38" s="64"/>
      <c r="K38" s="64">
        <v>0</v>
      </c>
      <c r="L38" s="64"/>
      <c r="M38" s="64">
        <v>0</v>
      </c>
      <c r="N38" s="56"/>
      <c r="O38" s="56">
        <f t="shared" si="1"/>
        <v>0</v>
      </c>
      <c r="P38" s="56"/>
      <c r="Q38" s="64">
        <v>0</v>
      </c>
      <c r="R38" s="30"/>
      <c r="S38" s="64">
        <v>0</v>
      </c>
    </row>
    <row r="39" spans="1:19" s="7" customFormat="1" ht="12.75" hidden="1">
      <c r="A39" s="70" t="s">
        <v>37</v>
      </c>
      <c r="B39" s="70"/>
      <c r="C39" s="64">
        <v>0</v>
      </c>
      <c r="D39" s="64"/>
      <c r="E39" s="64">
        <v>0</v>
      </c>
      <c r="F39" s="64"/>
      <c r="G39" s="64">
        <v>0</v>
      </c>
      <c r="H39" s="64"/>
      <c r="I39" s="64">
        <v>0</v>
      </c>
      <c r="J39" s="64"/>
      <c r="K39" s="64">
        <v>0</v>
      </c>
      <c r="L39" s="64"/>
      <c r="M39" s="64">
        <v>0</v>
      </c>
      <c r="N39" s="56"/>
      <c r="O39" s="56">
        <f t="shared" si="1"/>
        <v>0</v>
      </c>
      <c r="P39" s="56"/>
      <c r="Q39" s="64">
        <v>0</v>
      </c>
      <c r="R39" s="30"/>
      <c r="S39" s="64">
        <v>0</v>
      </c>
    </row>
    <row r="40" spans="1:19" s="7" customFormat="1" ht="12.75">
      <c r="A40" s="70" t="s">
        <v>38</v>
      </c>
      <c r="B40" s="70"/>
      <c r="C40" s="64">
        <v>1693291</v>
      </c>
      <c r="D40" s="64"/>
      <c r="E40" s="64">
        <v>5484555</v>
      </c>
      <c r="F40" s="64"/>
      <c r="G40" s="64">
        <v>0</v>
      </c>
      <c r="H40" s="64"/>
      <c r="I40" s="64">
        <v>4108612</v>
      </c>
      <c r="J40" s="64"/>
      <c r="K40" s="64">
        <v>2748496</v>
      </c>
      <c r="L40" s="64"/>
      <c r="M40" s="64">
        <v>0</v>
      </c>
      <c r="N40" s="56"/>
      <c r="O40" s="56">
        <f t="shared" si="1"/>
        <v>1079121</v>
      </c>
      <c r="P40" s="56"/>
      <c r="Q40" s="64">
        <v>15114075</v>
      </c>
      <c r="R40" s="30"/>
      <c r="S40" s="64">
        <v>7376</v>
      </c>
    </row>
    <row r="41" spans="1:19" s="7" customFormat="1" ht="12.75" hidden="1">
      <c r="A41" s="70" t="s">
        <v>172</v>
      </c>
      <c r="B41" s="70"/>
      <c r="C41" s="64">
        <v>0</v>
      </c>
      <c r="D41" s="64"/>
      <c r="E41" s="64">
        <v>0</v>
      </c>
      <c r="F41" s="64"/>
      <c r="G41" s="64">
        <v>0</v>
      </c>
      <c r="H41" s="64"/>
      <c r="I41" s="64">
        <v>0</v>
      </c>
      <c r="J41" s="64"/>
      <c r="K41" s="64">
        <v>0</v>
      </c>
      <c r="L41" s="64"/>
      <c r="M41" s="64">
        <v>0</v>
      </c>
      <c r="N41" s="56"/>
      <c r="O41" s="56">
        <f t="shared" si="1"/>
        <v>0</v>
      </c>
      <c r="P41" s="56"/>
      <c r="Q41" s="64">
        <v>0</v>
      </c>
      <c r="R41" s="30"/>
      <c r="S41" s="64">
        <v>0</v>
      </c>
    </row>
    <row r="42" spans="1:19" s="7" customFormat="1" ht="12.75" hidden="1">
      <c r="A42" s="70" t="s">
        <v>39</v>
      </c>
      <c r="B42" s="70"/>
      <c r="C42" s="64">
        <v>0</v>
      </c>
      <c r="D42" s="64"/>
      <c r="E42" s="64">
        <v>0</v>
      </c>
      <c r="F42" s="64"/>
      <c r="G42" s="64">
        <v>0</v>
      </c>
      <c r="H42" s="64"/>
      <c r="I42" s="64">
        <v>0</v>
      </c>
      <c r="J42" s="64"/>
      <c r="K42" s="64">
        <v>0</v>
      </c>
      <c r="L42" s="64"/>
      <c r="M42" s="64">
        <v>0</v>
      </c>
      <c r="N42" s="56"/>
      <c r="O42" s="56">
        <f t="shared" si="1"/>
        <v>0</v>
      </c>
      <c r="P42" s="56"/>
      <c r="Q42" s="64">
        <v>0</v>
      </c>
      <c r="R42" s="30"/>
      <c r="S42" s="64">
        <v>0</v>
      </c>
    </row>
    <row r="43" spans="1:19" s="7" customFormat="1" ht="12.75">
      <c r="A43" s="70" t="s">
        <v>40</v>
      </c>
      <c r="B43" s="70"/>
      <c r="C43" s="64">
        <v>1947956</v>
      </c>
      <c r="D43" s="64"/>
      <c r="E43" s="64">
        <v>2487529</v>
      </c>
      <c r="F43" s="64"/>
      <c r="G43" s="64">
        <v>0</v>
      </c>
      <c r="H43" s="64"/>
      <c r="I43" s="64">
        <v>829902</v>
      </c>
      <c r="J43" s="64"/>
      <c r="K43" s="64">
        <v>983689</v>
      </c>
      <c r="L43" s="64"/>
      <c r="M43" s="64">
        <v>0</v>
      </c>
      <c r="N43" s="56"/>
      <c r="O43" s="56">
        <f t="shared" si="1"/>
        <v>774023</v>
      </c>
      <c r="P43" s="56"/>
      <c r="Q43" s="64">
        <v>7023099</v>
      </c>
      <c r="R43" s="30"/>
      <c r="S43" s="64">
        <v>0</v>
      </c>
    </row>
    <row r="44" spans="1:19" s="7" customFormat="1" ht="12.75" hidden="1">
      <c r="A44" s="70" t="s">
        <v>41</v>
      </c>
      <c r="B44" s="70"/>
      <c r="C44" s="64">
        <v>0</v>
      </c>
      <c r="D44" s="64"/>
      <c r="E44" s="64">
        <v>0</v>
      </c>
      <c r="F44" s="64"/>
      <c r="G44" s="64">
        <v>0</v>
      </c>
      <c r="H44" s="64"/>
      <c r="I44" s="64">
        <v>0</v>
      </c>
      <c r="J44" s="64"/>
      <c r="K44" s="64">
        <v>0</v>
      </c>
      <c r="L44" s="64"/>
      <c r="M44" s="64">
        <v>0</v>
      </c>
      <c r="N44" s="56"/>
      <c r="O44" s="56">
        <f t="shared" si="1"/>
        <v>0</v>
      </c>
      <c r="P44" s="56"/>
      <c r="Q44" s="64">
        <v>0</v>
      </c>
      <c r="R44" s="30"/>
      <c r="S44" s="64">
        <v>0</v>
      </c>
    </row>
    <row r="45" spans="1:19" s="7" customFormat="1" ht="12.75">
      <c r="A45" s="70" t="s">
        <v>42</v>
      </c>
      <c r="B45" s="70"/>
      <c r="C45" s="64">
        <v>3763242</v>
      </c>
      <c r="D45" s="64"/>
      <c r="E45" s="64">
        <v>0</v>
      </c>
      <c r="F45" s="64"/>
      <c r="G45" s="64">
        <v>0</v>
      </c>
      <c r="H45" s="64"/>
      <c r="I45" s="64">
        <v>1097261</v>
      </c>
      <c r="J45" s="64"/>
      <c r="K45" s="64">
        <v>920865</v>
      </c>
      <c r="L45" s="64"/>
      <c r="M45" s="64">
        <v>0</v>
      </c>
      <c r="N45" s="56"/>
      <c r="O45" s="56">
        <f t="shared" si="1"/>
        <v>389067</v>
      </c>
      <c r="P45" s="56"/>
      <c r="Q45" s="64">
        <v>6170435</v>
      </c>
      <c r="R45" s="30"/>
      <c r="S45" s="64">
        <f>89252+30000</f>
        <v>119252</v>
      </c>
    </row>
    <row r="46" spans="1:19" s="7" customFormat="1" ht="12.75">
      <c r="A46" s="70" t="s">
        <v>43</v>
      </c>
      <c r="B46" s="70"/>
      <c r="C46" s="64">
        <v>2179299</v>
      </c>
      <c r="D46" s="64"/>
      <c r="E46" s="64">
        <v>3897394</v>
      </c>
      <c r="F46" s="64"/>
      <c r="G46" s="64">
        <v>0</v>
      </c>
      <c r="H46" s="64"/>
      <c r="I46" s="64">
        <v>1726942</v>
      </c>
      <c r="J46" s="64"/>
      <c r="K46" s="64">
        <v>983230</v>
      </c>
      <c r="L46" s="64"/>
      <c r="M46" s="64">
        <v>0</v>
      </c>
      <c r="N46" s="56"/>
      <c r="O46" s="56">
        <f t="shared" si="1"/>
        <v>1359400</v>
      </c>
      <c r="P46" s="56"/>
      <c r="Q46" s="64">
        <v>10146265</v>
      </c>
      <c r="R46" s="30"/>
      <c r="S46" s="64">
        <v>0</v>
      </c>
    </row>
    <row r="47" spans="1:19" s="7" customFormat="1" ht="12.75">
      <c r="A47" s="70" t="s">
        <v>44</v>
      </c>
      <c r="B47" s="70"/>
      <c r="C47" s="64">
        <v>10017589</v>
      </c>
      <c r="D47" s="64"/>
      <c r="E47" s="64">
        <v>0</v>
      </c>
      <c r="F47" s="64"/>
      <c r="G47" s="64">
        <v>0</v>
      </c>
      <c r="H47" s="64"/>
      <c r="I47" s="64">
        <v>1155662</v>
      </c>
      <c r="J47" s="64"/>
      <c r="K47" s="64">
        <v>1327717</v>
      </c>
      <c r="L47" s="64"/>
      <c r="M47" s="64">
        <v>0</v>
      </c>
      <c r="N47" s="56"/>
      <c r="O47" s="56">
        <f t="shared" si="1"/>
        <v>1240060</v>
      </c>
      <c r="P47" s="56"/>
      <c r="Q47" s="64">
        <v>13741028</v>
      </c>
      <c r="R47" s="30"/>
      <c r="S47" s="64">
        <v>120443</v>
      </c>
    </row>
    <row r="48" spans="1:19" s="7" customFormat="1" ht="12.75" hidden="1">
      <c r="A48" s="70" t="s">
        <v>45</v>
      </c>
      <c r="B48" s="70"/>
      <c r="C48" s="64">
        <v>0</v>
      </c>
      <c r="D48" s="64"/>
      <c r="E48" s="64">
        <v>0</v>
      </c>
      <c r="F48" s="64"/>
      <c r="G48" s="64">
        <v>0</v>
      </c>
      <c r="H48" s="64"/>
      <c r="I48" s="64">
        <v>0</v>
      </c>
      <c r="J48" s="64"/>
      <c r="K48" s="64">
        <v>0</v>
      </c>
      <c r="L48" s="64"/>
      <c r="M48" s="64">
        <v>0</v>
      </c>
      <c r="N48" s="56"/>
      <c r="O48" s="56">
        <f t="shared" si="1"/>
        <v>0</v>
      </c>
      <c r="P48" s="56"/>
      <c r="Q48" s="64">
        <v>0</v>
      </c>
      <c r="R48" s="30"/>
      <c r="S48" s="64">
        <v>0</v>
      </c>
    </row>
    <row r="49" spans="1:19" s="7" customFormat="1" ht="12.75">
      <c r="A49" s="70" t="s">
        <v>46</v>
      </c>
      <c r="B49" s="70"/>
      <c r="C49" s="64">
        <v>1890430</v>
      </c>
      <c r="D49" s="64"/>
      <c r="E49" s="64">
        <v>4287327</v>
      </c>
      <c r="F49" s="64"/>
      <c r="G49" s="64">
        <v>0</v>
      </c>
      <c r="H49" s="64"/>
      <c r="I49" s="64">
        <v>2287058</v>
      </c>
      <c r="J49" s="64"/>
      <c r="K49" s="64">
        <v>2823635</v>
      </c>
      <c r="L49" s="64"/>
      <c r="M49" s="64">
        <v>0</v>
      </c>
      <c r="N49" s="56"/>
      <c r="O49" s="56">
        <f t="shared" si="1"/>
        <v>979761</v>
      </c>
      <c r="P49" s="56"/>
      <c r="Q49" s="64">
        <v>12268211</v>
      </c>
      <c r="R49" s="30"/>
      <c r="S49" s="64">
        <v>0</v>
      </c>
    </row>
    <row r="50" spans="1:19" s="7" customFormat="1" ht="12.75">
      <c r="A50" s="70" t="s">
        <v>47</v>
      </c>
      <c r="B50" s="70"/>
      <c r="C50" s="64">
        <v>7727043</v>
      </c>
      <c r="D50" s="64"/>
      <c r="E50" s="64">
        <v>0</v>
      </c>
      <c r="F50" s="64"/>
      <c r="G50" s="64">
        <v>0</v>
      </c>
      <c r="H50" s="64"/>
      <c r="I50" s="64">
        <v>1816603</v>
      </c>
      <c r="J50" s="64"/>
      <c r="K50" s="64">
        <v>1546183</v>
      </c>
      <c r="L50" s="64"/>
      <c r="M50" s="64">
        <v>0</v>
      </c>
      <c r="N50" s="56"/>
      <c r="O50" s="56">
        <f t="shared" si="1"/>
        <v>1625537</v>
      </c>
      <c r="P50" s="56"/>
      <c r="Q50" s="64">
        <v>12715366</v>
      </c>
      <c r="R50" s="30"/>
      <c r="S50" s="64">
        <v>89870</v>
      </c>
    </row>
    <row r="51" spans="1:19" s="7" customFormat="1" ht="12.75">
      <c r="A51" s="70" t="s">
        <v>48</v>
      </c>
      <c r="B51" s="70"/>
      <c r="C51" s="64">
        <v>12169997</v>
      </c>
      <c r="D51" s="64"/>
      <c r="E51" s="64">
        <v>15109091</v>
      </c>
      <c r="F51" s="64"/>
      <c r="G51" s="64">
        <v>4575432</v>
      </c>
      <c r="H51" s="64"/>
      <c r="I51" s="64">
        <v>7245617</v>
      </c>
      <c r="J51" s="64"/>
      <c r="K51" s="64">
        <v>5281857</v>
      </c>
      <c r="L51" s="64"/>
      <c r="M51" s="64">
        <v>0</v>
      </c>
      <c r="N51" s="56"/>
      <c r="O51" s="56">
        <f t="shared" si="1"/>
        <v>8761791</v>
      </c>
      <c r="P51" s="56"/>
      <c r="Q51" s="64">
        <v>53143785</v>
      </c>
      <c r="R51" s="30"/>
      <c r="S51" s="64">
        <f>859109+142351</f>
        <v>1001460</v>
      </c>
    </row>
    <row r="52" spans="1:19" s="7" customFormat="1" ht="12.75" hidden="1">
      <c r="A52" s="70" t="s">
        <v>234</v>
      </c>
      <c r="B52" s="70"/>
      <c r="C52" s="64">
        <v>0</v>
      </c>
      <c r="D52" s="64"/>
      <c r="E52" s="64">
        <v>0</v>
      </c>
      <c r="F52" s="64"/>
      <c r="G52" s="64">
        <v>0</v>
      </c>
      <c r="H52" s="64"/>
      <c r="I52" s="64">
        <v>0</v>
      </c>
      <c r="J52" s="64"/>
      <c r="K52" s="64">
        <v>0</v>
      </c>
      <c r="L52" s="64"/>
      <c r="M52" s="64">
        <v>0</v>
      </c>
      <c r="N52" s="56"/>
      <c r="O52" s="56">
        <f t="shared" si="1"/>
        <v>0</v>
      </c>
      <c r="P52" s="56"/>
      <c r="Q52" s="64">
        <v>0</v>
      </c>
      <c r="R52" s="30"/>
      <c r="S52" s="64">
        <v>0</v>
      </c>
    </row>
    <row r="53" spans="1:19" s="7" customFormat="1" ht="12.75">
      <c r="A53" s="70" t="s">
        <v>49</v>
      </c>
      <c r="B53" s="70"/>
      <c r="C53" s="64">
        <v>23248829</v>
      </c>
      <c r="D53" s="64"/>
      <c r="E53" s="64">
        <v>0</v>
      </c>
      <c r="F53" s="64"/>
      <c r="G53" s="64">
        <v>0</v>
      </c>
      <c r="H53" s="64"/>
      <c r="I53" s="64">
        <v>4853261</v>
      </c>
      <c r="J53" s="64"/>
      <c r="K53" s="64">
        <v>4976783</v>
      </c>
      <c r="L53" s="64"/>
      <c r="M53" s="64">
        <v>0</v>
      </c>
      <c r="N53" s="56"/>
      <c r="O53" s="56">
        <f t="shared" si="1"/>
        <v>3201371</v>
      </c>
      <c r="P53" s="56"/>
      <c r="Q53" s="64">
        <v>36280244</v>
      </c>
      <c r="R53" s="30"/>
      <c r="S53" s="64">
        <f>13142+656411</f>
        <v>669553</v>
      </c>
    </row>
    <row r="54" spans="1:19" s="7" customFormat="1" ht="12.75">
      <c r="A54" s="70" t="s">
        <v>50</v>
      </c>
      <c r="B54" s="70"/>
      <c r="C54" s="64">
        <v>6821059</v>
      </c>
      <c r="D54" s="64"/>
      <c r="E54" s="64">
        <v>0</v>
      </c>
      <c r="F54" s="64"/>
      <c r="G54" s="64">
        <v>0</v>
      </c>
      <c r="H54" s="64"/>
      <c r="I54" s="64">
        <v>2254234</v>
      </c>
      <c r="J54" s="64"/>
      <c r="K54" s="64">
        <v>4666612</v>
      </c>
      <c r="L54" s="64"/>
      <c r="M54" s="64">
        <v>0</v>
      </c>
      <c r="N54" s="56"/>
      <c r="O54" s="56">
        <f t="shared" si="1"/>
        <v>1210903</v>
      </c>
      <c r="P54" s="56"/>
      <c r="Q54" s="64">
        <v>14952808</v>
      </c>
      <c r="R54" s="30"/>
      <c r="S54" s="64">
        <v>71575</v>
      </c>
    </row>
    <row r="55" spans="1:19" s="7" customFormat="1" ht="12.75">
      <c r="A55" s="70" t="s">
        <v>51</v>
      </c>
      <c r="B55" s="70"/>
      <c r="C55" s="64">
        <v>10077901</v>
      </c>
      <c r="D55" s="64"/>
      <c r="E55" s="64">
        <v>14696476</v>
      </c>
      <c r="F55" s="64"/>
      <c r="G55" s="64">
        <v>0</v>
      </c>
      <c r="H55" s="64"/>
      <c r="I55" s="64">
        <v>1633686</v>
      </c>
      <c r="J55" s="64"/>
      <c r="K55" s="64">
        <v>11119543</v>
      </c>
      <c r="L55" s="64"/>
      <c r="M55" s="64">
        <v>0</v>
      </c>
      <c r="N55" s="56"/>
      <c r="O55" s="56">
        <f t="shared" si="1"/>
        <v>18751884</v>
      </c>
      <c r="P55" s="56"/>
      <c r="Q55" s="64">
        <v>56279490</v>
      </c>
      <c r="R55" s="30"/>
      <c r="S55" s="64">
        <v>14883</v>
      </c>
    </row>
    <row r="56" spans="1:19" s="7" customFormat="1" ht="12.75">
      <c r="A56" s="70" t="s">
        <v>190</v>
      </c>
      <c r="B56" s="70"/>
      <c r="C56" s="64">
        <v>93069000</v>
      </c>
      <c r="D56" s="64"/>
      <c r="E56" s="64">
        <v>0</v>
      </c>
      <c r="F56" s="64"/>
      <c r="G56" s="64">
        <v>0</v>
      </c>
      <c r="H56" s="64"/>
      <c r="I56" s="64">
        <v>14223000</v>
      </c>
      <c r="J56" s="64"/>
      <c r="K56" s="64">
        <v>19638000</v>
      </c>
      <c r="L56" s="64"/>
      <c r="M56" s="64">
        <v>0</v>
      </c>
      <c r="N56" s="56"/>
      <c r="O56" s="56">
        <f t="shared" si="1"/>
        <v>9218000</v>
      </c>
      <c r="P56" s="56"/>
      <c r="Q56" s="64">
        <v>136148000</v>
      </c>
      <c r="R56" s="30"/>
      <c r="S56" s="64">
        <v>0</v>
      </c>
    </row>
    <row r="57" spans="1:19" s="7" customFormat="1" ht="12.75" hidden="1">
      <c r="A57" s="70" t="s">
        <v>52</v>
      </c>
      <c r="B57" s="70"/>
      <c r="C57" s="64">
        <v>0</v>
      </c>
      <c r="D57" s="64"/>
      <c r="E57" s="64">
        <v>0</v>
      </c>
      <c r="F57" s="64"/>
      <c r="G57" s="64">
        <v>0</v>
      </c>
      <c r="H57" s="64"/>
      <c r="I57" s="64">
        <v>0</v>
      </c>
      <c r="J57" s="64"/>
      <c r="K57" s="64">
        <v>0</v>
      </c>
      <c r="L57" s="64"/>
      <c r="M57" s="64">
        <v>0</v>
      </c>
      <c r="N57" s="56"/>
      <c r="O57" s="56">
        <f t="shared" si="1"/>
        <v>0</v>
      </c>
      <c r="P57" s="56"/>
      <c r="Q57" s="64">
        <v>0</v>
      </c>
      <c r="R57" s="30"/>
      <c r="S57" s="64">
        <v>0</v>
      </c>
    </row>
    <row r="58" spans="1:19" s="164" customFormat="1" ht="12.75" hidden="1">
      <c r="A58" s="162" t="s">
        <v>53</v>
      </c>
      <c r="B58" s="162"/>
      <c r="C58" s="163">
        <v>0</v>
      </c>
      <c r="D58" s="163"/>
      <c r="E58" s="163">
        <v>0</v>
      </c>
      <c r="F58" s="163"/>
      <c r="G58" s="163">
        <v>0</v>
      </c>
      <c r="H58" s="163"/>
      <c r="I58" s="163">
        <v>0</v>
      </c>
      <c r="J58" s="163"/>
      <c r="K58" s="163">
        <v>0</v>
      </c>
      <c r="L58" s="163"/>
      <c r="M58" s="163">
        <v>0</v>
      </c>
      <c r="N58" s="161"/>
      <c r="O58" s="161">
        <f t="shared" si="1"/>
        <v>0</v>
      </c>
      <c r="P58" s="161"/>
      <c r="Q58" s="163">
        <v>0</v>
      </c>
      <c r="R58" s="153"/>
      <c r="S58" s="163">
        <v>0</v>
      </c>
    </row>
    <row r="59" spans="1:19" s="7" customFormat="1" ht="12.75">
      <c r="A59" s="70" t="s">
        <v>54</v>
      </c>
      <c r="B59" s="70"/>
      <c r="C59" s="64">
        <v>2241612</v>
      </c>
      <c r="D59" s="64"/>
      <c r="E59" s="64">
        <v>6406626</v>
      </c>
      <c r="F59" s="64"/>
      <c r="G59" s="64">
        <v>0</v>
      </c>
      <c r="H59" s="64"/>
      <c r="I59" s="64">
        <v>2934127</v>
      </c>
      <c r="J59" s="64"/>
      <c r="K59" s="64">
        <v>1920273</v>
      </c>
      <c r="L59" s="64"/>
      <c r="M59" s="64">
        <v>0</v>
      </c>
      <c r="N59" s="56"/>
      <c r="O59" s="56">
        <f t="shared" si="1"/>
        <v>1583095</v>
      </c>
      <c r="P59" s="56"/>
      <c r="Q59" s="64">
        <v>15085733</v>
      </c>
      <c r="R59" s="30"/>
      <c r="S59" s="64">
        <f>3390548+47853</f>
        <v>3438401</v>
      </c>
    </row>
    <row r="60" spans="1:19" s="7" customFormat="1" ht="12.75">
      <c r="A60" s="70" t="s">
        <v>55</v>
      </c>
      <c r="B60" s="70"/>
      <c r="C60" s="64">
        <v>9847383</v>
      </c>
      <c r="D60" s="64"/>
      <c r="E60" s="64">
        <v>9247660</v>
      </c>
      <c r="F60" s="64"/>
      <c r="G60" s="64">
        <v>2113203</v>
      </c>
      <c r="H60" s="64"/>
      <c r="I60" s="64">
        <v>10149410</v>
      </c>
      <c r="J60" s="64"/>
      <c r="K60" s="64">
        <v>4726945</v>
      </c>
      <c r="L60" s="64"/>
      <c r="M60" s="64">
        <v>0</v>
      </c>
      <c r="N60" s="56"/>
      <c r="O60" s="56">
        <f t="shared" si="1"/>
        <v>3482531</v>
      </c>
      <c r="P60" s="56"/>
      <c r="Q60" s="64">
        <v>39567132</v>
      </c>
      <c r="R60" s="30"/>
      <c r="S60" s="64">
        <v>55911</v>
      </c>
    </row>
    <row r="61" spans="1:19" s="7" customFormat="1" ht="12.75" hidden="1">
      <c r="A61" s="70" t="s">
        <v>175</v>
      </c>
      <c r="B61" s="70"/>
      <c r="C61" s="64">
        <v>0</v>
      </c>
      <c r="D61" s="64"/>
      <c r="E61" s="64">
        <v>0</v>
      </c>
      <c r="F61" s="64"/>
      <c r="G61" s="64">
        <v>0</v>
      </c>
      <c r="H61" s="64"/>
      <c r="I61" s="64">
        <v>0</v>
      </c>
      <c r="J61" s="64"/>
      <c r="K61" s="64">
        <v>0</v>
      </c>
      <c r="L61" s="64"/>
      <c r="M61" s="64">
        <v>0</v>
      </c>
      <c r="N61" s="56"/>
      <c r="O61" s="56">
        <f t="shared" si="1"/>
        <v>0</v>
      </c>
      <c r="P61" s="56"/>
      <c r="Q61" s="64">
        <v>0</v>
      </c>
      <c r="R61" s="30"/>
      <c r="S61" s="64">
        <v>0</v>
      </c>
    </row>
    <row r="62" spans="1:19" s="7" customFormat="1" ht="12.75" hidden="1">
      <c r="A62" s="70" t="s">
        <v>56</v>
      </c>
      <c r="B62" s="70"/>
      <c r="C62" s="64">
        <v>0</v>
      </c>
      <c r="D62" s="64"/>
      <c r="E62" s="64">
        <v>0</v>
      </c>
      <c r="F62" s="64"/>
      <c r="G62" s="64">
        <v>0</v>
      </c>
      <c r="H62" s="64"/>
      <c r="I62" s="64">
        <v>0</v>
      </c>
      <c r="J62" s="64"/>
      <c r="K62" s="64">
        <v>0</v>
      </c>
      <c r="L62" s="64"/>
      <c r="M62" s="64">
        <v>0</v>
      </c>
      <c r="N62" s="56"/>
      <c r="O62" s="56">
        <f t="shared" si="1"/>
        <v>0</v>
      </c>
      <c r="P62" s="56"/>
      <c r="Q62" s="64">
        <v>0</v>
      </c>
      <c r="R62" s="30"/>
      <c r="S62" s="64">
        <v>0</v>
      </c>
    </row>
    <row r="63" spans="1:19" s="7" customFormat="1" ht="12.75">
      <c r="A63" s="70" t="s">
        <v>57</v>
      </c>
      <c r="B63" s="70"/>
      <c r="C63" s="64">
        <v>12640290</v>
      </c>
      <c r="D63" s="64"/>
      <c r="E63" s="64">
        <v>0</v>
      </c>
      <c r="F63" s="64"/>
      <c r="G63" s="64">
        <v>0</v>
      </c>
      <c r="H63" s="64"/>
      <c r="I63" s="64">
        <v>4156831</v>
      </c>
      <c r="J63" s="64"/>
      <c r="K63" s="64">
        <v>3649636</v>
      </c>
      <c r="L63" s="64"/>
      <c r="M63" s="64">
        <v>0</v>
      </c>
      <c r="N63" s="56"/>
      <c r="O63" s="56">
        <f t="shared" si="1"/>
        <v>3442908</v>
      </c>
      <c r="P63" s="56"/>
      <c r="Q63" s="64">
        <v>23889665</v>
      </c>
      <c r="R63" s="30"/>
      <c r="S63" s="64">
        <f>52480+58000</f>
        <v>110480</v>
      </c>
    </row>
    <row r="64" spans="1:19" s="7" customFormat="1" ht="12.75">
      <c r="A64" s="70" t="s">
        <v>58</v>
      </c>
      <c r="B64" s="70"/>
      <c r="C64" s="64">
        <v>826073</v>
      </c>
      <c r="D64" s="64"/>
      <c r="E64" s="64">
        <v>1205139</v>
      </c>
      <c r="F64" s="64"/>
      <c r="G64" s="64">
        <v>0</v>
      </c>
      <c r="H64" s="64"/>
      <c r="I64" s="64">
        <v>603480</v>
      </c>
      <c r="J64" s="64"/>
      <c r="K64" s="64">
        <v>352978</v>
      </c>
      <c r="L64" s="64"/>
      <c r="M64" s="64">
        <v>0</v>
      </c>
      <c r="N64" s="56"/>
      <c r="O64" s="56">
        <f t="shared" si="1"/>
        <v>651056</v>
      </c>
      <c r="P64" s="56"/>
      <c r="Q64" s="64">
        <v>3638726</v>
      </c>
      <c r="R64" s="30"/>
      <c r="S64" s="64">
        <v>53075</v>
      </c>
    </row>
    <row r="65" spans="1:19" s="7" customFormat="1" ht="12.75">
      <c r="A65" s="70" t="s">
        <v>59</v>
      </c>
      <c r="B65" s="70"/>
      <c r="C65" s="64">
        <v>15454510</v>
      </c>
      <c r="D65" s="64"/>
      <c r="E65" s="64">
        <v>65853109</v>
      </c>
      <c r="F65" s="64"/>
      <c r="G65" s="64">
        <v>2291154</v>
      </c>
      <c r="H65" s="64"/>
      <c r="I65" s="64">
        <v>19125828</v>
      </c>
      <c r="J65" s="64"/>
      <c r="K65" s="64">
        <v>20952602</v>
      </c>
      <c r="L65" s="64"/>
      <c r="M65" s="64">
        <v>0</v>
      </c>
      <c r="N65" s="56"/>
      <c r="O65" s="56">
        <f t="shared" si="1"/>
        <v>12905095</v>
      </c>
      <c r="P65" s="56"/>
      <c r="Q65" s="64">
        <v>136582298</v>
      </c>
      <c r="R65" s="30"/>
      <c r="S65" s="64">
        <f>130078+3760777</f>
        <v>3890855</v>
      </c>
    </row>
    <row r="66" spans="1:19" s="7" customFormat="1" ht="12.75" hidden="1">
      <c r="A66" s="70" t="s">
        <v>60</v>
      </c>
      <c r="B66" s="70"/>
      <c r="C66" s="64">
        <v>0</v>
      </c>
      <c r="D66" s="64"/>
      <c r="E66" s="64">
        <v>0</v>
      </c>
      <c r="F66" s="64"/>
      <c r="G66" s="64">
        <v>0</v>
      </c>
      <c r="H66" s="64"/>
      <c r="I66" s="64">
        <v>0</v>
      </c>
      <c r="J66" s="64"/>
      <c r="K66" s="64">
        <v>0</v>
      </c>
      <c r="L66" s="64"/>
      <c r="M66" s="64">
        <v>0</v>
      </c>
      <c r="N66" s="56"/>
      <c r="O66" s="56">
        <f t="shared" si="1"/>
        <v>0</v>
      </c>
      <c r="P66" s="56"/>
      <c r="Q66" s="64">
        <v>0</v>
      </c>
      <c r="R66" s="30"/>
      <c r="S66" s="64">
        <v>0</v>
      </c>
    </row>
    <row r="67" spans="1:19" s="7" customFormat="1" ht="12.75">
      <c r="A67" s="70" t="s">
        <v>97</v>
      </c>
      <c r="B67" s="70"/>
      <c r="C67" s="64">
        <v>2111132</v>
      </c>
      <c r="D67" s="64"/>
      <c r="E67" s="64">
        <v>2693179</v>
      </c>
      <c r="F67" s="64"/>
      <c r="G67" s="64">
        <v>145328</v>
      </c>
      <c r="H67" s="64"/>
      <c r="I67" s="64">
        <v>1985208</v>
      </c>
      <c r="J67" s="64"/>
      <c r="K67" s="64">
        <v>771972</v>
      </c>
      <c r="L67" s="64"/>
      <c r="M67" s="64">
        <v>0</v>
      </c>
      <c r="N67" s="56"/>
      <c r="O67" s="56">
        <f t="shared" si="1"/>
        <v>975596</v>
      </c>
      <c r="P67" s="56"/>
      <c r="Q67" s="64">
        <v>8682415</v>
      </c>
      <c r="R67" s="30"/>
      <c r="S67" s="64">
        <f>7001+312535</f>
        <v>319536</v>
      </c>
    </row>
    <row r="68" spans="1:19" s="7" customFormat="1" ht="12.75">
      <c r="A68" s="70" t="s">
        <v>61</v>
      </c>
      <c r="B68" s="70"/>
      <c r="C68" s="64">
        <v>2613375</v>
      </c>
      <c r="D68" s="64"/>
      <c r="E68" s="64">
        <v>14101148</v>
      </c>
      <c r="F68" s="64"/>
      <c r="G68" s="64">
        <v>0</v>
      </c>
      <c r="H68" s="64"/>
      <c r="I68" s="64">
        <v>4403131</v>
      </c>
      <c r="J68" s="64"/>
      <c r="K68" s="64">
        <v>3272530</v>
      </c>
      <c r="L68" s="64"/>
      <c r="M68" s="64">
        <v>0</v>
      </c>
      <c r="N68" s="56"/>
      <c r="O68" s="56">
        <f t="shared" si="1"/>
        <v>3229572</v>
      </c>
      <c r="P68" s="56"/>
      <c r="Q68" s="64">
        <v>27619756</v>
      </c>
      <c r="R68" s="30"/>
      <c r="S68" s="64">
        <f>13760+1281736</f>
        <v>1295496</v>
      </c>
    </row>
    <row r="69" spans="1:19" s="7" customFormat="1" ht="12.75">
      <c r="A69" s="70" t="s">
        <v>62</v>
      </c>
      <c r="B69" s="70"/>
      <c r="C69" s="64">
        <v>523235</v>
      </c>
      <c r="D69" s="64"/>
      <c r="E69" s="64">
        <v>1008091</v>
      </c>
      <c r="F69" s="64"/>
      <c r="G69" s="64">
        <v>0</v>
      </c>
      <c r="H69" s="64"/>
      <c r="I69" s="64">
        <v>459225</v>
      </c>
      <c r="J69" s="64"/>
      <c r="K69" s="64">
        <v>415917</v>
      </c>
      <c r="L69" s="64"/>
      <c r="M69" s="64">
        <v>0</v>
      </c>
      <c r="N69" s="56"/>
      <c r="O69" s="56">
        <f t="shared" si="1"/>
        <v>369996</v>
      </c>
      <c r="P69" s="56"/>
      <c r="Q69" s="64">
        <v>2776464</v>
      </c>
      <c r="R69" s="30"/>
      <c r="S69" s="64">
        <v>0</v>
      </c>
    </row>
    <row r="70" spans="1:19" s="7" customFormat="1" ht="12.75">
      <c r="A70" s="70" t="s">
        <v>63</v>
      </c>
      <c r="B70" s="70"/>
      <c r="C70" s="64">
        <v>2555412</v>
      </c>
      <c r="D70" s="64"/>
      <c r="E70" s="64">
        <v>4747116</v>
      </c>
      <c r="F70" s="64"/>
      <c r="G70" s="64">
        <v>0</v>
      </c>
      <c r="H70" s="64"/>
      <c r="I70" s="64">
        <v>1785059</v>
      </c>
      <c r="J70" s="64"/>
      <c r="K70" s="64">
        <v>1689982</v>
      </c>
      <c r="L70" s="64"/>
      <c r="M70" s="64">
        <v>0</v>
      </c>
      <c r="N70" s="56"/>
      <c r="O70" s="56">
        <f t="shared" si="1"/>
        <v>2935830</v>
      </c>
      <c r="P70" s="56"/>
      <c r="Q70" s="64">
        <v>13713399</v>
      </c>
      <c r="R70" s="30"/>
      <c r="S70" s="64">
        <f>15901+319612+25547</f>
        <v>361060</v>
      </c>
    </row>
    <row r="71" spans="1:19" s="7" customFormat="1" ht="12.75" hidden="1">
      <c r="A71" s="70" t="s">
        <v>132</v>
      </c>
      <c r="B71" s="70"/>
      <c r="C71" s="64">
        <v>0</v>
      </c>
      <c r="D71" s="64"/>
      <c r="E71" s="64">
        <v>0</v>
      </c>
      <c r="F71" s="64"/>
      <c r="G71" s="64">
        <v>0</v>
      </c>
      <c r="H71" s="64"/>
      <c r="I71" s="64">
        <v>0</v>
      </c>
      <c r="J71" s="64"/>
      <c r="K71" s="64">
        <v>0</v>
      </c>
      <c r="L71" s="64"/>
      <c r="M71" s="64">
        <v>0</v>
      </c>
      <c r="N71" s="56"/>
      <c r="O71" s="56">
        <f t="shared" si="1"/>
        <v>0</v>
      </c>
      <c r="P71" s="56"/>
      <c r="Q71" s="64">
        <v>0</v>
      </c>
      <c r="R71" s="30"/>
      <c r="S71" s="64">
        <v>0</v>
      </c>
    </row>
    <row r="72" spans="1:19" s="7" customFormat="1" ht="12.75" hidden="1">
      <c r="A72" s="70" t="s">
        <v>64</v>
      </c>
      <c r="B72" s="70"/>
      <c r="C72" s="64">
        <v>0</v>
      </c>
      <c r="D72" s="64"/>
      <c r="E72" s="64">
        <v>0</v>
      </c>
      <c r="F72" s="64"/>
      <c r="G72" s="64">
        <v>0</v>
      </c>
      <c r="H72" s="64"/>
      <c r="I72" s="64">
        <v>0</v>
      </c>
      <c r="J72" s="64"/>
      <c r="K72" s="64">
        <v>0</v>
      </c>
      <c r="L72" s="64"/>
      <c r="M72" s="64">
        <v>0</v>
      </c>
      <c r="N72" s="56"/>
      <c r="O72" s="56">
        <f t="shared" si="1"/>
        <v>0</v>
      </c>
      <c r="P72" s="56"/>
      <c r="Q72" s="64">
        <v>0</v>
      </c>
      <c r="R72" s="30"/>
      <c r="S72" s="64">
        <v>0</v>
      </c>
    </row>
    <row r="73" spans="1:19" s="7" customFormat="1" ht="12.75">
      <c r="A73" s="70"/>
      <c r="B73" s="70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56"/>
      <c r="O73" s="56"/>
      <c r="P73" s="56"/>
      <c r="Q73" s="64" t="s">
        <v>242</v>
      </c>
      <c r="R73" s="30"/>
      <c r="S73" s="64"/>
    </row>
    <row r="74" spans="1:19" s="7" customFormat="1" ht="12.75">
      <c r="A74" s="70" t="s">
        <v>65</v>
      </c>
      <c r="B74" s="70"/>
      <c r="C74" s="145">
        <v>2441784</v>
      </c>
      <c r="D74" s="145"/>
      <c r="E74" s="145">
        <v>5155599</v>
      </c>
      <c r="F74" s="145"/>
      <c r="G74" s="145">
        <v>0</v>
      </c>
      <c r="H74" s="145"/>
      <c r="I74" s="145">
        <v>2037486</v>
      </c>
      <c r="J74" s="145"/>
      <c r="K74" s="145">
        <v>1219844</v>
      </c>
      <c r="L74" s="145"/>
      <c r="M74" s="145">
        <v>0</v>
      </c>
      <c r="N74" s="144"/>
      <c r="O74" s="144">
        <f t="shared" si="1"/>
        <v>1090006</v>
      </c>
      <c r="P74" s="144"/>
      <c r="Q74" s="145">
        <v>11944719</v>
      </c>
      <c r="R74" s="30"/>
      <c r="S74" s="145">
        <f>151896+82379</f>
        <v>234275</v>
      </c>
    </row>
    <row r="75" spans="1:19" s="7" customFormat="1" ht="12.75">
      <c r="A75" s="70" t="s">
        <v>66</v>
      </c>
      <c r="B75" s="70"/>
      <c r="C75" s="64">
        <v>3858522</v>
      </c>
      <c r="D75" s="64"/>
      <c r="E75" s="64">
        <v>0</v>
      </c>
      <c r="F75" s="64"/>
      <c r="G75" s="64">
        <v>0</v>
      </c>
      <c r="H75" s="64"/>
      <c r="I75" s="64">
        <v>769276</v>
      </c>
      <c r="J75" s="64"/>
      <c r="K75" s="64">
        <v>455569</v>
      </c>
      <c r="L75" s="64"/>
      <c r="M75" s="64">
        <v>0</v>
      </c>
      <c r="N75" s="56"/>
      <c r="O75" s="56">
        <f t="shared" si="1"/>
        <v>886385</v>
      </c>
      <c r="P75" s="56"/>
      <c r="Q75" s="64">
        <v>5969752</v>
      </c>
      <c r="R75" s="30"/>
      <c r="S75" s="64">
        <v>0</v>
      </c>
    </row>
    <row r="76" spans="1:19" s="7" customFormat="1" ht="12.75">
      <c r="A76" s="70" t="s">
        <v>67</v>
      </c>
      <c r="B76" s="70"/>
      <c r="C76" s="64">
        <v>4284942</v>
      </c>
      <c r="D76" s="64"/>
      <c r="E76" s="64">
        <v>13751342</v>
      </c>
      <c r="F76" s="64"/>
      <c r="G76" s="64">
        <v>0</v>
      </c>
      <c r="H76" s="64"/>
      <c r="I76" s="64">
        <v>8297474</v>
      </c>
      <c r="J76" s="64"/>
      <c r="K76" s="64">
        <v>4140268</v>
      </c>
      <c r="L76" s="64"/>
      <c r="M76" s="64">
        <v>0</v>
      </c>
      <c r="N76" s="56"/>
      <c r="O76" s="56">
        <f aca="true" t="shared" si="2" ref="O76:O96">Q76-C76-E76-G76-I76-K76-M76</f>
        <v>4121429</v>
      </c>
      <c r="P76" s="56"/>
      <c r="Q76" s="64">
        <v>34595455</v>
      </c>
      <c r="R76" s="30"/>
      <c r="S76" s="64">
        <v>0</v>
      </c>
    </row>
    <row r="77" spans="1:19" s="7" customFormat="1" ht="12.75">
      <c r="A77" s="70" t="s">
        <v>68</v>
      </c>
      <c r="B77" s="70"/>
      <c r="C77" s="64">
        <v>1590283</v>
      </c>
      <c r="D77" s="64"/>
      <c r="E77" s="64">
        <v>4436627</v>
      </c>
      <c r="F77" s="64"/>
      <c r="G77" s="64">
        <v>0</v>
      </c>
      <c r="H77" s="64"/>
      <c r="I77" s="64">
        <v>1638581</v>
      </c>
      <c r="J77" s="64"/>
      <c r="K77" s="64">
        <v>1115386</v>
      </c>
      <c r="L77" s="64"/>
      <c r="M77" s="64">
        <v>0</v>
      </c>
      <c r="N77" s="56"/>
      <c r="O77" s="56">
        <f t="shared" si="2"/>
        <v>838012</v>
      </c>
      <c r="P77" s="56"/>
      <c r="Q77" s="64">
        <v>9618889</v>
      </c>
      <c r="R77" s="30"/>
      <c r="S77" s="64">
        <v>0</v>
      </c>
    </row>
    <row r="78" spans="1:19" s="7" customFormat="1" ht="12.75" hidden="1">
      <c r="A78" s="70" t="s">
        <v>180</v>
      </c>
      <c r="B78" s="70"/>
      <c r="C78" s="64">
        <v>0</v>
      </c>
      <c r="D78" s="64"/>
      <c r="E78" s="64">
        <v>0</v>
      </c>
      <c r="F78" s="64"/>
      <c r="G78" s="64">
        <v>0</v>
      </c>
      <c r="H78" s="64"/>
      <c r="I78" s="64">
        <v>0</v>
      </c>
      <c r="J78" s="64"/>
      <c r="K78" s="64">
        <v>0</v>
      </c>
      <c r="L78" s="64"/>
      <c r="M78" s="64">
        <v>0</v>
      </c>
      <c r="N78" s="56"/>
      <c r="O78" s="56">
        <f t="shared" si="2"/>
        <v>0</v>
      </c>
      <c r="P78" s="56"/>
      <c r="Q78" s="64">
        <v>0</v>
      </c>
      <c r="R78" s="30"/>
      <c r="S78" s="64">
        <v>0</v>
      </c>
    </row>
    <row r="79" spans="1:19" s="7" customFormat="1" ht="12.75">
      <c r="A79" s="70" t="s">
        <v>185</v>
      </c>
      <c r="B79" s="70"/>
      <c r="C79" s="64">
        <v>3349414</v>
      </c>
      <c r="D79" s="64"/>
      <c r="E79" s="64">
        <v>13577299</v>
      </c>
      <c r="F79" s="64"/>
      <c r="G79" s="64">
        <v>0</v>
      </c>
      <c r="H79" s="64"/>
      <c r="I79" s="64">
        <v>3488154</v>
      </c>
      <c r="J79" s="64"/>
      <c r="K79" s="64">
        <v>3809272</v>
      </c>
      <c r="L79" s="64"/>
      <c r="M79" s="64">
        <v>0</v>
      </c>
      <c r="N79" s="56"/>
      <c r="O79" s="56">
        <f t="shared" si="2"/>
        <v>1834798</v>
      </c>
      <c r="P79" s="56"/>
      <c r="Q79" s="64">
        <v>26058937</v>
      </c>
      <c r="R79" s="30"/>
      <c r="S79" s="64">
        <f>30803+59865+74068</f>
        <v>164736</v>
      </c>
    </row>
    <row r="80" spans="1:19" s="7" customFormat="1" ht="12.75">
      <c r="A80" s="70" t="s">
        <v>69</v>
      </c>
      <c r="B80" s="70"/>
      <c r="C80" s="64">
        <v>1984538</v>
      </c>
      <c r="D80" s="64"/>
      <c r="E80" s="64">
        <v>10668370</v>
      </c>
      <c r="F80" s="64"/>
      <c r="G80" s="64">
        <v>0</v>
      </c>
      <c r="H80" s="64"/>
      <c r="I80" s="64">
        <v>1819788</v>
      </c>
      <c r="J80" s="64"/>
      <c r="K80" s="64">
        <v>1881128</v>
      </c>
      <c r="L80" s="64"/>
      <c r="M80" s="64">
        <v>0</v>
      </c>
      <c r="N80" s="56"/>
      <c r="O80" s="56">
        <f t="shared" si="2"/>
        <v>1923208</v>
      </c>
      <c r="P80" s="56"/>
      <c r="Q80" s="64">
        <v>18277032</v>
      </c>
      <c r="R80" s="30"/>
      <c r="S80" s="64">
        <f>77500+70397</f>
        <v>147897</v>
      </c>
    </row>
    <row r="81" spans="1:19" s="7" customFormat="1" ht="12.75">
      <c r="A81" s="70" t="s">
        <v>98</v>
      </c>
      <c r="B81" s="70"/>
      <c r="C81" s="64">
        <v>2780587</v>
      </c>
      <c r="D81" s="64"/>
      <c r="E81" s="64">
        <v>5876825</v>
      </c>
      <c r="F81" s="64"/>
      <c r="G81" s="64">
        <v>0</v>
      </c>
      <c r="H81" s="64"/>
      <c r="I81" s="64">
        <v>2829095</v>
      </c>
      <c r="J81" s="64"/>
      <c r="K81" s="64">
        <v>2091882</v>
      </c>
      <c r="L81" s="64"/>
      <c r="M81" s="64">
        <v>0</v>
      </c>
      <c r="N81" s="56"/>
      <c r="O81" s="56">
        <f t="shared" si="2"/>
        <v>2074019</v>
      </c>
      <c r="P81" s="56"/>
      <c r="Q81" s="64">
        <v>15652408</v>
      </c>
      <c r="R81" s="30"/>
      <c r="S81" s="64">
        <f>173159+471457</f>
        <v>644616</v>
      </c>
    </row>
    <row r="82" spans="1:19" s="7" customFormat="1" ht="12.75">
      <c r="A82" s="70" t="s">
        <v>70</v>
      </c>
      <c r="B82" s="70"/>
      <c r="C82" s="64">
        <v>1840455</v>
      </c>
      <c r="D82" s="64"/>
      <c r="E82" s="64">
        <v>8449420</v>
      </c>
      <c r="F82" s="64"/>
      <c r="G82" s="64">
        <v>0</v>
      </c>
      <c r="H82" s="64"/>
      <c r="I82" s="64">
        <v>1353034</v>
      </c>
      <c r="J82" s="64"/>
      <c r="K82" s="64">
        <v>1348130</v>
      </c>
      <c r="L82" s="64"/>
      <c r="M82" s="64">
        <v>0</v>
      </c>
      <c r="N82" s="56"/>
      <c r="O82" s="56">
        <f t="shared" si="2"/>
        <v>1032530</v>
      </c>
      <c r="P82" s="56"/>
      <c r="Q82" s="64">
        <v>14023569</v>
      </c>
      <c r="R82" s="30"/>
      <c r="S82" s="64">
        <f>10725+6000</f>
        <v>16725</v>
      </c>
    </row>
    <row r="83" spans="1:19" s="7" customFormat="1" ht="12.75">
      <c r="A83" s="70" t="s">
        <v>71</v>
      </c>
      <c r="B83" s="70"/>
      <c r="C83" s="64">
        <v>2202944</v>
      </c>
      <c r="D83" s="64"/>
      <c r="E83" s="64">
        <v>5727145</v>
      </c>
      <c r="F83" s="64"/>
      <c r="G83" s="64">
        <v>0</v>
      </c>
      <c r="H83" s="64"/>
      <c r="I83" s="64">
        <v>1549660</v>
      </c>
      <c r="J83" s="64"/>
      <c r="K83" s="64">
        <v>4131201</v>
      </c>
      <c r="L83" s="64"/>
      <c r="M83" s="64">
        <v>0</v>
      </c>
      <c r="N83" s="56"/>
      <c r="O83" s="56">
        <f t="shared" si="2"/>
        <v>1019953</v>
      </c>
      <c r="P83" s="56"/>
      <c r="Q83" s="64">
        <v>14630903</v>
      </c>
      <c r="R83" s="30"/>
      <c r="S83" s="64">
        <f>40085+1007</f>
        <v>41092</v>
      </c>
    </row>
    <row r="84" spans="1:19" s="7" customFormat="1" ht="12.75">
      <c r="A84" s="70" t="s">
        <v>72</v>
      </c>
      <c r="B84" s="70"/>
      <c r="C84" s="64">
        <v>2303842</v>
      </c>
      <c r="D84" s="64"/>
      <c r="E84" s="64">
        <v>4131052</v>
      </c>
      <c r="F84" s="64"/>
      <c r="G84" s="64">
        <v>0</v>
      </c>
      <c r="H84" s="64"/>
      <c r="I84" s="64">
        <v>2596828</v>
      </c>
      <c r="J84" s="64"/>
      <c r="K84" s="64">
        <v>1724931</v>
      </c>
      <c r="L84" s="64"/>
      <c r="M84" s="64">
        <v>0</v>
      </c>
      <c r="N84" s="56"/>
      <c r="O84" s="56">
        <f t="shared" si="2"/>
        <v>846181</v>
      </c>
      <c r="P84" s="56"/>
      <c r="Q84" s="64">
        <v>11602834</v>
      </c>
      <c r="R84" s="30"/>
      <c r="S84" s="64">
        <f>62352+27003</f>
        <v>89355</v>
      </c>
    </row>
    <row r="85" spans="1:19" s="7" customFormat="1" ht="12.75">
      <c r="A85" s="70" t="s">
        <v>73</v>
      </c>
      <c r="B85" s="70"/>
      <c r="C85" s="64">
        <v>14181344</v>
      </c>
      <c r="D85" s="64"/>
      <c r="E85" s="64">
        <v>11233477</v>
      </c>
      <c r="F85" s="64"/>
      <c r="G85" s="64">
        <v>0</v>
      </c>
      <c r="H85" s="64"/>
      <c r="I85" s="64">
        <v>14191702</v>
      </c>
      <c r="J85" s="64"/>
      <c r="K85" s="64">
        <v>9242000</v>
      </c>
      <c r="L85" s="64"/>
      <c r="M85" s="64">
        <v>0</v>
      </c>
      <c r="N85" s="56"/>
      <c r="O85" s="56">
        <f t="shared" si="2"/>
        <v>5277936</v>
      </c>
      <c r="P85" s="56"/>
      <c r="Q85" s="64">
        <v>54126459</v>
      </c>
      <c r="R85" s="30"/>
      <c r="S85" s="64">
        <f>47477+39001</f>
        <v>86478</v>
      </c>
    </row>
    <row r="86" spans="1:19" s="7" customFormat="1" ht="12.75">
      <c r="A86" s="70" t="s">
        <v>74</v>
      </c>
      <c r="B86" s="70"/>
      <c r="C86" s="64">
        <v>16924984</v>
      </c>
      <c r="D86" s="64"/>
      <c r="E86" s="64">
        <v>35524910</v>
      </c>
      <c r="F86" s="64"/>
      <c r="G86" s="64">
        <v>9673117</v>
      </c>
      <c r="H86" s="64"/>
      <c r="I86" s="64">
        <v>21610016</v>
      </c>
      <c r="J86" s="64"/>
      <c r="K86" s="64">
        <v>17282704</v>
      </c>
      <c r="L86" s="64"/>
      <c r="M86" s="64">
        <v>0</v>
      </c>
      <c r="N86" s="56"/>
      <c r="O86" s="56">
        <f t="shared" si="2"/>
        <v>10190824</v>
      </c>
      <c r="P86" s="56"/>
      <c r="Q86" s="64">
        <v>111206555</v>
      </c>
      <c r="R86" s="30"/>
      <c r="S86" s="64">
        <f>14110+372340+62430</f>
        <v>448880</v>
      </c>
    </row>
    <row r="87" spans="1:19" s="7" customFormat="1" ht="12.75">
      <c r="A87" s="70" t="s">
        <v>75</v>
      </c>
      <c r="B87" s="70"/>
      <c r="C87" s="64">
        <v>7020844</v>
      </c>
      <c r="D87" s="64"/>
      <c r="E87" s="64">
        <v>12498014</v>
      </c>
      <c r="F87" s="64"/>
      <c r="G87" s="64">
        <v>0</v>
      </c>
      <c r="H87" s="64"/>
      <c r="I87" s="64">
        <v>4220633</v>
      </c>
      <c r="J87" s="64"/>
      <c r="K87" s="64">
        <v>7199719</v>
      </c>
      <c r="L87" s="64"/>
      <c r="M87" s="64">
        <v>0</v>
      </c>
      <c r="N87" s="56"/>
      <c r="O87" s="56">
        <f t="shared" si="2"/>
        <v>6569662</v>
      </c>
      <c r="P87" s="56"/>
      <c r="Q87" s="64">
        <v>37508872</v>
      </c>
      <c r="R87" s="30"/>
      <c r="S87" s="64">
        <v>0</v>
      </c>
    </row>
    <row r="88" spans="1:19" s="7" customFormat="1" ht="12.75">
      <c r="A88" s="70" t="s">
        <v>76</v>
      </c>
      <c r="B88" s="70"/>
      <c r="C88" s="64">
        <v>3899541</v>
      </c>
      <c r="D88" s="64"/>
      <c r="E88" s="64">
        <v>9130299</v>
      </c>
      <c r="F88" s="64"/>
      <c r="G88" s="64">
        <v>0</v>
      </c>
      <c r="H88" s="64"/>
      <c r="I88" s="64">
        <v>2269581</v>
      </c>
      <c r="J88" s="64"/>
      <c r="K88" s="64">
        <v>2409917</v>
      </c>
      <c r="L88" s="64"/>
      <c r="M88" s="64">
        <v>0</v>
      </c>
      <c r="N88" s="56"/>
      <c r="O88" s="56">
        <f t="shared" si="2"/>
        <v>2189829</v>
      </c>
      <c r="P88" s="56"/>
      <c r="Q88" s="64">
        <v>19899167</v>
      </c>
      <c r="R88" s="30"/>
      <c r="S88" s="64">
        <v>225000</v>
      </c>
    </row>
    <row r="89" spans="1:19" s="7" customFormat="1" ht="12.75">
      <c r="A89" s="70" t="s">
        <v>77</v>
      </c>
      <c r="B89" s="70"/>
      <c r="C89" s="64">
        <v>4009512</v>
      </c>
      <c r="D89" s="64"/>
      <c r="E89" s="64">
        <v>7084993</v>
      </c>
      <c r="F89" s="64"/>
      <c r="G89" s="64">
        <v>0</v>
      </c>
      <c r="H89" s="64"/>
      <c r="I89" s="64">
        <v>2959895</v>
      </c>
      <c r="J89" s="64"/>
      <c r="K89" s="64">
        <v>2113398</v>
      </c>
      <c r="L89" s="64"/>
      <c r="M89" s="64">
        <v>0</v>
      </c>
      <c r="N89" s="56"/>
      <c r="O89" s="56">
        <f t="shared" si="2"/>
        <v>1495479</v>
      </c>
      <c r="P89" s="56"/>
      <c r="Q89" s="64">
        <v>17663277</v>
      </c>
      <c r="R89" s="30"/>
      <c r="S89" s="64">
        <f>53923+18936</f>
        <v>72859</v>
      </c>
    </row>
    <row r="90" spans="1:19" s="7" customFormat="1" ht="12.75">
      <c r="A90" s="70" t="s">
        <v>78</v>
      </c>
      <c r="B90" s="70"/>
      <c r="C90" s="64">
        <v>932850</v>
      </c>
      <c r="D90" s="64"/>
      <c r="E90" s="64">
        <v>3692010</v>
      </c>
      <c r="F90" s="64"/>
      <c r="G90" s="64">
        <v>0</v>
      </c>
      <c r="H90" s="64"/>
      <c r="I90" s="64">
        <v>714754</v>
      </c>
      <c r="J90" s="64"/>
      <c r="K90" s="64">
        <v>1210687</v>
      </c>
      <c r="L90" s="64"/>
      <c r="M90" s="64">
        <v>0</v>
      </c>
      <c r="N90" s="56"/>
      <c r="O90" s="56">
        <f t="shared" si="2"/>
        <v>679533</v>
      </c>
      <c r="P90" s="56"/>
      <c r="Q90" s="64">
        <v>7229834</v>
      </c>
      <c r="R90" s="30"/>
      <c r="S90" s="64">
        <v>7268</v>
      </c>
    </row>
    <row r="91" spans="1:19" s="7" customFormat="1" ht="12.75">
      <c r="A91" s="70" t="s">
        <v>79</v>
      </c>
      <c r="B91" s="70"/>
      <c r="C91" s="64">
        <v>1246995</v>
      </c>
      <c r="D91" s="64"/>
      <c r="E91" s="64">
        <v>0</v>
      </c>
      <c r="F91" s="64"/>
      <c r="G91" s="64">
        <v>0</v>
      </c>
      <c r="H91" s="64"/>
      <c r="I91" s="64">
        <v>384120</v>
      </c>
      <c r="J91" s="64"/>
      <c r="K91" s="64">
        <v>489785</v>
      </c>
      <c r="L91" s="64"/>
      <c r="M91" s="64">
        <v>0</v>
      </c>
      <c r="N91" s="56"/>
      <c r="O91" s="56">
        <f t="shared" si="2"/>
        <v>540055</v>
      </c>
      <c r="P91" s="56"/>
      <c r="Q91" s="64">
        <v>2660955</v>
      </c>
      <c r="R91" s="30"/>
      <c r="S91" s="64">
        <v>1000</v>
      </c>
    </row>
    <row r="92" spans="1:19" s="7" customFormat="1" ht="12.75">
      <c r="A92" s="70" t="s">
        <v>80</v>
      </c>
      <c r="B92" s="70"/>
      <c r="C92" s="64">
        <v>37804846</v>
      </c>
      <c r="D92" s="64"/>
      <c r="E92" s="64">
        <v>0</v>
      </c>
      <c r="F92" s="64"/>
      <c r="G92" s="64">
        <v>0</v>
      </c>
      <c r="H92" s="64"/>
      <c r="I92" s="64">
        <v>6308730</v>
      </c>
      <c r="J92" s="64"/>
      <c r="K92" s="64">
        <v>5416359</v>
      </c>
      <c r="L92" s="64"/>
      <c r="M92" s="64">
        <v>0</v>
      </c>
      <c r="N92" s="56"/>
      <c r="O92" s="56">
        <f t="shared" si="2"/>
        <v>5661802</v>
      </c>
      <c r="P92" s="56"/>
      <c r="Q92" s="64">
        <v>55191737</v>
      </c>
      <c r="R92" s="30"/>
      <c r="S92" s="64">
        <v>20000</v>
      </c>
    </row>
    <row r="93" spans="1:19" s="7" customFormat="1" ht="12.75">
      <c r="A93" s="70" t="s">
        <v>81</v>
      </c>
      <c r="B93" s="70"/>
      <c r="C93" s="64">
        <v>2657260</v>
      </c>
      <c r="D93" s="64"/>
      <c r="E93" s="64">
        <v>8956176</v>
      </c>
      <c r="F93" s="64"/>
      <c r="G93" s="64">
        <v>32461</v>
      </c>
      <c r="H93" s="64"/>
      <c r="I93" s="64">
        <v>2256107</v>
      </c>
      <c r="J93" s="64"/>
      <c r="K93" s="64">
        <v>1758090</v>
      </c>
      <c r="L93" s="64"/>
      <c r="M93" s="64">
        <v>0</v>
      </c>
      <c r="N93" s="56"/>
      <c r="O93" s="56">
        <f t="shared" si="2"/>
        <v>1043560</v>
      </c>
      <c r="P93" s="56"/>
      <c r="Q93" s="64">
        <v>16703654</v>
      </c>
      <c r="R93" s="30"/>
      <c r="S93" s="64">
        <f>9795+88000+205114</f>
        <v>302909</v>
      </c>
    </row>
    <row r="94" spans="1:19" s="7" customFormat="1" ht="12.75">
      <c r="A94" s="70" t="s">
        <v>82</v>
      </c>
      <c r="B94" s="70"/>
      <c r="C94" s="64">
        <v>3706690</v>
      </c>
      <c r="D94" s="64"/>
      <c r="E94" s="64">
        <v>8344102</v>
      </c>
      <c r="F94" s="64"/>
      <c r="G94" s="64">
        <v>0</v>
      </c>
      <c r="H94" s="64"/>
      <c r="I94" s="64">
        <v>4833145</v>
      </c>
      <c r="J94" s="64"/>
      <c r="K94" s="64">
        <v>3343117</v>
      </c>
      <c r="L94" s="64"/>
      <c r="M94" s="64">
        <v>0</v>
      </c>
      <c r="N94" s="56"/>
      <c r="O94" s="56">
        <f t="shared" si="2"/>
        <v>3626043</v>
      </c>
      <c r="P94" s="56"/>
      <c r="Q94" s="64">
        <v>23853097</v>
      </c>
      <c r="R94" s="30"/>
      <c r="S94" s="64">
        <f>3286+1323097</f>
        <v>1326383</v>
      </c>
    </row>
    <row r="95" spans="1:19" s="7" customFormat="1" ht="12.75" hidden="1">
      <c r="A95" s="70" t="s">
        <v>178</v>
      </c>
      <c r="B95" s="70"/>
      <c r="C95" s="64">
        <v>0</v>
      </c>
      <c r="D95" s="64"/>
      <c r="E95" s="64">
        <v>0</v>
      </c>
      <c r="F95" s="64"/>
      <c r="G95" s="64">
        <v>0</v>
      </c>
      <c r="H95" s="64"/>
      <c r="I95" s="64">
        <v>0</v>
      </c>
      <c r="J95" s="64"/>
      <c r="K95" s="64">
        <v>0</v>
      </c>
      <c r="L95" s="64"/>
      <c r="M95" s="64">
        <v>0</v>
      </c>
      <c r="N95" s="56"/>
      <c r="O95" s="56">
        <f t="shared" si="2"/>
        <v>0</v>
      </c>
      <c r="P95" s="56"/>
      <c r="Q95" s="64">
        <v>0</v>
      </c>
      <c r="R95" s="30"/>
      <c r="S95" s="64">
        <v>0</v>
      </c>
    </row>
    <row r="96" spans="1:19" s="7" customFormat="1" ht="12.75">
      <c r="A96" s="70" t="s">
        <v>83</v>
      </c>
      <c r="B96" s="70"/>
      <c r="C96" s="64">
        <v>5429889</v>
      </c>
      <c r="D96" s="64"/>
      <c r="E96" s="64">
        <v>14917807</v>
      </c>
      <c r="F96" s="64"/>
      <c r="G96" s="64">
        <v>38425</v>
      </c>
      <c r="H96" s="64"/>
      <c r="I96" s="64">
        <v>5470305</v>
      </c>
      <c r="J96" s="64"/>
      <c r="K96" s="64">
        <v>4883195</v>
      </c>
      <c r="L96" s="64"/>
      <c r="M96" s="64">
        <v>0</v>
      </c>
      <c r="N96" s="56"/>
      <c r="O96" s="56">
        <f t="shared" si="2"/>
        <v>2728438</v>
      </c>
      <c r="P96" s="56"/>
      <c r="Q96" s="64">
        <v>33468059</v>
      </c>
      <c r="R96" s="30"/>
      <c r="S96" s="64">
        <f>12608+59612</f>
        <v>72220</v>
      </c>
    </row>
    <row r="97" spans="1:19" s="7" customFormat="1" ht="12.75" hidden="1">
      <c r="A97" s="70" t="s">
        <v>179</v>
      </c>
      <c r="B97" s="70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30"/>
      <c r="S97" s="30"/>
    </row>
    <row r="98" spans="1:19" s="7" customFormat="1" ht="12.75">
      <c r="A98" s="70" t="s">
        <v>244</v>
      </c>
      <c r="B98" s="30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30"/>
      <c r="S98" s="30"/>
    </row>
    <row r="99" spans="1:19" s="7" customFormat="1" ht="12.75">
      <c r="A99" s="6"/>
      <c r="B99" s="6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6"/>
      <c r="S99" s="6"/>
    </row>
    <row r="100" spans="1:19" s="7" customFormat="1" ht="12.75">
      <c r="A100" s="6"/>
      <c r="B100" s="6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6"/>
      <c r="S100" s="6"/>
    </row>
    <row r="101" spans="1:19" s="7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s="7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s="7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</sheetData>
  <printOptions/>
  <pageMargins left="1" right="1" top="0.5" bottom="0.5" header="0" footer="0.25"/>
  <pageSetup firstPageNumber="24" useFirstPageNumber="1" fitToHeight="2" horizontalDpi="600" verticalDpi="600" orientation="portrait" pageOrder="overThenDown" scale="95" r:id="rId1"/>
  <headerFooter alignWithMargins="0">
    <oddFooter>&amp;C&amp;"Times New Roman,Regular"&amp;11&amp;P</oddFooter>
  </headerFooter>
  <rowBreaks count="1" manualBreakCount="1">
    <brk id="73" max="16" man="1"/>
  </rowBreaks>
  <colBreaks count="1" manualBreakCount="1">
    <brk id="12" min="9" max="9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K103"/>
  <sheetViews>
    <sheetView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3" sqref="E53"/>
    </sheetView>
  </sheetViews>
  <sheetFormatPr defaultColWidth="9.140625" defaultRowHeight="12.75"/>
  <cols>
    <col min="1" max="1" width="15.7109375" style="13" customWidth="1"/>
    <col min="2" max="2" width="1.7109375" style="13" customWidth="1"/>
    <col min="3" max="3" width="11.7109375" style="13" customWidth="1"/>
    <col min="4" max="4" width="1.7109375" style="13" customWidth="1"/>
    <col min="5" max="5" width="11.7109375" style="13" customWidth="1"/>
    <col min="6" max="6" width="1.7109375" style="13" customWidth="1"/>
    <col min="7" max="7" width="11.7109375" style="13" customWidth="1"/>
    <col min="8" max="8" width="1.7109375" style="13" customWidth="1"/>
    <col min="9" max="9" width="11.7109375" style="13" customWidth="1"/>
    <col min="10" max="10" width="1.7109375" style="13" customWidth="1"/>
    <col min="11" max="11" width="11.7109375" style="13" customWidth="1"/>
    <col min="12" max="12" width="1.7109375" style="13" customWidth="1"/>
    <col min="13" max="13" width="11.7109375" style="13" customWidth="1"/>
    <col min="14" max="14" width="1.7109375" style="13" customWidth="1"/>
    <col min="15" max="15" width="11.7109375" style="13" customWidth="1"/>
    <col min="16" max="16" width="1.7109375" style="13" customWidth="1"/>
    <col min="17" max="17" width="11.7109375" style="13" customWidth="1"/>
    <col min="18" max="18" width="1.7109375" style="13" customWidth="1"/>
    <col min="19" max="19" width="11.7109375" style="13" customWidth="1"/>
    <col min="20" max="20" width="1.7109375" style="13" customWidth="1"/>
    <col min="21" max="21" width="11.7109375" style="13" customWidth="1"/>
    <col min="22" max="22" width="1.7109375" style="13" customWidth="1"/>
    <col min="23" max="23" width="11.7109375" style="13" customWidth="1"/>
    <col min="24" max="24" width="1.7109375" style="13" customWidth="1"/>
    <col min="25" max="25" width="11.7109375" style="13" customWidth="1"/>
    <col min="26" max="26" width="1.7109375" style="13" customWidth="1"/>
    <col min="27" max="27" width="11.7109375" style="13" customWidth="1"/>
    <col min="28" max="28" width="1.7109375" style="13" customWidth="1"/>
    <col min="29" max="29" width="11.7109375" style="13" customWidth="1"/>
    <col min="31" max="31" width="12.00390625" style="0" bestFit="1" customWidth="1"/>
    <col min="33" max="33" width="12.57421875" style="0" bestFit="1" customWidth="1"/>
    <col min="35" max="35" width="12.8515625" style="0" bestFit="1" customWidth="1"/>
    <col min="37" max="37" width="11.7109375" style="0" bestFit="1" customWidth="1"/>
  </cols>
  <sheetData>
    <row r="1" spans="1:31" s="16" customFormat="1" ht="12.75">
      <c r="A1" s="34" t="s">
        <v>209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35"/>
      <c r="AE1" s="15"/>
    </row>
    <row r="2" spans="1:31" s="16" customFormat="1" ht="12.75">
      <c r="A2" s="34" t="s">
        <v>254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35"/>
      <c r="AE2" s="15"/>
    </row>
    <row r="3" spans="1:31" s="16" customFormat="1" ht="12.75">
      <c r="A3" s="3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35"/>
      <c r="AE3" s="15"/>
    </row>
    <row r="4" spans="1:31" ht="12.75">
      <c r="A4" s="24" t="s">
        <v>191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26"/>
      <c r="AE4" s="3"/>
    </row>
    <row r="5" spans="1:35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26"/>
      <c r="AE5" s="109" t="s">
        <v>217</v>
      </c>
      <c r="AG5" t="s">
        <v>222</v>
      </c>
      <c r="AI5" t="s">
        <v>225</v>
      </c>
    </row>
    <row r="6" spans="1:37" s="7" customFormat="1" ht="12.75">
      <c r="A6" s="21"/>
      <c r="B6" s="21"/>
      <c r="C6" s="21" t="s">
        <v>192</v>
      </c>
      <c r="D6" s="21"/>
      <c r="E6" s="21"/>
      <c r="F6" s="21"/>
      <c r="G6" s="21" t="s">
        <v>84</v>
      </c>
      <c r="H6" s="21"/>
      <c r="I6" s="21" t="s">
        <v>84</v>
      </c>
      <c r="J6" s="21"/>
      <c r="K6" s="21"/>
      <c r="L6" s="21"/>
      <c r="M6" s="21" t="s">
        <v>85</v>
      </c>
      <c r="N6" s="21"/>
      <c r="O6" s="21" t="s">
        <v>169</v>
      </c>
      <c r="P6" s="21"/>
      <c r="Q6" s="21" t="s">
        <v>86</v>
      </c>
      <c r="R6" s="21"/>
      <c r="S6" s="21" t="s">
        <v>99</v>
      </c>
      <c r="T6" s="21"/>
      <c r="U6" s="21" t="s">
        <v>87</v>
      </c>
      <c r="V6" s="21"/>
      <c r="W6" s="21" t="s">
        <v>1</v>
      </c>
      <c r="X6" s="21"/>
      <c r="Y6" s="21"/>
      <c r="Z6" s="21"/>
      <c r="AA6" s="21" t="s">
        <v>100</v>
      </c>
      <c r="AB6" s="21"/>
      <c r="AC6" s="21"/>
      <c r="AD6" s="30"/>
      <c r="AE6" s="6" t="s">
        <v>221</v>
      </c>
      <c r="AG6" s="7" t="s">
        <v>223</v>
      </c>
      <c r="AI6" s="7" t="s">
        <v>226</v>
      </c>
      <c r="AK6" s="7" t="s">
        <v>228</v>
      </c>
    </row>
    <row r="7" spans="1:37" s="7" customFormat="1" ht="12.75">
      <c r="A7" s="22" t="s">
        <v>5</v>
      </c>
      <c r="B7" s="30"/>
      <c r="C7" s="22" t="s">
        <v>193</v>
      </c>
      <c r="D7" s="30"/>
      <c r="E7" s="22" t="s">
        <v>88</v>
      </c>
      <c r="F7" s="30"/>
      <c r="G7" s="22" t="s">
        <v>89</v>
      </c>
      <c r="H7" s="30"/>
      <c r="I7" s="22" t="s">
        <v>90</v>
      </c>
      <c r="J7" s="30"/>
      <c r="K7" s="22" t="s">
        <v>91</v>
      </c>
      <c r="L7" s="30"/>
      <c r="M7" s="22" t="s">
        <v>8</v>
      </c>
      <c r="N7" s="30"/>
      <c r="O7" s="22" t="s">
        <v>170</v>
      </c>
      <c r="P7" s="30"/>
      <c r="Q7" s="22" t="s">
        <v>196</v>
      </c>
      <c r="R7" s="30"/>
      <c r="S7" s="22" t="s">
        <v>92</v>
      </c>
      <c r="T7" s="30"/>
      <c r="U7" s="22" t="s">
        <v>93</v>
      </c>
      <c r="V7" s="30"/>
      <c r="W7" s="22" t="s">
        <v>9</v>
      </c>
      <c r="X7" s="30"/>
      <c r="Y7" s="22" t="s">
        <v>94</v>
      </c>
      <c r="Z7" s="30"/>
      <c r="AA7" s="22" t="s">
        <v>95</v>
      </c>
      <c r="AB7" s="30"/>
      <c r="AC7" s="22" t="s">
        <v>4</v>
      </c>
      <c r="AD7" s="30"/>
      <c r="AE7" s="6" t="s">
        <v>218</v>
      </c>
      <c r="AG7" s="7" t="s">
        <v>224</v>
      </c>
      <c r="AI7" s="7" t="s">
        <v>227</v>
      </c>
      <c r="AK7" s="7" t="s">
        <v>229</v>
      </c>
    </row>
    <row r="8" spans="1:31" s="7" customFormat="1" ht="12.75">
      <c r="A8" s="71"/>
      <c r="B8" s="30"/>
      <c r="C8" s="71"/>
      <c r="D8" s="30"/>
      <c r="E8" s="71"/>
      <c r="F8" s="30"/>
      <c r="G8" s="71"/>
      <c r="H8" s="30"/>
      <c r="I8" s="71"/>
      <c r="J8" s="30"/>
      <c r="K8" s="71"/>
      <c r="L8" s="30"/>
      <c r="M8" s="71"/>
      <c r="N8" s="30"/>
      <c r="O8" s="71"/>
      <c r="P8" s="30"/>
      <c r="Q8" s="71"/>
      <c r="R8" s="30"/>
      <c r="S8" s="71"/>
      <c r="T8" s="30"/>
      <c r="U8" s="71"/>
      <c r="V8" s="30"/>
      <c r="W8" s="71"/>
      <c r="X8" s="30"/>
      <c r="Y8" s="71"/>
      <c r="Z8" s="30"/>
      <c r="AA8" s="71"/>
      <c r="AB8" s="30"/>
      <c r="AC8" s="71"/>
      <c r="AD8" s="30"/>
      <c r="AE8" s="6"/>
    </row>
    <row r="9" spans="1:37" s="7" customFormat="1" ht="12.75">
      <c r="A9" s="30" t="s">
        <v>13</v>
      </c>
      <c r="B9" s="30"/>
      <c r="C9" s="146">
        <v>9262853</v>
      </c>
      <c r="D9" s="146"/>
      <c r="E9" s="146">
        <v>5339659</v>
      </c>
      <c r="F9" s="146"/>
      <c r="G9" s="146">
        <v>8189542</v>
      </c>
      <c r="H9" s="146"/>
      <c r="I9" s="146">
        <v>158037</v>
      </c>
      <c r="J9" s="146"/>
      <c r="K9" s="146">
        <v>174118</v>
      </c>
      <c r="L9" s="146"/>
      <c r="M9" s="146">
        <v>923636</v>
      </c>
      <c r="N9" s="146"/>
      <c r="O9" s="146">
        <v>0</v>
      </c>
      <c r="P9" s="146"/>
      <c r="Q9" s="146">
        <v>729278</v>
      </c>
      <c r="R9" s="146"/>
      <c r="S9" s="146">
        <v>46536</v>
      </c>
      <c r="T9" s="144"/>
      <c r="U9" s="146">
        <v>101631</v>
      </c>
      <c r="V9" s="146"/>
      <c r="W9" s="146">
        <v>0</v>
      </c>
      <c r="X9" s="146"/>
      <c r="Y9" s="146">
        <v>33241</v>
      </c>
      <c r="Z9" s="146"/>
      <c r="AA9" s="146">
        <v>8729</v>
      </c>
      <c r="AB9" s="146"/>
      <c r="AC9" s="144">
        <f>SUM(C9:AA9)</f>
        <v>24967260</v>
      </c>
      <c r="AD9" s="37"/>
      <c r="AE9" s="146">
        <v>316602</v>
      </c>
      <c r="AG9" s="146">
        <v>5669078</v>
      </c>
      <c r="AK9" s="7">
        <v>0</v>
      </c>
    </row>
    <row r="10" spans="1:37" s="7" customFormat="1" ht="12.75">
      <c r="A10" s="30" t="s">
        <v>14</v>
      </c>
      <c r="B10" s="30"/>
      <c r="C10" s="88">
        <v>5015842</v>
      </c>
      <c r="D10" s="88"/>
      <c r="E10" s="88">
        <v>1315280</v>
      </c>
      <c r="F10" s="88"/>
      <c r="G10" s="88">
        <f>4055409+88863+109161</f>
        <v>4253433</v>
      </c>
      <c r="H10" s="88"/>
      <c r="I10" s="88">
        <v>0</v>
      </c>
      <c r="J10" s="88"/>
      <c r="K10" s="88">
        <v>95732</v>
      </c>
      <c r="L10" s="88"/>
      <c r="M10" s="88">
        <v>318325</v>
      </c>
      <c r="N10" s="88"/>
      <c r="O10" s="88">
        <v>0</v>
      </c>
      <c r="P10" s="88"/>
      <c r="Q10" s="88">
        <v>55000</v>
      </c>
      <c r="R10" s="88"/>
      <c r="S10" s="88">
        <v>0</v>
      </c>
      <c r="T10" s="56"/>
      <c r="U10" s="88">
        <v>0</v>
      </c>
      <c r="V10" s="88"/>
      <c r="W10" s="88">
        <v>302691</v>
      </c>
      <c r="X10" s="88"/>
      <c r="Y10" s="88">
        <v>0</v>
      </c>
      <c r="Z10" s="88"/>
      <c r="AA10" s="88">
        <v>27832</v>
      </c>
      <c r="AB10" s="88"/>
      <c r="AC10" s="56">
        <f aca="true" t="shared" si="0" ref="AC10:AC26">SUM(C10:AA10)</f>
        <v>11384135</v>
      </c>
      <c r="AD10" s="37"/>
      <c r="AE10" s="88">
        <v>1144540</v>
      </c>
      <c r="AG10" s="88">
        <v>4362018</v>
      </c>
      <c r="AK10" s="7">
        <v>0</v>
      </c>
    </row>
    <row r="11" spans="1:37" s="7" customFormat="1" ht="12.75">
      <c r="A11" s="30" t="s">
        <v>15</v>
      </c>
      <c r="B11" s="30"/>
      <c r="C11" s="88">
        <v>5919072</v>
      </c>
      <c r="D11" s="88"/>
      <c r="E11" s="88">
        <v>3157362</v>
      </c>
      <c r="F11" s="88"/>
      <c r="G11" s="88">
        <v>5725399</v>
      </c>
      <c r="H11" s="88"/>
      <c r="I11" s="88">
        <v>109752</v>
      </c>
      <c r="J11" s="88"/>
      <c r="K11" s="88">
        <v>171837</v>
      </c>
      <c r="L11" s="88"/>
      <c r="M11" s="88">
        <v>615359</v>
      </c>
      <c r="N11" s="88"/>
      <c r="O11" s="88">
        <v>0</v>
      </c>
      <c r="P11" s="88"/>
      <c r="Q11" s="88">
        <v>276224</v>
      </c>
      <c r="R11" s="88"/>
      <c r="S11" s="88">
        <v>2728111</v>
      </c>
      <c r="T11" s="56"/>
      <c r="U11" s="88">
        <v>300000</v>
      </c>
      <c r="V11" s="88"/>
      <c r="W11" s="88">
        <v>0</v>
      </c>
      <c r="X11" s="88"/>
      <c r="Y11" s="88">
        <v>108809</v>
      </c>
      <c r="Z11" s="88"/>
      <c r="AA11" s="88">
        <v>6945</v>
      </c>
      <c r="AB11" s="88"/>
      <c r="AC11" s="56">
        <f t="shared" si="0"/>
        <v>19118870</v>
      </c>
      <c r="AD11" s="37"/>
      <c r="AE11" s="88">
        <v>3821310</v>
      </c>
      <c r="AG11" s="88">
        <v>2757970</v>
      </c>
      <c r="AI11" s="7">
        <v>12503</v>
      </c>
      <c r="AK11" s="7">
        <v>0</v>
      </c>
    </row>
    <row r="12" spans="1:37" s="7" customFormat="1" ht="12.75">
      <c r="A12" s="30" t="s">
        <v>16</v>
      </c>
      <c r="B12" s="30"/>
      <c r="C12" s="88">
        <v>4425766</v>
      </c>
      <c r="D12" s="88"/>
      <c r="E12" s="88">
        <v>2032254</v>
      </c>
      <c r="F12" s="88"/>
      <c r="G12" s="88">
        <v>2704420</v>
      </c>
      <c r="H12" s="88"/>
      <c r="I12" s="88">
        <v>0</v>
      </c>
      <c r="J12" s="88"/>
      <c r="K12" s="88">
        <v>355052</v>
      </c>
      <c r="L12" s="88"/>
      <c r="M12" s="88">
        <v>388887</v>
      </c>
      <c r="N12" s="88"/>
      <c r="O12" s="88">
        <v>0</v>
      </c>
      <c r="P12" s="88"/>
      <c r="Q12" s="88">
        <v>7751</v>
      </c>
      <c r="R12" s="88"/>
      <c r="S12" s="88">
        <v>0</v>
      </c>
      <c r="T12" s="56"/>
      <c r="U12" s="88">
        <v>0</v>
      </c>
      <c r="V12" s="88"/>
      <c r="W12" s="88">
        <v>0</v>
      </c>
      <c r="X12" s="88"/>
      <c r="Y12" s="88">
        <v>82497</v>
      </c>
      <c r="Z12" s="88"/>
      <c r="AA12" s="88">
        <v>1808</v>
      </c>
      <c r="AB12" s="88"/>
      <c r="AC12" s="56">
        <f t="shared" si="0"/>
        <v>9998435</v>
      </c>
      <c r="AD12" s="37"/>
      <c r="AE12" s="88">
        <v>1047732</v>
      </c>
      <c r="AG12" s="88">
        <v>2074715</v>
      </c>
      <c r="AK12" s="7">
        <v>0</v>
      </c>
    </row>
    <row r="13" spans="1:37" s="7" customFormat="1" ht="12.75">
      <c r="A13" s="30" t="s">
        <v>17</v>
      </c>
      <c r="B13" s="30"/>
      <c r="C13" s="88">
        <v>2732723</v>
      </c>
      <c r="D13" s="88"/>
      <c r="E13" s="88">
        <v>1476642</v>
      </c>
      <c r="F13" s="88"/>
      <c r="G13" s="88">
        <v>1983201</v>
      </c>
      <c r="H13" s="88"/>
      <c r="I13" s="88">
        <v>159765</v>
      </c>
      <c r="J13" s="88"/>
      <c r="K13" s="88">
        <v>51207</v>
      </c>
      <c r="L13" s="88"/>
      <c r="M13" s="88">
        <v>277564</v>
      </c>
      <c r="N13" s="88"/>
      <c r="O13" s="88">
        <v>0</v>
      </c>
      <c r="P13" s="88"/>
      <c r="Q13" s="88">
        <v>0</v>
      </c>
      <c r="R13" s="88"/>
      <c r="S13" s="88">
        <v>1228166</v>
      </c>
      <c r="T13" s="56"/>
      <c r="U13" s="88">
        <v>0</v>
      </c>
      <c r="V13" s="88"/>
      <c r="W13" s="88">
        <v>0</v>
      </c>
      <c r="X13" s="88"/>
      <c r="Y13" s="88">
        <v>0</v>
      </c>
      <c r="Z13" s="88"/>
      <c r="AA13" s="88">
        <v>0</v>
      </c>
      <c r="AB13" s="88"/>
      <c r="AC13" s="56">
        <f t="shared" si="0"/>
        <v>7909268</v>
      </c>
      <c r="AD13" s="37"/>
      <c r="AE13" s="88">
        <f>516743+151369</f>
        <v>668112</v>
      </c>
      <c r="AG13" s="88">
        <v>3632946</v>
      </c>
      <c r="AK13" s="7">
        <v>0</v>
      </c>
    </row>
    <row r="14" spans="1:37" s="7" customFormat="1" ht="12.75">
      <c r="A14" s="30" t="s">
        <v>18</v>
      </c>
      <c r="B14" s="30"/>
      <c r="C14" s="88">
        <v>6330315</v>
      </c>
      <c r="D14" s="88"/>
      <c r="E14" s="88">
        <v>2365125</v>
      </c>
      <c r="F14" s="88"/>
      <c r="G14" s="88">
        <v>6531017</v>
      </c>
      <c r="H14" s="88"/>
      <c r="I14" s="88">
        <v>423384</v>
      </c>
      <c r="J14" s="88"/>
      <c r="K14" s="88">
        <v>72955</v>
      </c>
      <c r="L14" s="88"/>
      <c r="M14" s="88">
        <v>316874</v>
      </c>
      <c r="N14" s="88"/>
      <c r="O14" s="88">
        <v>0</v>
      </c>
      <c r="P14" s="88"/>
      <c r="Q14" s="88">
        <v>0</v>
      </c>
      <c r="R14" s="88"/>
      <c r="S14" s="88">
        <v>9131</v>
      </c>
      <c r="T14" s="56"/>
      <c r="U14" s="88">
        <v>0</v>
      </c>
      <c r="V14" s="88"/>
      <c r="W14" s="88">
        <v>1012234</v>
      </c>
      <c r="X14" s="88"/>
      <c r="Y14" s="88">
        <v>532775</v>
      </c>
      <c r="Z14" s="88"/>
      <c r="AA14" s="88">
        <v>17818</v>
      </c>
      <c r="AB14" s="88"/>
      <c r="AC14" s="56">
        <f t="shared" si="0"/>
        <v>17611628</v>
      </c>
      <c r="AD14" s="37"/>
      <c r="AE14" s="88">
        <v>1751229</v>
      </c>
      <c r="AG14" s="88">
        <v>6485359</v>
      </c>
      <c r="AK14" s="7">
        <v>0</v>
      </c>
    </row>
    <row r="15" spans="1:37" s="7" customFormat="1" ht="12.75" hidden="1">
      <c r="A15" s="30" t="s">
        <v>133</v>
      </c>
      <c r="B15" s="30"/>
      <c r="C15" s="88">
        <v>0</v>
      </c>
      <c r="D15" s="88"/>
      <c r="E15" s="88">
        <v>0</v>
      </c>
      <c r="F15" s="88"/>
      <c r="G15" s="88">
        <v>0</v>
      </c>
      <c r="H15" s="88"/>
      <c r="I15" s="88">
        <v>0</v>
      </c>
      <c r="J15" s="88"/>
      <c r="K15" s="88">
        <v>0</v>
      </c>
      <c r="L15" s="88"/>
      <c r="M15" s="88">
        <v>0</v>
      </c>
      <c r="N15" s="88"/>
      <c r="O15" s="88">
        <v>0</v>
      </c>
      <c r="P15" s="88"/>
      <c r="Q15" s="88">
        <v>0</v>
      </c>
      <c r="R15" s="88"/>
      <c r="S15" s="88">
        <v>0</v>
      </c>
      <c r="T15" s="56"/>
      <c r="U15" s="88">
        <v>0</v>
      </c>
      <c r="V15" s="88"/>
      <c r="W15" s="88">
        <v>0</v>
      </c>
      <c r="X15" s="88"/>
      <c r="Y15" s="88">
        <v>0</v>
      </c>
      <c r="Z15" s="88"/>
      <c r="AA15" s="88">
        <v>0</v>
      </c>
      <c r="AB15" s="88"/>
      <c r="AC15" s="56">
        <f t="shared" si="0"/>
        <v>0</v>
      </c>
      <c r="AD15" s="37"/>
      <c r="AE15" s="88">
        <v>0</v>
      </c>
      <c r="AG15" s="88">
        <v>0</v>
      </c>
      <c r="AK15" s="7">
        <v>0</v>
      </c>
    </row>
    <row r="16" spans="1:37" s="7" customFormat="1" ht="12.75">
      <c r="A16" s="30" t="s">
        <v>19</v>
      </c>
      <c r="B16" s="30"/>
      <c r="C16" s="88">
        <v>22127619</v>
      </c>
      <c r="D16" s="88"/>
      <c r="E16" s="88">
        <v>11944901</v>
      </c>
      <c r="F16" s="88"/>
      <c r="G16" s="88">
        <v>29126608</v>
      </c>
      <c r="H16" s="88"/>
      <c r="I16" s="88">
        <v>212184</v>
      </c>
      <c r="J16" s="88"/>
      <c r="K16" s="88">
        <v>616431</v>
      </c>
      <c r="L16" s="88"/>
      <c r="M16" s="88">
        <v>1274920</v>
      </c>
      <c r="N16" s="88"/>
      <c r="O16" s="88">
        <v>0</v>
      </c>
      <c r="P16" s="88"/>
      <c r="Q16" s="88">
        <v>477828</v>
      </c>
      <c r="R16" s="88"/>
      <c r="S16" s="88">
        <v>0</v>
      </c>
      <c r="T16" s="56"/>
      <c r="U16" s="88">
        <v>216115</v>
      </c>
      <c r="V16" s="88"/>
      <c r="W16" s="88">
        <v>0</v>
      </c>
      <c r="X16" s="88"/>
      <c r="Y16" s="88">
        <v>1105667</v>
      </c>
      <c r="Z16" s="88"/>
      <c r="AA16" s="88">
        <v>1224537</v>
      </c>
      <c r="AB16" s="88"/>
      <c r="AC16" s="56">
        <f>SUM(C16:AA16)</f>
        <v>68326810</v>
      </c>
      <c r="AD16" s="37"/>
      <c r="AE16" s="88">
        <v>5556420</v>
      </c>
      <c r="AG16" s="88">
        <v>13651188</v>
      </c>
      <c r="AK16" s="7">
        <v>0</v>
      </c>
    </row>
    <row r="17" spans="1:37" s="7" customFormat="1" ht="12.75">
      <c r="A17" s="30" t="s">
        <v>20</v>
      </c>
      <c r="B17" s="30"/>
      <c r="C17" s="88">
        <v>2306734</v>
      </c>
      <c r="D17" s="88"/>
      <c r="E17" s="88">
        <v>781929</v>
      </c>
      <c r="F17" s="88"/>
      <c r="G17" s="88">
        <v>1754779</v>
      </c>
      <c r="H17" s="88"/>
      <c r="I17" s="88">
        <v>80856</v>
      </c>
      <c r="J17" s="88"/>
      <c r="K17" s="88">
        <v>46971</v>
      </c>
      <c r="L17" s="88"/>
      <c r="M17" s="88">
        <v>131408</v>
      </c>
      <c r="N17" s="88"/>
      <c r="O17" s="88">
        <v>29000</v>
      </c>
      <c r="P17" s="88"/>
      <c r="Q17" s="88">
        <v>0</v>
      </c>
      <c r="R17" s="88"/>
      <c r="S17" s="88">
        <v>292956</v>
      </c>
      <c r="T17" s="56"/>
      <c r="U17" s="88">
        <v>0</v>
      </c>
      <c r="V17" s="88"/>
      <c r="W17" s="88">
        <v>0</v>
      </c>
      <c r="X17" s="88"/>
      <c r="Y17" s="88">
        <v>14988</v>
      </c>
      <c r="Z17" s="88"/>
      <c r="AA17" s="88">
        <v>1200</v>
      </c>
      <c r="AB17" s="88"/>
      <c r="AC17" s="56">
        <f t="shared" si="0"/>
        <v>5440821</v>
      </c>
      <c r="AD17" s="37"/>
      <c r="AE17" s="88">
        <v>274236</v>
      </c>
      <c r="AG17" s="88">
        <v>920007</v>
      </c>
      <c r="AK17" s="7">
        <v>0</v>
      </c>
    </row>
    <row r="18" spans="1:37" s="7" customFormat="1" ht="12.75" hidden="1">
      <c r="A18" s="30" t="s">
        <v>177</v>
      </c>
      <c r="B18" s="30"/>
      <c r="C18" s="88">
        <v>0</v>
      </c>
      <c r="D18" s="88"/>
      <c r="E18" s="88">
        <v>0</v>
      </c>
      <c r="F18" s="88"/>
      <c r="G18" s="88">
        <v>0</v>
      </c>
      <c r="H18" s="88"/>
      <c r="I18" s="88">
        <v>0</v>
      </c>
      <c r="J18" s="88"/>
      <c r="K18" s="88">
        <v>0</v>
      </c>
      <c r="L18" s="88"/>
      <c r="M18" s="88">
        <v>0</v>
      </c>
      <c r="N18" s="88"/>
      <c r="O18" s="88">
        <v>0</v>
      </c>
      <c r="P18" s="88"/>
      <c r="Q18" s="88">
        <v>0</v>
      </c>
      <c r="R18" s="88"/>
      <c r="S18" s="88">
        <v>0</v>
      </c>
      <c r="T18" s="56"/>
      <c r="U18" s="88">
        <v>0</v>
      </c>
      <c r="V18" s="88"/>
      <c r="W18" s="88">
        <v>0</v>
      </c>
      <c r="X18" s="88"/>
      <c r="Y18" s="88">
        <v>0</v>
      </c>
      <c r="Z18" s="88"/>
      <c r="AA18" s="88">
        <v>0</v>
      </c>
      <c r="AB18" s="88"/>
      <c r="AC18" s="56">
        <f t="shared" si="0"/>
        <v>0</v>
      </c>
      <c r="AD18" s="37"/>
      <c r="AE18" s="88">
        <v>0</v>
      </c>
      <c r="AG18" s="88">
        <v>0</v>
      </c>
      <c r="AK18" s="7">
        <v>0</v>
      </c>
    </row>
    <row r="19" spans="1:37" s="7" customFormat="1" ht="12.75">
      <c r="A19" s="30" t="s">
        <v>21</v>
      </c>
      <c r="B19" s="30"/>
      <c r="C19" s="88">
        <v>3844900</v>
      </c>
      <c r="D19" s="88"/>
      <c r="E19" s="88">
        <v>7925045</v>
      </c>
      <c r="F19" s="88"/>
      <c r="G19" s="88">
        <v>11904886</v>
      </c>
      <c r="H19" s="88"/>
      <c r="I19" s="88">
        <v>3834867</v>
      </c>
      <c r="J19" s="88"/>
      <c r="K19" s="88">
        <v>358384</v>
      </c>
      <c r="L19" s="88"/>
      <c r="M19" s="88">
        <v>576474</v>
      </c>
      <c r="N19" s="88"/>
      <c r="O19" s="88">
        <v>0</v>
      </c>
      <c r="P19" s="88"/>
      <c r="Q19" s="88">
        <v>812686</v>
      </c>
      <c r="R19" s="88"/>
      <c r="S19" s="88">
        <v>0</v>
      </c>
      <c r="T19" s="56"/>
      <c r="U19" s="88">
        <v>0</v>
      </c>
      <c r="V19" s="88"/>
      <c r="W19" s="88">
        <v>0</v>
      </c>
      <c r="X19" s="88"/>
      <c r="Y19" s="88">
        <v>0</v>
      </c>
      <c r="Z19" s="88"/>
      <c r="AA19" s="88">
        <v>0</v>
      </c>
      <c r="AB19" s="88"/>
      <c r="AC19" s="56">
        <f t="shared" si="0"/>
        <v>29257242</v>
      </c>
      <c r="AD19" s="37"/>
      <c r="AE19" s="88">
        <v>4089663</v>
      </c>
      <c r="AG19" s="88">
        <v>5089087</v>
      </c>
      <c r="AK19" s="7">
        <v>0</v>
      </c>
    </row>
    <row r="20" spans="1:37" s="7" customFormat="1" ht="12.75">
      <c r="A20" s="30" t="s">
        <v>188</v>
      </c>
      <c r="B20" s="30"/>
      <c r="C20" s="88">
        <v>15490081</v>
      </c>
      <c r="D20" s="88"/>
      <c r="E20" s="88">
        <v>8100808</v>
      </c>
      <c r="F20" s="88"/>
      <c r="G20" s="88">
        <v>20811941</v>
      </c>
      <c r="H20" s="88"/>
      <c r="I20" s="88">
        <v>0</v>
      </c>
      <c r="J20" s="88"/>
      <c r="K20" s="88">
        <v>172578</v>
      </c>
      <c r="L20" s="88"/>
      <c r="M20" s="88">
        <v>957054</v>
      </c>
      <c r="N20" s="88"/>
      <c r="O20" s="88">
        <v>656632</v>
      </c>
      <c r="P20" s="88"/>
      <c r="Q20" s="88">
        <v>0</v>
      </c>
      <c r="R20" s="88"/>
      <c r="S20" s="88">
        <v>0</v>
      </c>
      <c r="T20" s="56"/>
      <c r="U20" s="88">
        <v>0</v>
      </c>
      <c r="V20" s="88"/>
      <c r="W20" s="88">
        <v>0</v>
      </c>
      <c r="X20" s="88"/>
      <c r="Y20" s="88">
        <v>0</v>
      </c>
      <c r="Z20" s="88"/>
      <c r="AA20" s="88">
        <v>0</v>
      </c>
      <c r="AB20" s="88"/>
      <c r="AC20" s="56">
        <f t="shared" si="0"/>
        <v>46189094</v>
      </c>
      <c r="AD20" s="37"/>
      <c r="AE20" s="88">
        <v>6586553</v>
      </c>
      <c r="AG20" s="88">
        <v>26547639</v>
      </c>
      <c r="AK20" s="7">
        <v>0</v>
      </c>
    </row>
    <row r="21" spans="1:37" s="7" customFormat="1" ht="12.75">
      <c r="A21" s="30" t="s">
        <v>22</v>
      </c>
      <c r="B21" s="30"/>
      <c r="C21" s="88">
        <v>4189204</v>
      </c>
      <c r="D21" s="88"/>
      <c r="E21" s="88">
        <v>2387682</v>
      </c>
      <c r="F21" s="88"/>
      <c r="G21" s="88">
        <v>3268927</v>
      </c>
      <c r="H21" s="88"/>
      <c r="I21" s="88">
        <v>88875</v>
      </c>
      <c r="J21" s="88"/>
      <c r="K21" s="88">
        <v>60790</v>
      </c>
      <c r="L21" s="88"/>
      <c r="M21" s="88">
        <v>284857</v>
      </c>
      <c r="N21" s="88"/>
      <c r="O21" s="88">
        <v>0</v>
      </c>
      <c r="P21" s="88"/>
      <c r="Q21" s="88">
        <v>0</v>
      </c>
      <c r="R21" s="88"/>
      <c r="S21" s="88">
        <v>1074425</v>
      </c>
      <c r="T21" s="56"/>
      <c r="U21" s="88">
        <v>0</v>
      </c>
      <c r="V21" s="88"/>
      <c r="W21" s="88">
        <v>0</v>
      </c>
      <c r="X21" s="88"/>
      <c r="Y21" s="88">
        <v>886</v>
      </c>
      <c r="Z21" s="88"/>
      <c r="AA21" s="88">
        <v>35162</v>
      </c>
      <c r="AB21" s="88"/>
      <c r="AC21" s="56">
        <f t="shared" si="0"/>
        <v>11390808</v>
      </c>
      <c r="AD21" s="37"/>
      <c r="AE21" s="88">
        <v>50128</v>
      </c>
      <c r="AG21" s="88">
        <v>570063</v>
      </c>
      <c r="AK21" s="7">
        <v>0</v>
      </c>
    </row>
    <row r="22" spans="1:37" s="7" customFormat="1" ht="12.75" hidden="1">
      <c r="A22" s="30" t="s">
        <v>23</v>
      </c>
      <c r="B22" s="30"/>
      <c r="C22" s="88">
        <v>0</v>
      </c>
      <c r="D22" s="88"/>
      <c r="E22" s="88">
        <v>0</v>
      </c>
      <c r="F22" s="88"/>
      <c r="G22" s="88">
        <v>0</v>
      </c>
      <c r="H22" s="88"/>
      <c r="I22" s="88">
        <v>0</v>
      </c>
      <c r="J22" s="88"/>
      <c r="K22" s="88">
        <v>0</v>
      </c>
      <c r="L22" s="88"/>
      <c r="M22" s="88">
        <v>0</v>
      </c>
      <c r="N22" s="88"/>
      <c r="O22" s="88">
        <v>0</v>
      </c>
      <c r="P22" s="88"/>
      <c r="Q22" s="88">
        <v>0</v>
      </c>
      <c r="R22" s="88"/>
      <c r="S22" s="88">
        <v>0</v>
      </c>
      <c r="T22" s="56"/>
      <c r="U22" s="88">
        <v>0</v>
      </c>
      <c r="V22" s="88"/>
      <c r="W22" s="88">
        <v>0</v>
      </c>
      <c r="X22" s="88"/>
      <c r="Y22" s="88">
        <v>0</v>
      </c>
      <c r="Z22" s="88"/>
      <c r="AA22" s="88">
        <v>0</v>
      </c>
      <c r="AB22" s="88"/>
      <c r="AC22" s="56">
        <f t="shared" si="0"/>
        <v>0</v>
      </c>
      <c r="AD22" s="37"/>
      <c r="AE22" s="88">
        <v>0</v>
      </c>
      <c r="AG22" s="88">
        <v>0</v>
      </c>
      <c r="AK22" s="7">
        <v>0</v>
      </c>
    </row>
    <row r="23" spans="1:37" s="7" customFormat="1" ht="12.75" hidden="1">
      <c r="A23" s="30" t="s">
        <v>24</v>
      </c>
      <c r="B23" s="30"/>
      <c r="C23" s="88">
        <v>0</v>
      </c>
      <c r="D23" s="88"/>
      <c r="E23" s="88">
        <v>0</v>
      </c>
      <c r="F23" s="88"/>
      <c r="G23" s="88">
        <v>0</v>
      </c>
      <c r="H23" s="88"/>
      <c r="I23" s="88">
        <v>0</v>
      </c>
      <c r="J23" s="88"/>
      <c r="K23" s="88">
        <v>0</v>
      </c>
      <c r="L23" s="88"/>
      <c r="M23" s="88">
        <v>0</v>
      </c>
      <c r="N23" s="88"/>
      <c r="O23" s="88">
        <v>0</v>
      </c>
      <c r="P23" s="88"/>
      <c r="Q23" s="88">
        <v>0</v>
      </c>
      <c r="R23" s="88"/>
      <c r="S23" s="88">
        <v>0</v>
      </c>
      <c r="T23" s="56"/>
      <c r="U23" s="88">
        <v>0</v>
      </c>
      <c r="V23" s="88"/>
      <c r="W23" s="88">
        <v>0</v>
      </c>
      <c r="X23" s="88"/>
      <c r="Y23" s="88">
        <v>0</v>
      </c>
      <c r="Z23" s="88"/>
      <c r="AA23" s="88">
        <v>0</v>
      </c>
      <c r="AB23" s="88"/>
      <c r="AC23" s="56">
        <f t="shared" si="0"/>
        <v>0</v>
      </c>
      <c r="AD23" s="37"/>
      <c r="AE23" s="88">
        <v>0</v>
      </c>
      <c r="AG23" s="88">
        <v>0</v>
      </c>
      <c r="AK23" s="7">
        <v>0</v>
      </c>
    </row>
    <row r="24" spans="1:37" s="7" customFormat="1" ht="12.75">
      <c r="A24" s="30" t="s">
        <v>186</v>
      </c>
      <c r="B24" s="30"/>
      <c r="C24" s="88">
        <v>3047430</v>
      </c>
      <c r="D24" s="88"/>
      <c r="E24" s="88">
        <v>1811664</v>
      </c>
      <c r="F24" s="88"/>
      <c r="G24" s="88">
        <v>2288315</v>
      </c>
      <c r="H24" s="88"/>
      <c r="I24" s="88">
        <v>127767</v>
      </c>
      <c r="J24" s="88"/>
      <c r="K24" s="88">
        <v>305503</v>
      </c>
      <c r="L24" s="88"/>
      <c r="M24" s="88">
        <v>309538</v>
      </c>
      <c r="N24" s="88"/>
      <c r="O24" s="88">
        <v>0</v>
      </c>
      <c r="P24" s="88"/>
      <c r="Q24" s="88">
        <v>0</v>
      </c>
      <c r="R24" s="88"/>
      <c r="S24" s="88">
        <v>0</v>
      </c>
      <c r="T24" s="56"/>
      <c r="U24" s="88">
        <v>0</v>
      </c>
      <c r="V24" s="88"/>
      <c r="W24" s="88">
        <v>10041</v>
      </c>
      <c r="X24" s="88"/>
      <c r="Y24" s="88">
        <v>0</v>
      </c>
      <c r="Z24" s="88"/>
      <c r="AA24" s="88">
        <v>0</v>
      </c>
      <c r="AB24" s="88"/>
      <c r="AC24" s="56">
        <f t="shared" si="0"/>
        <v>7900258</v>
      </c>
      <c r="AD24" s="37"/>
      <c r="AE24" s="88">
        <v>1334314</v>
      </c>
      <c r="AG24" s="88">
        <v>5316722</v>
      </c>
      <c r="AK24" s="7">
        <v>0</v>
      </c>
    </row>
    <row r="25" spans="1:37" s="7" customFormat="1" ht="12.75">
      <c r="A25" s="30" t="s">
        <v>25</v>
      </c>
      <c r="B25" s="30"/>
      <c r="C25" s="88">
        <v>66433000</v>
      </c>
      <c r="D25" s="88"/>
      <c r="E25" s="88">
        <v>230914000</v>
      </c>
      <c r="F25" s="88"/>
      <c r="G25" s="88">
        <v>1370000</v>
      </c>
      <c r="H25" s="88"/>
      <c r="I25" s="88">
        <v>0</v>
      </c>
      <c r="J25" s="88"/>
      <c r="K25" s="88">
        <v>0</v>
      </c>
      <c r="L25" s="88"/>
      <c r="M25" s="88">
        <v>5836000</v>
      </c>
      <c r="N25" s="88"/>
      <c r="O25" s="88">
        <v>6595000</v>
      </c>
      <c r="P25" s="88"/>
      <c r="Q25" s="88">
        <v>0</v>
      </c>
      <c r="R25" s="88"/>
      <c r="S25" s="88">
        <v>0</v>
      </c>
      <c r="T25" s="56"/>
      <c r="U25" s="88">
        <v>0</v>
      </c>
      <c r="V25" s="88"/>
      <c r="W25" s="88">
        <v>0</v>
      </c>
      <c r="X25" s="88"/>
      <c r="Y25" s="88">
        <v>0</v>
      </c>
      <c r="Z25" s="88"/>
      <c r="AA25" s="88">
        <v>25000</v>
      </c>
      <c r="AB25" s="88"/>
      <c r="AC25" s="56">
        <f t="shared" si="0"/>
        <v>311173000</v>
      </c>
      <c r="AD25" s="37"/>
      <c r="AE25" s="88">
        <f>5737000+18224000</f>
        <v>23961000</v>
      </c>
      <c r="AG25" s="88">
        <v>162730000</v>
      </c>
      <c r="AK25" s="7">
        <v>0</v>
      </c>
    </row>
    <row r="26" spans="1:37" s="7" customFormat="1" ht="12.75">
      <c r="A26" s="30" t="s">
        <v>26</v>
      </c>
      <c r="B26" s="30"/>
      <c r="C26" s="88">
        <v>5403428</v>
      </c>
      <c r="D26" s="88"/>
      <c r="E26" s="88">
        <v>0</v>
      </c>
      <c r="F26" s="88"/>
      <c r="G26" s="88">
        <v>3582591</v>
      </c>
      <c r="H26" s="88"/>
      <c r="I26" s="88">
        <v>123018</v>
      </c>
      <c r="J26" s="88"/>
      <c r="K26" s="88">
        <v>49433</v>
      </c>
      <c r="L26" s="88"/>
      <c r="M26" s="88">
        <v>338976</v>
      </c>
      <c r="N26" s="88"/>
      <c r="O26" s="88">
        <v>181160</v>
      </c>
      <c r="P26" s="88"/>
      <c r="Q26" s="88">
        <v>0</v>
      </c>
      <c r="R26" s="88"/>
      <c r="S26" s="88">
        <v>0</v>
      </c>
      <c r="T26" s="56"/>
      <c r="U26" s="88">
        <v>0</v>
      </c>
      <c r="V26" s="88"/>
      <c r="W26" s="88">
        <v>0</v>
      </c>
      <c r="X26" s="88"/>
      <c r="Y26" s="88">
        <v>0</v>
      </c>
      <c r="Z26" s="88"/>
      <c r="AA26" s="88">
        <v>0</v>
      </c>
      <c r="AB26" s="88"/>
      <c r="AC26" s="56">
        <f t="shared" si="0"/>
        <v>9678606</v>
      </c>
      <c r="AD26" s="37"/>
      <c r="AE26" s="88">
        <v>1179247</v>
      </c>
      <c r="AG26" s="88">
        <v>2361120</v>
      </c>
      <c r="AI26" s="7">
        <v>-17780</v>
      </c>
      <c r="AK26" s="7">
        <v>0</v>
      </c>
    </row>
    <row r="27" spans="1:37" s="7" customFormat="1" ht="12.75">
      <c r="A27" s="30" t="s">
        <v>27</v>
      </c>
      <c r="B27" s="30"/>
      <c r="C27" s="88">
        <v>2953467</v>
      </c>
      <c r="D27" s="88"/>
      <c r="E27" s="88">
        <v>1231737</v>
      </c>
      <c r="F27" s="88"/>
      <c r="G27" s="88">
        <v>1900464</v>
      </c>
      <c r="H27" s="88"/>
      <c r="I27" s="88">
        <v>205534</v>
      </c>
      <c r="J27" s="88"/>
      <c r="K27" s="88">
        <v>41977</v>
      </c>
      <c r="L27" s="88"/>
      <c r="M27" s="88">
        <v>0</v>
      </c>
      <c r="N27" s="88"/>
      <c r="O27" s="88">
        <v>311610</v>
      </c>
      <c r="P27" s="88"/>
      <c r="Q27" s="88">
        <v>0</v>
      </c>
      <c r="R27" s="88"/>
      <c r="S27" s="88">
        <v>1898485</v>
      </c>
      <c r="T27" s="56"/>
      <c r="U27" s="88">
        <v>0</v>
      </c>
      <c r="V27" s="88"/>
      <c r="W27" s="88">
        <v>0</v>
      </c>
      <c r="X27" s="88"/>
      <c r="Y27" s="88">
        <v>0</v>
      </c>
      <c r="Z27" s="88"/>
      <c r="AA27" s="88">
        <v>0</v>
      </c>
      <c r="AB27" s="88"/>
      <c r="AC27" s="56">
        <f aca="true" t="shared" si="1" ref="AC27:AC73">SUM(C27:AA27)</f>
        <v>8543274</v>
      </c>
      <c r="AD27" s="37"/>
      <c r="AE27" s="88">
        <v>1869617</v>
      </c>
      <c r="AG27" s="88">
        <v>8246065</v>
      </c>
      <c r="AK27" s="7">
        <f>+GenRev!Q28-GenExp!AC27-AE27+GenRev!S28+AG27+AI27-'Gen Fd BS'!O28</f>
        <v>0</v>
      </c>
    </row>
    <row r="28" spans="1:37" s="7" customFormat="1" ht="12.75">
      <c r="A28" s="30" t="s">
        <v>28</v>
      </c>
      <c r="B28" s="30"/>
      <c r="C28" s="88">
        <v>8664778</v>
      </c>
      <c r="D28" s="88"/>
      <c r="E28" s="88">
        <v>6194323</v>
      </c>
      <c r="F28" s="88"/>
      <c r="G28" s="88">
        <v>21629645</v>
      </c>
      <c r="H28" s="88"/>
      <c r="I28" s="88">
        <v>229939</v>
      </c>
      <c r="J28" s="88"/>
      <c r="K28" s="88">
        <v>0</v>
      </c>
      <c r="L28" s="88"/>
      <c r="M28" s="88">
        <v>396040</v>
      </c>
      <c r="N28" s="88"/>
      <c r="O28" s="88">
        <v>0</v>
      </c>
      <c r="P28" s="88"/>
      <c r="Q28" s="88">
        <v>0</v>
      </c>
      <c r="R28" s="88"/>
      <c r="S28" s="88">
        <v>158139</v>
      </c>
      <c r="T28" s="56"/>
      <c r="U28" s="88">
        <v>0</v>
      </c>
      <c r="V28" s="88"/>
      <c r="W28" s="88">
        <v>546986</v>
      </c>
      <c r="X28" s="88"/>
      <c r="Y28" s="88">
        <v>2265000</v>
      </c>
      <c r="Z28" s="88"/>
      <c r="AA28" s="88">
        <v>1400351</v>
      </c>
      <c r="AB28" s="88"/>
      <c r="AC28" s="56">
        <f t="shared" si="1"/>
        <v>41485201</v>
      </c>
      <c r="AD28" s="37"/>
      <c r="AE28" s="88">
        <f>3528433+4476467</f>
        <v>8004900</v>
      </c>
      <c r="AG28" s="88">
        <v>15962837</v>
      </c>
      <c r="AK28" s="7">
        <f>+GenRev!Q29-GenExp!AC28-AE28+GenRev!S29+AG28+AI28-'Gen Fd BS'!O29</f>
        <v>0</v>
      </c>
    </row>
    <row r="29" spans="1:37" s="7" customFormat="1" ht="12.75">
      <c r="A29" s="30" t="s">
        <v>29</v>
      </c>
      <c r="B29" s="30"/>
      <c r="C29" s="88">
        <v>8399550</v>
      </c>
      <c r="D29" s="88"/>
      <c r="E29" s="88">
        <v>4330629</v>
      </c>
      <c r="F29" s="88"/>
      <c r="G29" s="88">
        <v>7776792</v>
      </c>
      <c r="H29" s="88"/>
      <c r="I29" s="88">
        <v>175992</v>
      </c>
      <c r="J29" s="88"/>
      <c r="K29" s="88">
        <v>5049</v>
      </c>
      <c r="L29" s="88"/>
      <c r="M29" s="88">
        <v>473807</v>
      </c>
      <c r="N29" s="88"/>
      <c r="O29" s="88">
        <v>0</v>
      </c>
      <c r="P29" s="88"/>
      <c r="Q29" s="88">
        <v>112977</v>
      </c>
      <c r="R29" s="88"/>
      <c r="S29" s="88">
        <v>50</v>
      </c>
      <c r="T29" s="56"/>
      <c r="U29" s="88">
        <v>381281</v>
      </c>
      <c r="V29" s="88"/>
      <c r="W29" s="88">
        <v>0</v>
      </c>
      <c r="X29" s="88"/>
      <c r="Y29" s="88">
        <v>0</v>
      </c>
      <c r="Z29" s="88"/>
      <c r="AA29" s="88">
        <v>0</v>
      </c>
      <c r="AB29" s="88"/>
      <c r="AC29" s="56">
        <f t="shared" si="1"/>
        <v>21656127</v>
      </c>
      <c r="AD29" s="37"/>
      <c r="AE29" s="88">
        <v>3421754</v>
      </c>
      <c r="AG29" s="88">
        <v>8042755</v>
      </c>
      <c r="AI29" s="115">
        <v>-2364</v>
      </c>
      <c r="AK29" s="7">
        <f>+GenRev!Q30-GenExp!AC29-AE29+GenRev!S30+AG29+AI29-'Gen Fd BS'!O30</f>
        <v>0</v>
      </c>
    </row>
    <row r="30" spans="1:37" s="7" customFormat="1" ht="12.75">
      <c r="A30" s="30" t="s">
        <v>30</v>
      </c>
      <c r="B30" s="30"/>
      <c r="C30" s="88">
        <v>6487559</v>
      </c>
      <c r="D30" s="88"/>
      <c r="E30" s="88">
        <v>3550516</v>
      </c>
      <c r="F30" s="88"/>
      <c r="G30" s="88">
        <v>9947599</v>
      </c>
      <c r="H30" s="88"/>
      <c r="I30" s="88">
        <v>0</v>
      </c>
      <c r="J30" s="88"/>
      <c r="K30" s="88">
        <v>653277</v>
      </c>
      <c r="L30" s="88"/>
      <c r="M30" s="88">
        <v>671274</v>
      </c>
      <c r="N30" s="88"/>
      <c r="O30" s="88">
        <v>0</v>
      </c>
      <c r="P30" s="88"/>
      <c r="Q30" s="88">
        <v>0</v>
      </c>
      <c r="R30" s="88"/>
      <c r="S30" s="88">
        <f>70585+5974</f>
        <v>76559</v>
      </c>
      <c r="T30" s="56"/>
      <c r="U30" s="88">
        <v>0</v>
      </c>
      <c r="V30" s="88"/>
      <c r="W30" s="88">
        <v>1402540</v>
      </c>
      <c r="X30" s="88"/>
      <c r="Y30" s="88">
        <v>230249</v>
      </c>
      <c r="Z30" s="88"/>
      <c r="AA30" s="88">
        <v>7935</v>
      </c>
      <c r="AB30" s="88"/>
      <c r="AC30" s="56">
        <f t="shared" si="1"/>
        <v>23027508</v>
      </c>
      <c r="AD30" s="37"/>
      <c r="AE30" s="88">
        <v>3304614</v>
      </c>
      <c r="AG30" s="88">
        <v>8951278</v>
      </c>
      <c r="AK30" s="7">
        <f>+GenRev!Q31-GenExp!AC30-AE30+GenRev!S31+AG30+AI30-'Gen Fd BS'!O31</f>
        <v>0</v>
      </c>
    </row>
    <row r="31" spans="1:37" s="7" customFormat="1" ht="12.75" hidden="1">
      <c r="A31" s="30" t="s">
        <v>31</v>
      </c>
      <c r="B31" s="30"/>
      <c r="C31" s="88">
        <v>0</v>
      </c>
      <c r="D31" s="88"/>
      <c r="E31" s="88">
        <v>0</v>
      </c>
      <c r="F31" s="88"/>
      <c r="G31" s="88">
        <v>0</v>
      </c>
      <c r="H31" s="88"/>
      <c r="I31" s="88">
        <v>0</v>
      </c>
      <c r="J31" s="88"/>
      <c r="K31" s="88">
        <v>0</v>
      </c>
      <c r="L31" s="88"/>
      <c r="M31" s="88">
        <v>0</v>
      </c>
      <c r="N31" s="88"/>
      <c r="O31" s="88">
        <v>0</v>
      </c>
      <c r="P31" s="88"/>
      <c r="Q31" s="88">
        <v>0</v>
      </c>
      <c r="R31" s="88"/>
      <c r="S31" s="88">
        <v>0</v>
      </c>
      <c r="T31" s="56"/>
      <c r="U31" s="88">
        <v>0</v>
      </c>
      <c r="V31" s="88"/>
      <c r="W31" s="88">
        <v>0</v>
      </c>
      <c r="X31" s="88"/>
      <c r="Y31" s="88">
        <v>0</v>
      </c>
      <c r="Z31" s="88"/>
      <c r="AA31" s="88">
        <v>0</v>
      </c>
      <c r="AB31" s="88"/>
      <c r="AC31" s="56">
        <f t="shared" si="1"/>
        <v>0</v>
      </c>
      <c r="AD31" s="37"/>
      <c r="AE31" s="88">
        <v>0</v>
      </c>
      <c r="AG31" s="88">
        <v>0</v>
      </c>
      <c r="AK31" s="7">
        <f>+GenRev!Q32-GenExp!AC31-AE31+GenRev!S32+AG31+AI31-'Gen Fd BS'!O32</f>
        <v>0</v>
      </c>
    </row>
    <row r="32" spans="1:37" s="7" customFormat="1" ht="12.75">
      <c r="A32" s="30" t="s">
        <v>32</v>
      </c>
      <c r="B32" s="30"/>
      <c r="C32" s="88">
        <v>55114000</v>
      </c>
      <c r="D32" s="88"/>
      <c r="E32" s="88">
        <v>62644000</v>
      </c>
      <c r="F32" s="88"/>
      <c r="G32" s="88">
        <v>94372000</v>
      </c>
      <c r="H32" s="88"/>
      <c r="I32" s="88">
        <v>449000</v>
      </c>
      <c r="J32" s="88"/>
      <c r="K32" s="88">
        <v>0</v>
      </c>
      <c r="L32" s="88"/>
      <c r="M32" s="88">
        <v>3682000</v>
      </c>
      <c r="N32" s="88"/>
      <c r="O32" s="88">
        <v>1017000</v>
      </c>
      <c r="P32" s="88"/>
      <c r="Q32" s="88">
        <v>0</v>
      </c>
      <c r="R32" s="88"/>
      <c r="S32" s="88">
        <v>0</v>
      </c>
      <c r="T32" s="56"/>
      <c r="U32" s="88">
        <v>2621000</v>
      </c>
      <c r="V32" s="88"/>
      <c r="W32" s="88">
        <v>4758000</v>
      </c>
      <c r="X32" s="88"/>
      <c r="Y32" s="88">
        <v>280000</v>
      </c>
      <c r="Z32" s="88"/>
      <c r="AA32" s="88">
        <v>79000</v>
      </c>
      <c r="AB32" s="88"/>
      <c r="AC32" s="56">
        <f t="shared" si="1"/>
        <v>225016000</v>
      </c>
      <c r="AD32" s="37"/>
      <c r="AE32" s="88">
        <v>37477000</v>
      </c>
      <c r="AG32" s="88">
        <v>99191000</v>
      </c>
      <c r="AK32" s="7">
        <f>+GenRev!Q33-GenExp!AC32-AE32+GenRev!S33+AG32+AI32-'Gen Fd BS'!O33</f>
        <v>0</v>
      </c>
    </row>
    <row r="33" spans="1:37" s="7" customFormat="1" ht="12.75">
      <c r="A33" s="30" t="s">
        <v>33</v>
      </c>
      <c r="B33" s="30"/>
      <c r="C33" s="88">
        <v>3978783</v>
      </c>
      <c r="D33" s="88"/>
      <c r="E33" s="88">
        <v>1343792</v>
      </c>
      <c r="F33" s="88"/>
      <c r="G33" s="88">
        <v>2811383</v>
      </c>
      <c r="H33" s="88"/>
      <c r="I33" s="88">
        <v>63876</v>
      </c>
      <c r="J33" s="88"/>
      <c r="K33" s="88">
        <v>36369</v>
      </c>
      <c r="L33" s="88"/>
      <c r="M33" s="88">
        <v>502434</v>
      </c>
      <c r="N33" s="88"/>
      <c r="O33" s="88">
        <v>0</v>
      </c>
      <c r="P33" s="88"/>
      <c r="Q33" s="88">
        <v>0</v>
      </c>
      <c r="R33" s="88"/>
      <c r="S33" s="88">
        <v>109685</v>
      </c>
      <c r="T33" s="56"/>
      <c r="U33" s="88">
        <v>10930</v>
      </c>
      <c r="V33" s="88"/>
      <c r="W33" s="88">
        <v>723831</v>
      </c>
      <c r="X33" s="88"/>
      <c r="Y33" s="88">
        <v>0</v>
      </c>
      <c r="Z33" s="88"/>
      <c r="AA33" s="88">
        <v>0</v>
      </c>
      <c r="AB33" s="88"/>
      <c r="AC33" s="56">
        <f t="shared" si="1"/>
        <v>9581083</v>
      </c>
      <c r="AD33" s="37"/>
      <c r="AE33" s="88">
        <v>252034</v>
      </c>
      <c r="AG33" s="88">
        <v>4164515</v>
      </c>
      <c r="AK33" s="7">
        <f>+GenRev!Q34-GenExp!AC33-AE33+GenRev!S34+AG33+AI33-'Gen Fd BS'!O34</f>
        <v>0</v>
      </c>
    </row>
    <row r="34" spans="1:37" s="7" customFormat="1" ht="12.75">
      <c r="A34" s="30" t="s">
        <v>34</v>
      </c>
      <c r="B34" s="30"/>
      <c r="C34" s="88">
        <v>2147036</v>
      </c>
      <c r="D34" s="88"/>
      <c r="E34" s="88">
        <v>906503</v>
      </c>
      <c r="F34" s="88"/>
      <c r="G34" s="88">
        <v>2532049</v>
      </c>
      <c r="H34" s="88"/>
      <c r="I34" s="88">
        <v>123994</v>
      </c>
      <c r="J34" s="88"/>
      <c r="K34" s="88">
        <v>37017</v>
      </c>
      <c r="L34" s="88"/>
      <c r="M34" s="88">
        <v>266567</v>
      </c>
      <c r="N34" s="88"/>
      <c r="O34" s="88">
        <v>0</v>
      </c>
      <c r="P34" s="88"/>
      <c r="Q34" s="88">
        <v>0</v>
      </c>
      <c r="R34" s="88"/>
      <c r="S34" s="88">
        <v>831448</v>
      </c>
      <c r="T34" s="56"/>
      <c r="U34" s="88">
        <v>6778</v>
      </c>
      <c r="V34" s="88"/>
      <c r="W34" s="88">
        <v>0</v>
      </c>
      <c r="X34" s="88"/>
      <c r="Y34" s="88">
        <v>9474</v>
      </c>
      <c r="Z34" s="88"/>
      <c r="AA34" s="88">
        <v>1262</v>
      </c>
      <c r="AB34" s="88"/>
      <c r="AC34" s="56">
        <f t="shared" si="1"/>
        <v>6862128</v>
      </c>
      <c r="AD34" s="37"/>
      <c r="AE34" s="88">
        <v>856906</v>
      </c>
      <c r="AG34" s="88">
        <v>1700153</v>
      </c>
      <c r="AK34" s="7">
        <f>+GenRev!Q35-GenExp!AC34-AE34+GenRev!S35+AG34+AI34-'Gen Fd BS'!O35</f>
        <v>0</v>
      </c>
    </row>
    <row r="35" spans="1:37" s="7" customFormat="1" ht="12.75">
      <c r="A35" s="30" t="s">
        <v>35</v>
      </c>
      <c r="B35" s="30"/>
      <c r="C35" s="88">
        <v>5960404</v>
      </c>
      <c r="D35" s="88"/>
      <c r="E35" s="88">
        <v>2392114</v>
      </c>
      <c r="F35" s="88"/>
      <c r="G35" s="88">
        <v>8930941</v>
      </c>
      <c r="H35" s="88"/>
      <c r="I35" s="88">
        <v>137516</v>
      </c>
      <c r="J35" s="88"/>
      <c r="K35" s="88">
        <v>0</v>
      </c>
      <c r="L35" s="88"/>
      <c r="M35" s="88">
        <v>385798</v>
      </c>
      <c r="N35" s="88"/>
      <c r="O35" s="88">
        <v>0</v>
      </c>
      <c r="P35" s="88"/>
      <c r="Q35" s="88">
        <v>0</v>
      </c>
      <c r="R35" s="88"/>
      <c r="S35" s="88">
        <v>841134</v>
      </c>
      <c r="T35" s="56"/>
      <c r="U35" s="88">
        <v>661340</v>
      </c>
      <c r="V35" s="88"/>
      <c r="W35" s="88">
        <v>0</v>
      </c>
      <c r="X35" s="88"/>
      <c r="Y35" s="88">
        <v>0</v>
      </c>
      <c r="Z35" s="88"/>
      <c r="AA35" s="88">
        <v>0</v>
      </c>
      <c r="AB35" s="88"/>
      <c r="AC35" s="56">
        <f t="shared" si="1"/>
        <v>19309247</v>
      </c>
      <c r="AD35" s="37"/>
      <c r="AE35" s="88">
        <v>4898561</v>
      </c>
      <c r="AG35" s="88">
        <v>4299986</v>
      </c>
      <c r="AK35" s="7">
        <f>+GenRev!Q36-GenExp!AC35-AE35+GenRev!S36+AG35+AI35-'Gen Fd BS'!O36</f>
        <v>0</v>
      </c>
    </row>
    <row r="36" spans="1:37" s="7" customFormat="1" ht="12.75">
      <c r="A36" s="30" t="s">
        <v>189</v>
      </c>
      <c r="B36" s="30"/>
      <c r="C36" s="88">
        <v>14191129</v>
      </c>
      <c r="D36" s="88"/>
      <c r="E36" s="88">
        <v>6413476</v>
      </c>
      <c r="F36" s="88"/>
      <c r="G36" s="88">
        <v>15203576</v>
      </c>
      <c r="H36" s="88"/>
      <c r="I36" s="88">
        <v>936925</v>
      </c>
      <c r="J36" s="88"/>
      <c r="K36" s="88">
        <v>85966</v>
      </c>
      <c r="L36" s="88"/>
      <c r="M36" s="88">
        <v>381055</v>
      </c>
      <c r="N36" s="88"/>
      <c r="O36" s="88">
        <v>4074236</v>
      </c>
      <c r="P36" s="88"/>
      <c r="Q36" s="88">
        <v>2573128</v>
      </c>
      <c r="R36" s="88"/>
      <c r="S36" s="88">
        <v>0</v>
      </c>
      <c r="T36" s="56"/>
      <c r="U36" s="88">
        <v>0</v>
      </c>
      <c r="V36" s="88"/>
      <c r="W36" s="88">
        <v>0</v>
      </c>
      <c r="X36" s="88"/>
      <c r="Y36" s="88">
        <v>1250000</v>
      </c>
      <c r="Z36" s="88"/>
      <c r="AA36" s="88">
        <v>62920</v>
      </c>
      <c r="AB36" s="88"/>
      <c r="AC36" s="56">
        <f t="shared" si="1"/>
        <v>45172411</v>
      </c>
      <c r="AD36" s="37"/>
      <c r="AE36" s="88">
        <f>50800+2346341</f>
        <v>2397141</v>
      </c>
      <c r="AG36" s="88">
        <v>11511594</v>
      </c>
      <c r="AK36" s="7">
        <f>+GenRev!Q37-GenExp!AC36-AE36+GenRev!S37+AG36+AI36-'Gen Fd BS'!O37</f>
        <v>0</v>
      </c>
    </row>
    <row r="37" spans="1:37" s="7" customFormat="1" ht="12.75" hidden="1">
      <c r="A37" s="30" t="s">
        <v>36</v>
      </c>
      <c r="B37" s="30"/>
      <c r="C37" s="88">
        <v>0</v>
      </c>
      <c r="D37" s="88"/>
      <c r="E37" s="88">
        <v>0</v>
      </c>
      <c r="F37" s="88"/>
      <c r="G37" s="88">
        <v>0</v>
      </c>
      <c r="H37" s="88"/>
      <c r="I37" s="88">
        <v>0</v>
      </c>
      <c r="J37" s="88"/>
      <c r="K37" s="88">
        <v>0</v>
      </c>
      <c r="L37" s="88"/>
      <c r="M37" s="88">
        <v>0</v>
      </c>
      <c r="N37" s="88"/>
      <c r="O37" s="88">
        <v>0</v>
      </c>
      <c r="P37" s="88"/>
      <c r="Q37" s="88">
        <v>0</v>
      </c>
      <c r="R37" s="88"/>
      <c r="S37" s="88">
        <v>0</v>
      </c>
      <c r="T37" s="56"/>
      <c r="U37" s="88">
        <v>0</v>
      </c>
      <c r="V37" s="88"/>
      <c r="W37" s="88">
        <v>0</v>
      </c>
      <c r="X37" s="88"/>
      <c r="Y37" s="88">
        <v>0</v>
      </c>
      <c r="Z37" s="88"/>
      <c r="AA37" s="88">
        <v>0</v>
      </c>
      <c r="AB37" s="88"/>
      <c r="AC37" s="56">
        <f t="shared" si="1"/>
        <v>0</v>
      </c>
      <c r="AD37" s="37"/>
      <c r="AE37" s="88">
        <v>0</v>
      </c>
      <c r="AG37" s="88">
        <v>0</v>
      </c>
      <c r="AK37" s="7">
        <f>+GenRev!Q38-GenExp!AC37-AE37+GenRev!S38+AG37+AI37-'Gen Fd BS'!O38</f>
        <v>0</v>
      </c>
    </row>
    <row r="38" spans="1:37" s="7" customFormat="1" ht="12.75" hidden="1">
      <c r="A38" s="30" t="s">
        <v>37</v>
      </c>
      <c r="B38" s="30"/>
      <c r="C38" s="88">
        <v>0</v>
      </c>
      <c r="D38" s="88"/>
      <c r="E38" s="88">
        <v>0</v>
      </c>
      <c r="F38" s="88"/>
      <c r="G38" s="88">
        <v>0</v>
      </c>
      <c r="H38" s="88"/>
      <c r="I38" s="88">
        <v>0</v>
      </c>
      <c r="J38" s="88"/>
      <c r="K38" s="88">
        <v>0</v>
      </c>
      <c r="L38" s="88"/>
      <c r="M38" s="88">
        <v>0</v>
      </c>
      <c r="N38" s="88"/>
      <c r="O38" s="88">
        <v>0</v>
      </c>
      <c r="P38" s="88"/>
      <c r="Q38" s="88">
        <v>0</v>
      </c>
      <c r="R38" s="88"/>
      <c r="S38" s="88">
        <v>0</v>
      </c>
      <c r="T38" s="56"/>
      <c r="U38" s="88">
        <v>0</v>
      </c>
      <c r="V38" s="88"/>
      <c r="W38" s="88">
        <v>0</v>
      </c>
      <c r="X38" s="88"/>
      <c r="Y38" s="88">
        <v>0</v>
      </c>
      <c r="Z38" s="88"/>
      <c r="AA38" s="88">
        <v>0</v>
      </c>
      <c r="AB38" s="88"/>
      <c r="AC38" s="56">
        <f t="shared" si="1"/>
        <v>0</v>
      </c>
      <c r="AD38" s="37"/>
      <c r="AE38" s="88">
        <v>0</v>
      </c>
      <c r="AG38" s="88">
        <v>0</v>
      </c>
      <c r="AK38" s="7">
        <f>+GenRev!Q39-GenExp!AC38-AE38+GenRev!S39+AG38+AI38-'Gen Fd BS'!O39</f>
        <v>0</v>
      </c>
    </row>
    <row r="39" spans="1:37" s="7" customFormat="1" ht="12.75">
      <c r="A39" s="30" t="s">
        <v>38</v>
      </c>
      <c r="B39" s="30"/>
      <c r="C39" s="88">
        <v>4906992</v>
      </c>
      <c r="D39" s="88"/>
      <c r="E39" s="88">
        <v>2816793</v>
      </c>
      <c r="F39" s="88"/>
      <c r="G39" s="88">
        <v>3898752</v>
      </c>
      <c r="H39" s="88"/>
      <c r="I39" s="88">
        <v>119707</v>
      </c>
      <c r="J39" s="88"/>
      <c r="K39" s="88">
        <v>472101</v>
      </c>
      <c r="L39" s="88"/>
      <c r="M39" s="88">
        <v>502971</v>
      </c>
      <c r="N39" s="88"/>
      <c r="O39" s="88">
        <v>0</v>
      </c>
      <c r="P39" s="88"/>
      <c r="Q39" s="88">
        <v>0</v>
      </c>
      <c r="R39" s="88"/>
      <c r="S39" s="88">
        <v>0</v>
      </c>
      <c r="T39" s="56"/>
      <c r="U39" s="88">
        <v>0</v>
      </c>
      <c r="V39" s="88"/>
      <c r="W39" s="88">
        <v>493286</v>
      </c>
      <c r="X39" s="88"/>
      <c r="Y39" s="88">
        <v>0</v>
      </c>
      <c r="Z39" s="88"/>
      <c r="AA39" s="88">
        <v>0</v>
      </c>
      <c r="AB39" s="88"/>
      <c r="AC39" s="56">
        <f t="shared" si="1"/>
        <v>13210602</v>
      </c>
      <c r="AD39" s="37"/>
      <c r="AE39" s="88">
        <v>464817</v>
      </c>
      <c r="AG39" s="88">
        <v>4471750</v>
      </c>
      <c r="AK39" s="7">
        <f>+GenRev!Q40-GenExp!AC39-AE39+GenRev!S40+AG39+AI39-'Gen Fd BS'!O40</f>
        <v>0</v>
      </c>
    </row>
    <row r="40" spans="1:37" s="7" customFormat="1" ht="12.75" hidden="1">
      <c r="A40" s="30" t="s">
        <v>172</v>
      </c>
      <c r="B40" s="30"/>
      <c r="C40" s="88">
        <v>0</v>
      </c>
      <c r="D40" s="88"/>
      <c r="E40" s="88">
        <v>0</v>
      </c>
      <c r="F40" s="88"/>
      <c r="G40" s="88">
        <v>0</v>
      </c>
      <c r="H40" s="88"/>
      <c r="I40" s="88">
        <v>0</v>
      </c>
      <c r="J40" s="88"/>
      <c r="K40" s="88">
        <v>0</v>
      </c>
      <c r="L40" s="88"/>
      <c r="M40" s="88">
        <v>0</v>
      </c>
      <c r="N40" s="88"/>
      <c r="O40" s="88">
        <v>0</v>
      </c>
      <c r="P40" s="88"/>
      <c r="Q40" s="88">
        <v>0</v>
      </c>
      <c r="R40" s="88"/>
      <c r="S40" s="88">
        <v>0</v>
      </c>
      <c r="T40" s="56"/>
      <c r="U40" s="88">
        <v>0</v>
      </c>
      <c r="V40" s="88"/>
      <c r="W40" s="88">
        <v>0</v>
      </c>
      <c r="X40" s="88"/>
      <c r="Y40" s="88">
        <v>0</v>
      </c>
      <c r="Z40" s="88"/>
      <c r="AA40" s="88">
        <v>0</v>
      </c>
      <c r="AB40" s="88"/>
      <c r="AC40" s="56">
        <f t="shared" si="1"/>
        <v>0</v>
      </c>
      <c r="AD40" s="37"/>
      <c r="AE40" s="88">
        <v>0</v>
      </c>
      <c r="AG40" s="88">
        <v>0</v>
      </c>
      <c r="AK40" s="7">
        <f>+GenRev!Q41-GenExp!AC40-AE40+GenRev!S41+AG40+AI40-'Gen Fd BS'!O41</f>
        <v>0</v>
      </c>
    </row>
    <row r="41" spans="1:37" s="7" customFormat="1" ht="12.75" hidden="1">
      <c r="A41" s="30" t="s">
        <v>39</v>
      </c>
      <c r="B41" s="30"/>
      <c r="C41" s="88">
        <v>0</v>
      </c>
      <c r="D41" s="88"/>
      <c r="E41" s="88">
        <v>0</v>
      </c>
      <c r="F41" s="88"/>
      <c r="G41" s="88">
        <v>0</v>
      </c>
      <c r="H41" s="88"/>
      <c r="I41" s="88">
        <v>0</v>
      </c>
      <c r="J41" s="88"/>
      <c r="K41" s="88">
        <v>0</v>
      </c>
      <c r="L41" s="88"/>
      <c r="M41" s="88">
        <v>0</v>
      </c>
      <c r="N41" s="88"/>
      <c r="O41" s="88">
        <v>0</v>
      </c>
      <c r="P41" s="88"/>
      <c r="Q41" s="88">
        <v>0</v>
      </c>
      <c r="R41" s="88"/>
      <c r="S41" s="88">
        <v>0</v>
      </c>
      <c r="T41" s="56"/>
      <c r="U41" s="88">
        <v>0</v>
      </c>
      <c r="V41" s="88"/>
      <c r="W41" s="88">
        <v>0</v>
      </c>
      <c r="X41" s="88"/>
      <c r="Y41" s="88">
        <v>0</v>
      </c>
      <c r="Z41" s="88"/>
      <c r="AA41" s="88">
        <v>0</v>
      </c>
      <c r="AB41" s="88"/>
      <c r="AC41" s="56">
        <f t="shared" si="1"/>
        <v>0</v>
      </c>
      <c r="AD41" s="37"/>
      <c r="AE41" s="88">
        <v>0</v>
      </c>
      <c r="AG41" s="88">
        <v>0</v>
      </c>
      <c r="AK41" s="7">
        <f>+GenRev!Q42-GenExp!AC41-AE41+GenRev!S42+AG41+AI41-'Gen Fd BS'!O42</f>
        <v>0</v>
      </c>
    </row>
    <row r="42" spans="1:37" s="7" customFormat="1" ht="12.75">
      <c r="A42" s="30" t="s">
        <v>40</v>
      </c>
      <c r="B42" s="30"/>
      <c r="C42" s="88">
        <v>2408291</v>
      </c>
      <c r="D42" s="88"/>
      <c r="E42" s="88">
        <v>994956</v>
      </c>
      <c r="F42" s="88"/>
      <c r="G42" s="88">
        <v>2115274</v>
      </c>
      <c r="H42" s="88"/>
      <c r="I42" s="88">
        <v>213001</v>
      </c>
      <c r="J42" s="88"/>
      <c r="K42" s="88">
        <v>15676</v>
      </c>
      <c r="L42" s="88"/>
      <c r="M42" s="88">
        <v>322941</v>
      </c>
      <c r="N42" s="88"/>
      <c r="O42" s="88">
        <v>0</v>
      </c>
      <c r="P42" s="88"/>
      <c r="Q42" s="88">
        <v>0</v>
      </c>
      <c r="R42" s="88"/>
      <c r="S42" s="88">
        <v>757622</v>
      </c>
      <c r="T42" s="56"/>
      <c r="U42" s="88">
        <v>48710</v>
      </c>
      <c r="V42" s="88"/>
      <c r="W42" s="88">
        <v>0</v>
      </c>
      <c r="X42" s="88"/>
      <c r="Y42" s="88">
        <v>0</v>
      </c>
      <c r="Z42" s="88"/>
      <c r="AA42" s="88">
        <v>0</v>
      </c>
      <c r="AB42" s="88"/>
      <c r="AC42" s="56">
        <f t="shared" si="1"/>
        <v>6876471</v>
      </c>
      <c r="AD42" s="37"/>
      <c r="AE42" s="88">
        <v>781022</v>
      </c>
      <c r="AG42" s="88">
        <v>2397520</v>
      </c>
      <c r="AK42" s="7">
        <v>0</v>
      </c>
    </row>
    <row r="43" spans="1:37" s="7" customFormat="1" ht="12.75" hidden="1">
      <c r="A43" s="30" t="s">
        <v>41</v>
      </c>
      <c r="B43" s="30"/>
      <c r="C43" s="88">
        <v>0</v>
      </c>
      <c r="D43" s="88"/>
      <c r="E43" s="88">
        <v>0</v>
      </c>
      <c r="F43" s="88"/>
      <c r="G43" s="88">
        <v>0</v>
      </c>
      <c r="H43" s="88"/>
      <c r="I43" s="88">
        <v>0</v>
      </c>
      <c r="J43" s="88"/>
      <c r="K43" s="88">
        <v>0</v>
      </c>
      <c r="L43" s="88"/>
      <c r="M43" s="88">
        <v>0</v>
      </c>
      <c r="N43" s="88"/>
      <c r="O43" s="88">
        <v>0</v>
      </c>
      <c r="P43" s="88"/>
      <c r="Q43" s="88">
        <v>0</v>
      </c>
      <c r="R43" s="88"/>
      <c r="S43" s="88">
        <v>0</v>
      </c>
      <c r="T43" s="56"/>
      <c r="U43" s="88">
        <v>0</v>
      </c>
      <c r="V43" s="88"/>
      <c r="W43" s="88">
        <v>0</v>
      </c>
      <c r="X43" s="88"/>
      <c r="Y43" s="88">
        <v>0</v>
      </c>
      <c r="Z43" s="88"/>
      <c r="AA43" s="88">
        <v>0</v>
      </c>
      <c r="AB43" s="88"/>
      <c r="AC43" s="56">
        <f t="shared" si="1"/>
        <v>0</v>
      </c>
      <c r="AD43" s="37"/>
      <c r="AE43" s="88">
        <v>0</v>
      </c>
      <c r="AG43" s="88">
        <v>0</v>
      </c>
      <c r="AK43" s="7">
        <v>0</v>
      </c>
    </row>
    <row r="44" spans="1:37" s="7" customFormat="1" ht="12.75">
      <c r="A44" s="30" t="s">
        <v>42</v>
      </c>
      <c r="B44" s="30"/>
      <c r="C44" s="88">
        <v>1814017</v>
      </c>
      <c r="D44" s="88"/>
      <c r="E44" s="88">
        <v>1393623</v>
      </c>
      <c r="F44" s="88"/>
      <c r="G44" s="88">
        <v>1537796</v>
      </c>
      <c r="H44" s="88"/>
      <c r="I44" s="88">
        <v>34415</v>
      </c>
      <c r="J44" s="88"/>
      <c r="K44" s="88">
        <v>50940</v>
      </c>
      <c r="L44" s="88"/>
      <c r="M44" s="88">
        <v>343768</v>
      </c>
      <c r="N44" s="88"/>
      <c r="O44" s="88">
        <v>66314</v>
      </c>
      <c r="P44" s="88"/>
      <c r="Q44" s="88">
        <v>215391</v>
      </c>
      <c r="R44" s="88"/>
      <c r="S44" s="88">
        <v>86652</v>
      </c>
      <c r="T44" s="56"/>
      <c r="U44" s="88">
        <v>89252</v>
      </c>
      <c r="V44" s="88"/>
      <c r="W44" s="88">
        <v>12064</v>
      </c>
      <c r="X44" s="88"/>
      <c r="Y44" s="88">
        <v>45320</v>
      </c>
      <c r="Z44" s="88"/>
      <c r="AA44" s="88">
        <v>2134</v>
      </c>
      <c r="AB44" s="88"/>
      <c r="AC44" s="56">
        <f t="shared" si="1"/>
        <v>5691686</v>
      </c>
      <c r="AD44" s="37"/>
      <c r="AE44" s="88">
        <v>411805</v>
      </c>
      <c r="AG44" s="88">
        <v>2035833</v>
      </c>
      <c r="AK44" s="7">
        <v>0</v>
      </c>
    </row>
    <row r="45" spans="1:37" s="7" customFormat="1" ht="12.75">
      <c r="A45" s="30" t="s">
        <v>43</v>
      </c>
      <c r="B45" s="30"/>
      <c r="C45" s="88">
        <v>2656583</v>
      </c>
      <c r="D45" s="88"/>
      <c r="E45" s="88">
        <v>1796657</v>
      </c>
      <c r="F45" s="88"/>
      <c r="G45" s="88">
        <v>3765961</v>
      </c>
      <c r="H45" s="88"/>
      <c r="I45" s="88">
        <v>55634</v>
      </c>
      <c r="J45" s="88"/>
      <c r="K45" s="88">
        <v>65411</v>
      </c>
      <c r="L45" s="88"/>
      <c r="M45" s="88">
        <v>338620</v>
      </c>
      <c r="N45" s="88"/>
      <c r="O45" s="88">
        <v>0</v>
      </c>
      <c r="P45" s="88"/>
      <c r="Q45" s="88">
        <v>236413</v>
      </c>
      <c r="R45" s="88"/>
      <c r="S45" s="88">
        <v>17833</v>
      </c>
      <c r="T45" s="56"/>
      <c r="U45" s="88">
        <v>0</v>
      </c>
      <c r="V45" s="88"/>
      <c r="W45" s="88">
        <v>227200</v>
      </c>
      <c r="X45" s="88"/>
      <c r="Y45" s="88">
        <v>0</v>
      </c>
      <c r="Z45" s="88"/>
      <c r="AA45" s="88">
        <v>0</v>
      </c>
      <c r="AB45" s="88"/>
      <c r="AC45" s="56">
        <f t="shared" si="1"/>
        <v>9160312</v>
      </c>
      <c r="AD45" s="37"/>
      <c r="AE45" s="88">
        <v>874870</v>
      </c>
      <c r="AG45" s="88">
        <v>1512459</v>
      </c>
      <c r="AK45" s="7">
        <v>0</v>
      </c>
    </row>
    <row r="46" spans="1:37" s="7" customFormat="1" ht="12.75">
      <c r="A46" s="30" t="s">
        <v>44</v>
      </c>
      <c r="B46" s="30"/>
      <c r="C46" s="88">
        <v>4799101</v>
      </c>
      <c r="D46" s="88"/>
      <c r="E46" s="88">
        <v>1814729</v>
      </c>
      <c r="F46" s="88"/>
      <c r="G46" s="88">
        <v>4536981</v>
      </c>
      <c r="H46" s="88"/>
      <c r="I46" s="88">
        <v>0</v>
      </c>
      <c r="J46" s="88"/>
      <c r="K46" s="88">
        <v>52358</v>
      </c>
      <c r="L46" s="88"/>
      <c r="M46" s="88">
        <v>1035827</v>
      </c>
      <c r="N46" s="88"/>
      <c r="O46" s="88">
        <v>0</v>
      </c>
      <c r="P46" s="88"/>
      <c r="Q46" s="88">
        <v>0</v>
      </c>
      <c r="R46" s="88"/>
      <c r="S46" s="88">
        <v>329341</v>
      </c>
      <c r="T46" s="56"/>
      <c r="U46" s="88">
        <v>26081</v>
      </c>
      <c r="V46" s="88"/>
      <c r="W46" s="88">
        <v>0</v>
      </c>
      <c r="X46" s="88"/>
      <c r="Y46" s="88">
        <v>0</v>
      </c>
      <c r="Z46" s="88"/>
      <c r="AA46" s="88">
        <v>0</v>
      </c>
      <c r="AB46" s="88"/>
      <c r="AC46" s="56">
        <f t="shared" si="1"/>
        <v>12594418</v>
      </c>
      <c r="AD46" s="37"/>
      <c r="AE46" s="88">
        <v>883945</v>
      </c>
      <c r="AG46" s="88">
        <v>3176270</v>
      </c>
      <c r="AK46" s="7">
        <v>0</v>
      </c>
    </row>
    <row r="47" spans="1:37" s="7" customFormat="1" ht="12.75" hidden="1">
      <c r="A47" s="30" t="s">
        <v>45</v>
      </c>
      <c r="B47" s="30"/>
      <c r="C47" s="88">
        <v>0</v>
      </c>
      <c r="D47" s="88"/>
      <c r="E47" s="88">
        <v>0</v>
      </c>
      <c r="F47" s="88"/>
      <c r="G47" s="88">
        <v>0</v>
      </c>
      <c r="H47" s="88"/>
      <c r="I47" s="88">
        <v>0</v>
      </c>
      <c r="J47" s="88"/>
      <c r="K47" s="88">
        <v>0</v>
      </c>
      <c r="L47" s="88"/>
      <c r="M47" s="88">
        <v>0</v>
      </c>
      <c r="N47" s="88"/>
      <c r="O47" s="88">
        <v>0</v>
      </c>
      <c r="P47" s="88"/>
      <c r="Q47" s="88">
        <v>0</v>
      </c>
      <c r="R47" s="88"/>
      <c r="S47" s="88">
        <v>0</v>
      </c>
      <c r="T47" s="56"/>
      <c r="U47" s="88">
        <v>0</v>
      </c>
      <c r="V47" s="88"/>
      <c r="W47" s="88">
        <v>0</v>
      </c>
      <c r="X47" s="88"/>
      <c r="Y47" s="88">
        <v>0</v>
      </c>
      <c r="Z47" s="88"/>
      <c r="AA47" s="88">
        <v>0</v>
      </c>
      <c r="AB47" s="88"/>
      <c r="AC47" s="56">
        <f t="shared" si="1"/>
        <v>0</v>
      </c>
      <c r="AD47" s="37"/>
      <c r="AE47" s="88">
        <v>0</v>
      </c>
      <c r="AG47" s="88">
        <v>0</v>
      </c>
      <c r="AK47" s="7">
        <v>0</v>
      </c>
    </row>
    <row r="48" spans="1:37" s="7" customFormat="1" ht="12.75">
      <c r="A48" s="30" t="s">
        <v>46</v>
      </c>
      <c r="B48" s="30"/>
      <c r="C48" s="88">
        <v>4707491</v>
      </c>
      <c r="D48" s="88"/>
      <c r="E48" s="88">
        <v>3177177</v>
      </c>
      <c r="F48" s="88"/>
      <c r="G48" s="88">
        <v>279516</v>
      </c>
      <c r="H48" s="88"/>
      <c r="I48" s="88">
        <v>0</v>
      </c>
      <c r="J48" s="88"/>
      <c r="K48" s="88">
        <v>232733</v>
      </c>
      <c r="L48" s="88"/>
      <c r="M48" s="88">
        <v>983190</v>
      </c>
      <c r="N48" s="88"/>
      <c r="O48" s="88">
        <v>0</v>
      </c>
      <c r="P48" s="88"/>
      <c r="Q48" s="88">
        <v>0</v>
      </c>
      <c r="R48" s="88"/>
      <c r="S48" s="88">
        <v>250398</v>
      </c>
      <c r="T48" s="56"/>
      <c r="U48" s="88">
        <v>58150</v>
      </c>
      <c r="V48" s="88"/>
      <c r="W48" s="88">
        <v>82500</v>
      </c>
      <c r="X48" s="88"/>
      <c r="Y48" s="88">
        <v>1151</v>
      </c>
      <c r="Z48" s="88"/>
      <c r="AA48" s="88">
        <v>19</v>
      </c>
      <c r="AB48" s="88"/>
      <c r="AC48" s="56">
        <f t="shared" si="1"/>
        <v>9772325</v>
      </c>
      <c r="AD48" s="37"/>
      <c r="AE48" s="88">
        <v>1981236</v>
      </c>
      <c r="AG48" s="88">
        <v>2427395</v>
      </c>
      <c r="AK48" s="7">
        <v>0</v>
      </c>
    </row>
    <row r="49" spans="1:37" s="7" customFormat="1" ht="12.75">
      <c r="A49" s="30" t="s">
        <v>47</v>
      </c>
      <c r="B49" s="30"/>
      <c r="C49" s="88">
        <v>5284525</v>
      </c>
      <c r="D49" s="88"/>
      <c r="E49" s="88">
        <v>1826616</v>
      </c>
      <c r="F49" s="88"/>
      <c r="G49" s="88">
        <v>3526259</v>
      </c>
      <c r="H49" s="88"/>
      <c r="I49" s="88">
        <v>192429</v>
      </c>
      <c r="J49" s="88"/>
      <c r="K49" s="88">
        <v>147609</v>
      </c>
      <c r="L49" s="88"/>
      <c r="M49" s="88">
        <v>569613</v>
      </c>
      <c r="N49" s="88"/>
      <c r="O49" s="88">
        <v>0</v>
      </c>
      <c r="P49" s="88"/>
      <c r="Q49" s="88">
        <v>0</v>
      </c>
      <c r="R49" s="88"/>
      <c r="S49" s="88">
        <v>0</v>
      </c>
      <c r="T49" s="56"/>
      <c r="U49" s="88">
        <v>341959</v>
      </c>
      <c r="V49" s="88"/>
      <c r="W49" s="88">
        <v>0</v>
      </c>
      <c r="X49" s="88"/>
      <c r="Y49" s="88">
        <v>1701</v>
      </c>
      <c r="Z49" s="88"/>
      <c r="AA49" s="88">
        <v>97</v>
      </c>
      <c r="AB49" s="88"/>
      <c r="AC49" s="56">
        <f t="shared" si="1"/>
        <v>11890808</v>
      </c>
      <c r="AD49" s="37"/>
      <c r="AE49" s="88">
        <v>1703607</v>
      </c>
      <c r="AG49" s="88">
        <v>3084353</v>
      </c>
      <c r="AI49" s="7">
        <v>0</v>
      </c>
      <c r="AK49" s="7">
        <v>0</v>
      </c>
    </row>
    <row r="50" spans="1:37" s="7" customFormat="1" ht="12.75">
      <c r="A50" s="30" t="s">
        <v>48</v>
      </c>
      <c r="B50" s="30"/>
      <c r="C50" s="88">
        <v>13114329</v>
      </c>
      <c r="D50" s="88"/>
      <c r="E50" s="88">
        <v>32378035</v>
      </c>
      <c r="F50" s="88"/>
      <c r="G50" s="88">
        <v>0</v>
      </c>
      <c r="H50" s="88"/>
      <c r="I50" s="88">
        <v>256575</v>
      </c>
      <c r="J50" s="88"/>
      <c r="K50" s="88">
        <v>106903</v>
      </c>
      <c r="L50" s="88"/>
      <c r="M50" s="88">
        <v>1063742</v>
      </c>
      <c r="N50" s="88"/>
      <c r="O50" s="88">
        <v>202150</v>
      </c>
      <c r="P50" s="88"/>
      <c r="Q50" s="88">
        <v>0</v>
      </c>
      <c r="R50" s="88"/>
      <c r="S50" s="88">
        <v>0</v>
      </c>
      <c r="T50" s="56"/>
      <c r="U50" s="88">
        <v>0</v>
      </c>
      <c r="V50" s="88"/>
      <c r="W50" s="88">
        <v>0</v>
      </c>
      <c r="X50" s="88"/>
      <c r="Y50" s="88">
        <v>0</v>
      </c>
      <c r="Z50" s="88"/>
      <c r="AA50" s="88">
        <v>0</v>
      </c>
      <c r="AB50" s="88"/>
      <c r="AC50" s="56">
        <f t="shared" si="1"/>
        <v>47121734</v>
      </c>
      <c r="AD50" s="37"/>
      <c r="AE50" s="88">
        <v>5061239</v>
      </c>
      <c r="AG50" s="88">
        <v>23048969</v>
      </c>
      <c r="AK50" s="7">
        <v>0</v>
      </c>
    </row>
    <row r="51" spans="1:37" s="7" customFormat="1" ht="12.75" hidden="1">
      <c r="A51" s="30" t="s">
        <v>234</v>
      </c>
      <c r="B51" s="30"/>
      <c r="C51" s="88">
        <v>0</v>
      </c>
      <c r="D51" s="88"/>
      <c r="E51" s="88">
        <v>0</v>
      </c>
      <c r="F51" s="88"/>
      <c r="G51" s="88">
        <v>0</v>
      </c>
      <c r="H51" s="88"/>
      <c r="I51" s="88">
        <v>0</v>
      </c>
      <c r="J51" s="88"/>
      <c r="K51" s="88">
        <v>0</v>
      </c>
      <c r="L51" s="88"/>
      <c r="M51" s="88">
        <v>0</v>
      </c>
      <c r="N51" s="88"/>
      <c r="O51" s="88">
        <v>0</v>
      </c>
      <c r="P51" s="88"/>
      <c r="Q51" s="88">
        <v>0</v>
      </c>
      <c r="R51" s="88"/>
      <c r="S51" s="88">
        <v>0</v>
      </c>
      <c r="T51" s="56"/>
      <c r="U51" s="88">
        <v>0</v>
      </c>
      <c r="V51" s="88"/>
      <c r="W51" s="88">
        <v>0</v>
      </c>
      <c r="X51" s="88"/>
      <c r="Y51" s="88">
        <v>0</v>
      </c>
      <c r="Z51" s="88"/>
      <c r="AA51" s="88">
        <v>0</v>
      </c>
      <c r="AB51" s="88"/>
      <c r="AC51" s="56">
        <f t="shared" si="1"/>
        <v>0</v>
      </c>
      <c r="AD51" s="37"/>
      <c r="AE51" s="88">
        <v>0</v>
      </c>
      <c r="AG51" s="88">
        <v>0</v>
      </c>
      <c r="AK51" s="7">
        <v>0</v>
      </c>
    </row>
    <row r="52" spans="1:37" s="7" customFormat="1" ht="12.75">
      <c r="A52" s="30" t="s">
        <v>49</v>
      </c>
      <c r="B52" s="30"/>
      <c r="C52" s="88">
        <v>15343142</v>
      </c>
      <c r="D52" s="88"/>
      <c r="E52" s="88">
        <v>0</v>
      </c>
      <c r="F52" s="88"/>
      <c r="G52" s="88">
        <v>15997699</v>
      </c>
      <c r="H52" s="88"/>
      <c r="I52" s="88">
        <v>69797</v>
      </c>
      <c r="J52" s="88"/>
      <c r="K52" s="88">
        <v>165818</v>
      </c>
      <c r="L52" s="88"/>
      <c r="M52" s="88">
        <v>1529135</v>
      </c>
      <c r="N52" s="88"/>
      <c r="O52" s="88">
        <v>567739</v>
      </c>
      <c r="P52" s="88"/>
      <c r="Q52" s="88">
        <v>0</v>
      </c>
      <c r="R52" s="88"/>
      <c r="S52" s="88">
        <v>0</v>
      </c>
      <c r="T52" s="56"/>
      <c r="U52" s="88">
        <v>17848</v>
      </c>
      <c r="V52" s="88"/>
      <c r="W52" s="88">
        <v>532983</v>
      </c>
      <c r="X52" s="88"/>
      <c r="Y52" s="88">
        <v>0</v>
      </c>
      <c r="Z52" s="88"/>
      <c r="AA52" s="88">
        <v>0</v>
      </c>
      <c r="AB52" s="88"/>
      <c r="AC52" s="56">
        <f t="shared" si="1"/>
        <v>34224161</v>
      </c>
      <c r="AD52" s="37"/>
      <c r="AE52" s="88">
        <v>3409420</v>
      </c>
      <c r="AG52" s="88">
        <v>8376542</v>
      </c>
      <c r="AI52" s="7">
        <v>3303</v>
      </c>
      <c r="AK52" s="7">
        <v>0</v>
      </c>
    </row>
    <row r="53" spans="1:37" s="7" customFormat="1" ht="12.75">
      <c r="A53" s="30" t="s">
        <v>50</v>
      </c>
      <c r="B53" s="30"/>
      <c r="C53" s="88">
        <v>4674486</v>
      </c>
      <c r="D53" s="88"/>
      <c r="E53" s="88">
        <v>1752859</v>
      </c>
      <c r="F53" s="88"/>
      <c r="G53" s="88">
        <v>5056612</v>
      </c>
      <c r="H53" s="88"/>
      <c r="I53" s="88">
        <v>124228</v>
      </c>
      <c r="J53" s="88"/>
      <c r="K53" s="88">
        <v>193906</v>
      </c>
      <c r="L53" s="88"/>
      <c r="M53" s="88">
        <v>239964</v>
      </c>
      <c r="N53" s="88"/>
      <c r="O53" s="88">
        <v>0</v>
      </c>
      <c r="P53" s="88"/>
      <c r="Q53" s="88">
        <v>346400</v>
      </c>
      <c r="R53" s="88"/>
      <c r="S53" s="88">
        <v>0</v>
      </c>
      <c r="T53" s="56"/>
      <c r="U53" s="88">
        <v>0</v>
      </c>
      <c r="V53" s="88"/>
      <c r="W53" s="88">
        <v>0</v>
      </c>
      <c r="X53" s="88"/>
      <c r="Y53" s="88">
        <v>36056</v>
      </c>
      <c r="Z53" s="88"/>
      <c r="AA53" s="88">
        <v>2163</v>
      </c>
      <c r="AB53" s="88"/>
      <c r="AC53" s="56">
        <f t="shared" si="1"/>
        <v>12426674</v>
      </c>
      <c r="AD53" s="37"/>
      <c r="AE53" s="88">
        <v>3146852</v>
      </c>
      <c r="AG53" s="88">
        <v>3393913</v>
      </c>
      <c r="AI53" s="7">
        <v>-22631</v>
      </c>
      <c r="AK53" s="7">
        <v>0</v>
      </c>
    </row>
    <row r="54" spans="1:37" s="7" customFormat="1" ht="12.75">
      <c r="A54" s="30" t="s">
        <v>51</v>
      </c>
      <c r="B54" s="30"/>
      <c r="C54" s="88">
        <v>28597805</v>
      </c>
      <c r="D54" s="88"/>
      <c r="E54" s="88">
        <v>14756923</v>
      </c>
      <c r="F54" s="88"/>
      <c r="G54" s="88">
        <v>7136408</v>
      </c>
      <c r="H54" s="88"/>
      <c r="I54" s="88">
        <v>263501</v>
      </c>
      <c r="J54" s="88"/>
      <c r="K54" s="88">
        <v>3524</v>
      </c>
      <c r="L54" s="88"/>
      <c r="M54" s="88">
        <v>2553724</v>
      </c>
      <c r="N54" s="88"/>
      <c r="O54" s="88">
        <v>14402</v>
      </c>
      <c r="P54" s="88"/>
      <c r="Q54" s="88">
        <v>0</v>
      </c>
      <c r="R54" s="88"/>
      <c r="S54" s="88">
        <v>0</v>
      </c>
      <c r="T54" s="56"/>
      <c r="U54" s="88">
        <v>749817</v>
      </c>
      <c r="V54" s="88"/>
      <c r="W54" s="88">
        <v>588937</v>
      </c>
      <c r="X54" s="88"/>
      <c r="Y54" s="88">
        <v>0</v>
      </c>
      <c r="Z54" s="88"/>
      <c r="AA54" s="88">
        <v>0</v>
      </c>
      <c r="AB54" s="88"/>
      <c r="AC54" s="56">
        <f t="shared" si="1"/>
        <v>54665041</v>
      </c>
      <c r="AD54" s="37"/>
      <c r="AE54" s="88">
        <v>3440437</v>
      </c>
      <c r="AG54" s="88">
        <v>39881461</v>
      </c>
      <c r="AI54" s="7">
        <v>-386</v>
      </c>
      <c r="AK54" s="7">
        <v>0</v>
      </c>
    </row>
    <row r="55" spans="1:37" s="7" customFormat="1" ht="12.75">
      <c r="A55" s="30" t="s">
        <v>190</v>
      </c>
      <c r="B55" s="30"/>
      <c r="C55" s="88">
        <v>25425000</v>
      </c>
      <c r="D55" s="88"/>
      <c r="E55" s="88">
        <v>42052000</v>
      </c>
      <c r="F55" s="88"/>
      <c r="G55" s="88">
        <v>39629000</v>
      </c>
      <c r="H55" s="88"/>
      <c r="I55" s="88">
        <v>275000</v>
      </c>
      <c r="J55" s="88"/>
      <c r="K55" s="88">
        <v>721000</v>
      </c>
      <c r="L55" s="88"/>
      <c r="M55" s="88">
        <v>1409000</v>
      </c>
      <c r="N55" s="88"/>
      <c r="O55" s="88">
        <v>0</v>
      </c>
      <c r="P55" s="88"/>
      <c r="Q55" s="88">
        <v>871000</v>
      </c>
      <c r="R55" s="88"/>
      <c r="S55" s="88">
        <v>515000</v>
      </c>
      <c r="T55" s="56"/>
      <c r="U55" s="88">
        <v>0</v>
      </c>
      <c r="V55" s="88"/>
      <c r="W55" s="88">
        <v>0</v>
      </c>
      <c r="X55" s="88"/>
      <c r="Y55" s="88">
        <v>0</v>
      </c>
      <c r="Z55" s="88"/>
      <c r="AA55" s="88">
        <v>0</v>
      </c>
      <c r="AB55" s="88"/>
      <c r="AC55" s="56">
        <f t="shared" si="1"/>
        <v>110897000</v>
      </c>
      <c r="AD55" s="37"/>
      <c r="AE55" s="88">
        <v>22896000</v>
      </c>
      <c r="AG55" s="88">
        <v>36097000</v>
      </c>
      <c r="AK55" s="7">
        <v>0</v>
      </c>
    </row>
    <row r="56" spans="1:37" s="7" customFormat="1" ht="12.75" hidden="1">
      <c r="A56" s="30" t="s">
        <v>52</v>
      </c>
      <c r="B56" s="30"/>
      <c r="C56" s="88">
        <v>0</v>
      </c>
      <c r="D56" s="88"/>
      <c r="E56" s="88">
        <v>0</v>
      </c>
      <c r="F56" s="88"/>
      <c r="G56" s="88">
        <v>0</v>
      </c>
      <c r="H56" s="88"/>
      <c r="I56" s="88">
        <v>0</v>
      </c>
      <c r="J56" s="88"/>
      <c r="K56" s="88">
        <v>0</v>
      </c>
      <c r="L56" s="88"/>
      <c r="M56" s="88">
        <v>0</v>
      </c>
      <c r="N56" s="88"/>
      <c r="O56" s="88">
        <v>0</v>
      </c>
      <c r="P56" s="88"/>
      <c r="Q56" s="88">
        <v>0</v>
      </c>
      <c r="R56" s="88"/>
      <c r="S56" s="88">
        <v>0</v>
      </c>
      <c r="T56" s="56"/>
      <c r="U56" s="88">
        <v>0</v>
      </c>
      <c r="V56" s="88"/>
      <c r="W56" s="88">
        <v>0</v>
      </c>
      <c r="X56" s="88"/>
      <c r="Y56" s="88">
        <v>0</v>
      </c>
      <c r="Z56" s="88"/>
      <c r="AA56" s="88">
        <v>0</v>
      </c>
      <c r="AB56" s="88"/>
      <c r="AC56" s="56">
        <f t="shared" si="1"/>
        <v>0</v>
      </c>
      <c r="AD56" s="37"/>
      <c r="AE56" s="88">
        <v>0</v>
      </c>
      <c r="AG56" s="88">
        <v>0</v>
      </c>
      <c r="AK56" s="7">
        <v>0</v>
      </c>
    </row>
    <row r="57" spans="1:37" s="164" customFormat="1" ht="12.75" hidden="1">
      <c r="A57" s="153" t="s">
        <v>53</v>
      </c>
      <c r="B57" s="153"/>
      <c r="C57" s="130">
        <v>0</v>
      </c>
      <c r="D57" s="130"/>
      <c r="E57" s="130">
        <v>0</v>
      </c>
      <c r="F57" s="130"/>
      <c r="G57" s="130">
        <v>0</v>
      </c>
      <c r="H57" s="130"/>
      <c r="I57" s="130">
        <v>0</v>
      </c>
      <c r="J57" s="130"/>
      <c r="K57" s="130">
        <v>0</v>
      </c>
      <c r="L57" s="130"/>
      <c r="M57" s="130">
        <v>0</v>
      </c>
      <c r="N57" s="130"/>
      <c r="O57" s="130">
        <v>0</v>
      </c>
      <c r="P57" s="130"/>
      <c r="Q57" s="130">
        <v>0</v>
      </c>
      <c r="R57" s="130"/>
      <c r="S57" s="130">
        <v>0</v>
      </c>
      <c r="T57" s="161"/>
      <c r="U57" s="130">
        <v>0</v>
      </c>
      <c r="V57" s="130"/>
      <c r="W57" s="130">
        <v>0</v>
      </c>
      <c r="X57" s="130"/>
      <c r="Y57" s="130">
        <v>0</v>
      </c>
      <c r="Z57" s="130"/>
      <c r="AA57" s="130">
        <v>0</v>
      </c>
      <c r="AB57" s="130"/>
      <c r="AC57" s="161">
        <f t="shared" si="1"/>
        <v>0</v>
      </c>
      <c r="AD57" s="165"/>
      <c r="AE57" s="130">
        <v>0</v>
      </c>
      <c r="AG57" s="130">
        <v>0</v>
      </c>
      <c r="AK57" s="164">
        <v>0</v>
      </c>
    </row>
    <row r="58" spans="1:37" s="7" customFormat="1" ht="12.75">
      <c r="A58" s="30" t="s">
        <v>54</v>
      </c>
      <c r="B58" s="30"/>
      <c r="C58" s="88">
        <v>4934502</v>
      </c>
      <c r="D58" s="88"/>
      <c r="E58" s="88">
        <v>1788393</v>
      </c>
      <c r="F58" s="88"/>
      <c r="G58" s="88">
        <v>6444193</v>
      </c>
      <c r="H58" s="88"/>
      <c r="I58" s="88">
        <v>12068</v>
      </c>
      <c r="J58" s="88"/>
      <c r="K58" s="88">
        <v>226775</v>
      </c>
      <c r="L58" s="88"/>
      <c r="M58" s="88">
        <v>259210</v>
      </c>
      <c r="N58" s="88"/>
      <c r="O58" s="88">
        <v>0</v>
      </c>
      <c r="P58" s="88"/>
      <c r="Q58" s="88">
        <v>296475</v>
      </c>
      <c r="R58" s="88"/>
      <c r="S58" s="88">
        <v>0</v>
      </c>
      <c r="T58" s="56"/>
      <c r="U58" s="88">
        <v>1991</v>
      </c>
      <c r="V58" s="88"/>
      <c r="W58" s="88">
        <v>235639</v>
      </c>
      <c r="X58" s="88"/>
      <c r="Y58" s="88">
        <v>61561</v>
      </c>
      <c r="Z58" s="88"/>
      <c r="AA58" s="88">
        <v>4317</v>
      </c>
      <c r="AB58" s="88"/>
      <c r="AC58" s="56">
        <f t="shared" si="1"/>
        <v>14265124</v>
      </c>
      <c r="AD58" s="37"/>
      <c r="AE58" s="88">
        <v>1454310</v>
      </c>
      <c r="AG58" s="88">
        <v>3730468</v>
      </c>
      <c r="AK58" s="7">
        <v>0</v>
      </c>
    </row>
    <row r="59" spans="1:37" s="7" customFormat="1" ht="12.75">
      <c r="A59" s="30" t="s">
        <v>55</v>
      </c>
      <c r="B59" s="30"/>
      <c r="C59" s="88">
        <v>9952620</v>
      </c>
      <c r="D59" s="88"/>
      <c r="E59" s="88">
        <v>6267709</v>
      </c>
      <c r="F59" s="88"/>
      <c r="G59" s="88">
        <v>15226844</v>
      </c>
      <c r="H59" s="88"/>
      <c r="I59" s="88">
        <v>507471</v>
      </c>
      <c r="J59" s="88"/>
      <c r="K59" s="88">
        <v>183411</v>
      </c>
      <c r="L59" s="88"/>
      <c r="M59" s="88">
        <v>1957406</v>
      </c>
      <c r="N59" s="88"/>
      <c r="O59" s="88">
        <v>90000</v>
      </c>
      <c r="P59" s="88"/>
      <c r="Q59" s="88">
        <v>0</v>
      </c>
      <c r="R59" s="88"/>
      <c r="S59" s="88">
        <v>0</v>
      </c>
      <c r="T59" s="56"/>
      <c r="U59" s="88">
        <v>0</v>
      </c>
      <c r="V59" s="88"/>
      <c r="W59" s="88">
        <v>818118</v>
      </c>
      <c r="X59" s="88"/>
      <c r="Y59" s="88">
        <v>0</v>
      </c>
      <c r="Z59" s="88"/>
      <c r="AA59" s="88">
        <v>0</v>
      </c>
      <c r="AB59" s="88"/>
      <c r="AC59" s="56">
        <f t="shared" si="1"/>
        <v>35003579</v>
      </c>
      <c r="AD59" s="37"/>
      <c r="AE59" s="88">
        <v>2576549</v>
      </c>
      <c r="AG59" s="88">
        <v>10522741</v>
      </c>
      <c r="AK59" s="7">
        <v>0</v>
      </c>
    </row>
    <row r="60" spans="1:37" s="7" customFormat="1" ht="12.75" hidden="1">
      <c r="A60" s="30" t="s">
        <v>175</v>
      </c>
      <c r="B60" s="30"/>
      <c r="C60" s="88">
        <v>0</v>
      </c>
      <c r="D60" s="88"/>
      <c r="E60" s="88">
        <v>0</v>
      </c>
      <c r="F60" s="88"/>
      <c r="G60" s="88">
        <v>0</v>
      </c>
      <c r="H60" s="88"/>
      <c r="I60" s="88">
        <v>0</v>
      </c>
      <c r="J60" s="88"/>
      <c r="K60" s="88">
        <v>0</v>
      </c>
      <c r="L60" s="88"/>
      <c r="M60" s="88">
        <v>0</v>
      </c>
      <c r="N60" s="88"/>
      <c r="O60" s="88">
        <v>0</v>
      </c>
      <c r="P60" s="88"/>
      <c r="Q60" s="88">
        <v>0</v>
      </c>
      <c r="R60" s="88"/>
      <c r="S60" s="88">
        <v>0</v>
      </c>
      <c r="T60" s="56"/>
      <c r="U60" s="88">
        <v>0</v>
      </c>
      <c r="V60" s="88"/>
      <c r="W60" s="88">
        <v>0</v>
      </c>
      <c r="X60" s="88"/>
      <c r="Y60" s="88">
        <v>0</v>
      </c>
      <c r="Z60" s="88"/>
      <c r="AA60" s="88">
        <v>0</v>
      </c>
      <c r="AB60" s="88"/>
      <c r="AC60" s="56">
        <f t="shared" si="1"/>
        <v>0</v>
      </c>
      <c r="AD60" s="37"/>
      <c r="AE60" s="88">
        <v>0</v>
      </c>
      <c r="AG60" s="88">
        <v>0</v>
      </c>
      <c r="AK60" s="7">
        <v>0</v>
      </c>
    </row>
    <row r="61" spans="1:37" s="7" customFormat="1" ht="12.75" hidden="1">
      <c r="A61" s="30" t="s">
        <v>56</v>
      </c>
      <c r="B61" s="30"/>
      <c r="C61" s="88">
        <v>0</v>
      </c>
      <c r="D61" s="88"/>
      <c r="E61" s="88">
        <v>0</v>
      </c>
      <c r="F61" s="88"/>
      <c r="G61" s="88">
        <v>0</v>
      </c>
      <c r="H61" s="88"/>
      <c r="I61" s="88">
        <v>0</v>
      </c>
      <c r="J61" s="88"/>
      <c r="K61" s="88">
        <v>0</v>
      </c>
      <c r="L61" s="88"/>
      <c r="M61" s="88">
        <v>0</v>
      </c>
      <c r="N61" s="88"/>
      <c r="O61" s="88">
        <v>0</v>
      </c>
      <c r="P61" s="88"/>
      <c r="Q61" s="88">
        <v>0</v>
      </c>
      <c r="R61" s="88"/>
      <c r="S61" s="88">
        <v>0</v>
      </c>
      <c r="T61" s="56"/>
      <c r="U61" s="88">
        <v>0</v>
      </c>
      <c r="V61" s="88"/>
      <c r="W61" s="88">
        <v>0</v>
      </c>
      <c r="X61" s="88"/>
      <c r="Y61" s="88">
        <v>0</v>
      </c>
      <c r="Z61" s="88"/>
      <c r="AA61" s="88">
        <v>0</v>
      </c>
      <c r="AB61" s="88"/>
      <c r="AC61" s="56">
        <f t="shared" si="1"/>
        <v>0</v>
      </c>
      <c r="AD61" s="37"/>
      <c r="AE61" s="88">
        <v>0</v>
      </c>
      <c r="AG61" s="88">
        <v>0</v>
      </c>
      <c r="AK61" s="7">
        <v>0</v>
      </c>
    </row>
    <row r="62" spans="1:37" s="7" customFormat="1" ht="12.75">
      <c r="A62" s="30" t="s">
        <v>57</v>
      </c>
      <c r="B62" s="30"/>
      <c r="C62" s="88">
        <v>11696858</v>
      </c>
      <c r="D62" s="88"/>
      <c r="E62" s="88">
        <v>0</v>
      </c>
      <c r="F62" s="88"/>
      <c r="G62" s="88">
        <v>10218225</v>
      </c>
      <c r="H62" s="88"/>
      <c r="I62" s="88">
        <v>248126</v>
      </c>
      <c r="J62" s="88"/>
      <c r="K62" s="88">
        <v>83005</v>
      </c>
      <c r="L62" s="88"/>
      <c r="M62" s="88">
        <v>1909764</v>
      </c>
      <c r="N62" s="88"/>
      <c r="O62" s="88">
        <v>0</v>
      </c>
      <c r="P62" s="88"/>
      <c r="Q62" s="88">
        <v>557009</v>
      </c>
      <c r="R62" s="88"/>
      <c r="S62" s="88">
        <v>0</v>
      </c>
      <c r="T62" s="56"/>
      <c r="U62" s="88">
        <v>0</v>
      </c>
      <c r="V62" s="88"/>
      <c r="W62" s="88">
        <v>0</v>
      </c>
      <c r="X62" s="88"/>
      <c r="Y62" s="88">
        <v>176</v>
      </c>
      <c r="Z62" s="88"/>
      <c r="AA62" s="88">
        <v>208</v>
      </c>
      <c r="AB62" s="88"/>
      <c r="AC62" s="56">
        <f t="shared" si="1"/>
        <v>24713371</v>
      </c>
      <c r="AD62" s="37"/>
      <c r="AE62" s="88">
        <v>381476</v>
      </c>
      <c r="AG62" s="88">
        <v>17085732</v>
      </c>
      <c r="AK62" s="7">
        <v>0</v>
      </c>
    </row>
    <row r="63" spans="1:37" s="7" customFormat="1" ht="12.75">
      <c r="A63" s="30" t="s">
        <v>58</v>
      </c>
      <c r="B63" s="30"/>
      <c r="C63" s="88">
        <v>1396566</v>
      </c>
      <c r="D63" s="88"/>
      <c r="E63" s="88">
        <v>474894</v>
      </c>
      <c r="F63" s="88"/>
      <c r="G63" s="88">
        <v>1271111</v>
      </c>
      <c r="H63" s="88"/>
      <c r="I63" s="88">
        <v>0</v>
      </c>
      <c r="J63" s="88"/>
      <c r="K63" s="88">
        <v>47221</v>
      </c>
      <c r="L63" s="88"/>
      <c r="M63" s="88">
        <v>111263</v>
      </c>
      <c r="N63" s="88"/>
      <c r="O63" s="88">
        <v>0</v>
      </c>
      <c r="P63" s="88"/>
      <c r="Q63" s="88">
        <v>0</v>
      </c>
      <c r="R63" s="88"/>
      <c r="S63" s="88">
        <v>125004</v>
      </c>
      <c r="T63" s="56"/>
      <c r="U63" s="88">
        <v>0</v>
      </c>
      <c r="V63" s="88"/>
      <c r="W63" s="88">
        <v>0</v>
      </c>
      <c r="X63" s="88"/>
      <c r="Y63" s="88">
        <v>0</v>
      </c>
      <c r="Z63" s="88"/>
      <c r="AA63" s="88">
        <v>5303</v>
      </c>
      <c r="AB63" s="88"/>
      <c r="AC63" s="56">
        <f t="shared" si="1"/>
        <v>3431362</v>
      </c>
      <c r="AD63" s="37"/>
      <c r="AE63" s="88">
        <v>111043</v>
      </c>
      <c r="AG63" s="88">
        <v>206301</v>
      </c>
      <c r="AK63" s="7">
        <v>0</v>
      </c>
    </row>
    <row r="64" spans="1:37" s="7" customFormat="1" ht="12.75">
      <c r="A64" s="30" t="s">
        <v>59</v>
      </c>
      <c r="B64" s="30"/>
      <c r="C64" s="88">
        <f>21835098</f>
        <v>21835098</v>
      </c>
      <c r="D64" s="88"/>
      <c r="E64" s="88">
        <v>85251395</v>
      </c>
      <c r="F64" s="88"/>
      <c r="G64" s="88">
        <v>0</v>
      </c>
      <c r="H64" s="88"/>
      <c r="I64" s="88">
        <f>557835</f>
        <v>557835</v>
      </c>
      <c r="J64" s="88"/>
      <c r="K64" s="88">
        <v>0</v>
      </c>
      <c r="L64" s="88"/>
      <c r="M64" s="88">
        <f>2943385</f>
        <v>2943385</v>
      </c>
      <c r="N64" s="88"/>
      <c r="O64" s="88">
        <f>2926980</f>
        <v>2926980</v>
      </c>
      <c r="P64" s="88"/>
      <c r="Q64" s="88">
        <v>0</v>
      </c>
      <c r="R64" s="88"/>
      <c r="S64" s="88">
        <v>0</v>
      </c>
      <c r="T64" s="56"/>
      <c r="U64" s="88">
        <v>0</v>
      </c>
      <c r="V64" s="88"/>
      <c r="W64" s="88">
        <f>53300+148410+1591800+230280</f>
        <v>2023790</v>
      </c>
      <c r="X64" s="88"/>
      <c r="Y64" s="88">
        <v>127183</v>
      </c>
      <c r="Z64" s="88"/>
      <c r="AA64" s="88">
        <v>9913</v>
      </c>
      <c r="AB64" s="88"/>
      <c r="AC64" s="56">
        <f t="shared" si="1"/>
        <v>115675579</v>
      </c>
      <c r="AD64" s="37"/>
      <c r="AE64" s="88">
        <v>34177648</v>
      </c>
      <c r="AG64" s="88">
        <v>49541638</v>
      </c>
      <c r="AK64" s="7">
        <v>0</v>
      </c>
    </row>
    <row r="65" spans="1:37" s="7" customFormat="1" ht="12.75" hidden="1">
      <c r="A65" s="30" t="s">
        <v>60</v>
      </c>
      <c r="B65" s="30"/>
      <c r="C65" s="88">
        <v>0</v>
      </c>
      <c r="D65" s="88"/>
      <c r="E65" s="88">
        <v>0</v>
      </c>
      <c r="F65" s="88"/>
      <c r="G65" s="88">
        <v>0</v>
      </c>
      <c r="H65" s="88"/>
      <c r="I65" s="88">
        <v>0</v>
      </c>
      <c r="J65" s="88"/>
      <c r="K65" s="88">
        <v>0</v>
      </c>
      <c r="L65" s="88"/>
      <c r="M65" s="88">
        <v>0</v>
      </c>
      <c r="N65" s="88"/>
      <c r="O65" s="88">
        <v>0</v>
      </c>
      <c r="P65" s="88"/>
      <c r="Q65" s="88">
        <v>0</v>
      </c>
      <c r="R65" s="88"/>
      <c r="S65" s="88">
        <v>0</v>
      </c>
      <c r="T65" s="56"/>
      <c r="U65" s="88">
        <v>0</v>
      </c>
      <c r="V65" s="88"/>
      <c r="W65" s="88">
        <v>0</v>
      </c>
      <c r="X65" s="88"/>
      <c r="Y65" s="88">
        <v>0</v>
      </c>
      <c r="Z65" s="88"/>
      <c r="AA65" s="88">
        <v>0</v>
      </c>
      <c r="AB65" s="88"/>
      <c r="AC65" s="56">
        <f t="shared" si="1"/>
        <v>0</v>
      </c>
      <c r="AD65" s="37"/>
      <c r="AE65" s="88">
        <v>0</v>
      </c>
      <c r="AG65" s="88">
        <v>0</v>
      </c>
      <c r="AK65" s="7">
        <v>0</v>
      </c>
    </row>
    <row r="66" spans="1:37" s="7" customFormat="1" ht="12.75">
      <c r="A66" s="30" t="s">
        <v>97</v>
      </c>
      <c r="B66" s="30"/>
      <c r="C66" s="88">
        <v>2987992</v>
      </c>
      <c r="D66" s="88"/>
      <c r="E66" s="88">
        <v>827752</v>
      </c>
      <c r="F66" s="88"/>
      <c r="G66" s="88">
        <v>3420637</v>
      </c>
      <c r="H66" s="88"/>
      <c r="I66" s="88">
        <v>0</v>
      </c>
      <c r="J66" s="88"/>
      <c r="K66" s="88">
        <v>62686</v>
      </c>
      <c r="L66" s="88"/>
      <c r="M66" s="88">
        <v>492676</v>
      </c>
      <c r="N66" s="88"/>
      <c r="O66" s="88">
        <v>48510</v>
      </c>
      <c r="P66" s="88"/>
      <c r="Q66" s="88">
        <v>0</v>
      </c>
      <c r="R66" s="88"/>
      <c r="S66" s="88">
        <v>6355</v>
      </c>
      <c r="T66" s="56"/>
      <c r="U66" s="88">
        <v>312535</v>
      </c>
      <c r="V66" s="88"/>
      <c r="W66" s="88">
        <v>398547</v>
      </c>
      <c r="X66" s="88"/>
      <c r="Y66" s="88">
        <v>15308</v>
      </c>
      <c r="Z66" s="88"/>
      <c r="AA66" s="88">
        <v>4140</v>
      </c>
      <c r="AB66" s="88"/>
      <c r="AC66" s="56">
        <f>SUM(C66:AB66)</f>
        <v>8577138</v>
      </c>
      <c r="AD66" s="37"/>
      <c r="AE66" s="88">
        <v>120000</v>
      </c>
      <c r="AG66" s="88">
        <v>1322760</v>
      </c>
      <c r="AK66" s="7">
        <v>0</v>
      </c>
    </row>
    <row r="67" spans="1:37" s="7" customFormat="1" ht="12.75">
      <c r="A67" s="30" t="s">
        <v>61</v>
      </c>
      <c r="B67" s="30"/>
      <c r="C67" s="88">
        <v>9452186</v>
      </c>
      <c r="D67" s="88"/>
      <c r="E67" s="88">
        <v>4722717</v>
      </c>
      <c r="F67" s="88"/>
      <c r="G67" s="88">
        <v>6680833</v>
      </c>
      <c r="H67" s="88"/>
      <c r="I67" s="88">
        <v>177882</v>
      </c>
      <c r="J67" s="88"/>
      <c r="K67" s="88">
        <v>469908</v>
      </c>
      <c r="L67" s="88"/>
      <c r="M67" s="88">
        <v>415965</v>
      </c>
      <c r="N67" s="88"/>
      <c r="O67" s="88">
        <v>0</v>
      </c>
      <c r="P67" s="88"/>
      <c r="Q67" s="88">
        <v>0</v>
      </c>
      <c r="R67" s="88"/>
      <c r="S67" s="88">
        <v>0</v>
      </c>
      <c r="T67" s="56"/>
      <c r="U67" s="88">
        <v>16000</v>
      </c>
      <c r="V67" s="88"/>
      <c r="W67" s="88">
        <v>116664</v>
      </c>
      <c r="X67" s="88"/>
      <c r="Y67" s="88">
        <v>1947</v>
      </c>
      <c r="Z67" s="88"/>
      <c r="AA67" s="88">
        <v>819</v>
      </c>
      <c r="AB67" s="88"/>
      <c r="AC67" s="56">
        <f t="shared" si="1"/>
        <v>22054921</v>
      </c>
      <c r="AD67" s="37"/>
      <c r="AE67" s="88">
        <v>2183591</v>
      </c>
      <c r="AG67" s="88">
        <v>6280689</v>
      </c>
      <c r="AK67" s="7">
        <v>0</v>
      </c>
    </row>
    <row r="68" spans="1:37" s="7" customFormat="1" ht="12.75">
      <c r="A68" s="30" t="s">
        <v>62</v>
      </c>
      <c r="B68" s="30"/>
      <c r="C68" s="88">
        <v>1408000</v>
      </c>
      <c r="D68" s="88"/>
      <c r="E68" s="88">
        <v>323378</v>
      </c>
      <c r="F68" s="88"/>
      <c r="G68" s="88">
        <v>658369</v>
      </c>
      <c r="H68" s="88"/>
      <c r="I68" s="88">
        <v>0</v>
      </c>
      <c r="J68" s="88"/>
      <c r="K68" s="88">
        <v>25880</v>
      </c>
      <c r="L68" s="88"/>
      <c r="M68" s="88">
        <v>98294</v>
      </c>
      <c r="N68" s="88"/>
      <c r="O68" s="88">
        <v>0</v>
      </c>
      <c r="P68" s="88"/>
      <c r="Q68" s="88">
        <v>0</v>
      </c>
      <c r="R68" s="88"/>
      <c r="S68" s="88">
        <v>37146</v>
      </c>
      <c r="T68" s="56"/>
      <c r="U68" s="88">
        <v>0</v>
      </c>
      <c r="V68" s="88"/>
      <c r="W68" s="88">
        <v>0</v>
      </c>
      <c r="X68" s="88"/>
      <c r="Y68" s="88">
        <v>4943</v>
      </c>
      <c r="Z68" s="88"/>
      <c r="AA68" s="88">
        <v>732</v>
      </c>
      <c r="AB68" s="88"/>
      <c r="AC68" s="56">
        <f t="shared" si="1"/>
        <v>2556742</v>
      </c>
      <c r="AD68" s="37"/>
      <c r="AE68" s="88">
        <v>67789</v>
      </c>
      <c r="AG68" s="88">
        <v>433498</v>
      </c>
      <c r="AK68" s="7">
        <f>+GenRev!Q69-GenExp!AC68-AE68+GenRev!S69+AG68+AI68-'Gen Fd BS'!O69</f>
        <v>0</v>
      </c>
    </row>
    <row r="69" spans="1:37" s="7" customFormat="1" ht="12.75">
      <c r="A69" s="30" t="s">
        <v>63</v>
      </c>
      <c r="B69" s="30"/>
      <c r="C69" s="88">
        <v>3645259</v>
      </c>
      <c r="D69" s="88"/>
      <c r="E69" s="88">
        <v>2532926</v>
      </c>
      <c r="F69" s="88"/>
      <c r="G69" s="88">
        <v>4659720</v>
      </c>
      <c r="H69" s="88"/>
      <c r="I69" s="88">
        <v>454336</v>
      </c>
      <c r="J69" s="88"/>
      <c r="K69" s="88">
        <v>12277</v>
      </c>
      <c r="L69" s="88"/>
      <c r="M69" s="88">
        <v>965729</v>
      </c>
      <c r="N69" s="88"/>
      <c r="O69" s="88">
        <v>0</v>
      </c>
      <c r="P69" s="88"/>
      <c r="Q69" s="88">
        <v>0</v>
      </c>
      <c r="R69" s="88"/>
      <c r="S69" s="88">
        <v>362713</v>
      </c>
      <c r="T69" s="56"/>
      <c r="U69" s="88">
        <v>25547</v>
      </c>
      <c r="V69" s="88"/>
      <c r="W69" s="88">
        <v>0</v>
      </c>
      <c r="X69" s="88"/>
      <c r="Y69" s="88">
        <v>698</v>
      </c>
      <c r="Z69" s="88"/>
      <c r="AA69" s="88">
        <v>338</v>
      </c>
      <c r="AB69" s="88"/>
      <c r="AC69" s="56">
        <f t="shared" si="1"/>
        <v>12659543</v>
      </c>
      <c r="AD69" s="37"/>
      <c r="AE69" s="88">
        <v>1102834</v>
      </c>
      <c r="AG69" s="88">
        <v>3087649</v>
      </c>
      <c r="AK69" s="7">
        <f>+GenRev!Q70-GenExp!AC69-AE69+GenRev!S70+AG69+AI69-'Gen Fd BS'!O70</f>
        <v>0</v>
      </c>
    </row>
    <row r="70" spans="1:37" s="7" customFormat="1" ht="12.75" hidden="1">
      <c r="A70" s="30" t="s">
        <v>132</v>
      </c>
      <c r="B70" s="30"/>
      <c r="C70" s="88">
        <v>0</v>
      </c>
      <c r="D70" s="88"/>
      <c r="E70" s="88">
        <v>0</v>
      </c>
      <c r="F70" s="88"/>
      <c r="G70" s="88">
        <v>0</v>
      </c>
      <c r="H70" s="88"/>
      <c r="I70" s="88">
        <v>0</v>
      </c>
      <c r="J70" s="88"/>
      <c r="K70" s="88">
        <v>0</v>
      </c>
      <c r="L70" s="88"/>
      <c r="M70" s="88">
        <v>0</v>
      </c>
      <c r="N70" s="88"/>
      <c r="O70" s="88">
        <v>0</v>
      </c>
      <c r="P70" s="88"/>
      <c r="Q70" s="88">
        <v>0</v>
      </c>
      <c r="R70" s="88"/>
      <c r="S70" s="88">
        <v>0</v>
      </c>
      <c r="T70" s="56"/>
      <c r="U70" s="88">
        <v>0</v>
      </c>
      <c r="V70" s="88"/>
      <c r="W70" s="88">
        <v>0</v>
      </c>
      <c r="X70" s="88"/>
      <c r="Y70" s="88">
        <v>0</v>
      </c>
      <c r="Z70" s="88"/>
      <c r="AA70" s="88">
        <v>0</v>
      </c>
      <c r="AB70" s="88"/>
      <c r="AC70" s="56">
        <f t="shared" si="1"/>
        <v>0</v>
      </c>
      <c r="AD70" s="37"/>
      <c r="AE70" s="88">
        <v>0</v>
      </c>
      <c r="AG70" s="88">
        <v>0</v>
      </c>
      <c r="AK70" s="7">
        <f>+GenRev!Q71-GenExp!AC70-AE70+GenRev!S71+AG70+AI70-'Gen Fd BS'!O71</f>
        <v>0</v>
      </c>
    </row>
    <row r="71" spans="1:37" s="7" customFormat="1" ht="12.75" hidden="1">
      <c r="A71" s="30" t="s">
        <v>64</v>
      </c>
      <c r="B71" s="30"/>
      <c r="C71" s="88">
        <v>0</v>
      </c>
      <c r="D71" s="88"/>
      <c r="E71" s="88">
        <v>0</v>
      </c>
      <c r="F71" s="88"/>
      <c r="G71" s="88">
        <v>0</v>
      </c>
      <c r="H71" s="88"/>
      <c r="I71" s="88">
        <v>0</v>
      </c>
      <c r="J71" s="88"/>
      <c r="K71" s="88">
        <v>0</v>
      </c>
      <c r="L71" s="88"/>
      <c r="M71" s="88">
        <v>0</v>
      </c>
      <c r="N71" s="88"/>
      <c r="O71" s="88">
        <v>0</v>
      </c>
      <c r="P71" s="88"/>
      <c r="Q71" s="88">
        <v>0</v>
      </c>
      <c r="R71" s="88"/>
      <c r="S71" s="88">
        <v>0</v>
      </c>
      <c r="T71" s="56"/>
      <c r="U71" s="88">
        <v>0</v>
      </c>
      <c r="V71" s="88"/>
      <c r="W71" s="88">
        <v>0</v>
      </c>
      <c r="X71" s="88"/>
      <c r="Y71" s="88">
        <v>0</v>
      </c>
      <c r="Z71" s="88"/>
      <c r="AA71" s="88">
        <v>0</v>
      </c>
      <c r="AB71" s="88"/>
      <c r="AC71" s="56">
        <f t="shared" si="1"/>
        <v>0</v>
      </c>
      <c r="AD71" s="37"/>
      <c r="AE71" s="88">
        <v>0</v>
      </c>
      <c r="AG71" s="88">
        <v>0</v>
      </c>
      <c r="AK71" s="7">
        <f>+GenRev!Q72-GenExp!AC71-AE71+GenRev!S72+AG71+AI71-'Gen Fd BS'!O72</f>
        <v>0</v>
      </c>
    </row>
    <row r="72" spans="1:37" s="7" customFormat="1" ht="12.75">
      <c r="A72" s="30" t="s">
        <v>65</v>
      </c>
      <c r="B72" s="30"/>
      <c r="C72" s="88">
        <v>3976056</v>
      </c>
      <c r="D72" s="88"/>
      <c r="E72" s="88">
        <v>1424283</v>
      </c>
      <c r="F72" s="88"/>
      <c r="G72" s="88">
        <v>5272434</v>
      </c>
      <c r="H72" s="88"/>
      <c r="I72" s="88">
        <v>96074</v>
      </c>
      <c r="J72" s="88"/>
      <c r="K72" s="88">
        <v>54505</v>
      </c>
      <c r="L72" s="88"/>
      <c r="M72" s="88">
        <v>469105</v>
      </c>
      <c r="N72" s="88"/>
      <c r="O72" s="88">
        <v>0</v>
      </c>
      <c r="P72" s="88"/>
      <c r="Q72" s="88">
        <v>360892</v>
      </c>
      <c r="R72" s="88"/>
      <c r="S72" s="88">
        <v>35883</v>
      </c>
      <c r="T72" s="56"/>
      <c r="U72" s="88">
        <v>57477</v>
      </c>
      <c r="V72" s="88"/>
      <c r="W72" s="88">
        <v>0</v>
      </c>
      <c r="X72" s="88"/>
      <c r="Y72" s="88">
        <v>83509</v>
      </c>
      <c r="Z72" s="88"/>
      <c r="AA72" s="88">
        <v>12016</v>
      </c>
      <c r="AB72" s="88"/>
      <c r="AC72" s="56">
        <f t="shared" si="1"/>
        <v>11842234</v>
      </c>
      <c r="AD72" s="37"/>
      <c r="AE72" s="88">
        <v>704671</v>
      </c>
      <c r="AG72" s="88">
        <v>2870685</v>
      </c>
      <c r="AK72" s="7">
        <f>+GenRev!Q74-GenExp!AC72-AE72+GenRev!S74+AG72+AI72-'Gen Fd BS'!O74</f>
        <v>0</v>
      </c>
    </row>
    <row r="73" spans="1:37" s="7" customFormat="1" ht="12.75">
      <c r="A73" s="30" t="s">
        <v>66</v>
      </c>
      <c r="B73" s="30"/>
      <c r="C73" s="88">
        <v>2355755</v>
      </c>
      <c r="D73" s="88"/>
      <c r="E73" s="88">
        <v>844412</v>
      </c>
      <c r="F73" s="88"/>
      <c r="G73" s="88">
        <v>1810354</v>
      </c>
      <c r="H73" s="88"/>
      <c r="I73" s="88">
        <v>39484</v>
      </c>
      <c r="J73" s="88"/>
      <c r="K73" s="88">
        <v>1717</v>
      </c>
      <c r="L73" s="88"/>
      <c r="M73" s="88">
        <v>385389</v>
      </c>
      <c r="N73" s="88"/>
      <c r="O73" s="88">
        <v>0</v>
      </c>
      <c r="P73" s="88"/>
      <c r="Q73" s="88">
        <v>10</v>
      </c>
      <c r="R73" s="88"/>
      <c r="S73" s="88">
        <v>398712</v>
      </c>
      <c r="T73" s="56"/>
      <c r="U73" s="88">
        <v>62534</v>
      </c>
      <c r="V73" s="88"/>
      <c r="W73" s="88">
        <v>0</v>
      </c>
      <c r="X73" s="88"/>
      <c r="Y73" s="88">
        <v>8588</v>
      </c>
      <c r="Z73" s="88"/>
      <c r="AA73" s="88">
        <v>2169</v>
      </c>
      <c r="AB73" s="88"/>
      <c r="AC73" s="56">
        <f t="shared" si="1"/>
        <v>5909124</v>
      </c>
      <c r="AD73" s="37"/>
      <c r="AE73" s="88">
        <v>222685</v>
      </c>
      <c r="AG73" s="88">
        <v>2136929</v>
      </c>
      <c r="AK73" s="7">
        <f>+GenRev!Q75-GenExp!AC73-AE73+GenRev!S75+AG73+AI73-'Gen Fd BS'!O75</f>
        <v>0</v>
      </c>
    </row>
    <row r="74" spans="1:37" s="7" customFormat="1" ht="12.75">
      <c r="A74" s="30" t="s">
        <v>67</v>
      </c>
      <c r="B74" s="30"/>
      <c r="C74" s="88">
        <v>12760334</v>
      </c>
      <c r="D74" s="88"/>
      <c r="E74" s="88">
        <v>8404188</v>
      </c>
      <c r="F74" s="88"/>
      <c r="G74" s="88">
        <v>12496607</v>
      </c>
      <c r="H74" s="88"/>
      <c r="I74" s="88">
        <v>222914</v>
      </c>
      <c r="J74" s="88"/>
      <c r="K74" s="88">
        <v>0</v>
      </c>
      <c r="L74" s="88"/>
      <c r="M74" s="88">
        <v>809723</v>
      </c>
      <c r="N74" s="88"/>
      <c r="O74" s="152">
        <v>0</v>
      </c>
      <c r="P74" s="88"/>
      <c r="Q74" s="88">
        <v>0</v>
      </c>
      <c r="R74" s="88"/>
      <c r="S74" s="88">
        <v>0</v>
      </c>
      <c r="T74" s="56"/>
      <c r="U74" s="88">
        <v>0</v>
      </c>
      <c r="V74" s="88"/>
      <c r="W74" s="88">
        <v>0</v>
      </c>
      <c r="X74" s="88"/>
      <c r="Y74" s="88">
        <v>0</v>
      </c>
      <c r="Z74" s="88"/>
      <c r="AA74" s="88">
        <v>0</v>
      </c>
      <c r="AB74" s="88"/>
      <c r="AC74" s="56">
        <f aca="true" t="shared" si="2" ref="AC74:AC95">SUM(C74:AA74)</f>
        <v>34693766</v>
      </c>
      <c r="AD74" s="37"/>
      <c r="AE74" s="88">
        <v>149897</v>
      </c>
      <c r="AG74" s="88">
        <v>11758647</v>
      </c>
      <c r="AK74" s="7">
        <f>+GenRev!Q76-GenExp!AC74-AE74+GenRev!S76+AG74+AI74-'Gen Fd BS'!O76</f>
        <v>0</v>
      </c>
    </row>
    <row r="75" spans="1:37" s="7" customFormat="1" ht="12.75">
      <c r="A75" s="30" t="s">
        <v>68</v>
      </c>
      <c r="B75" s="30"/>
      <c r="C75" s="88">
        <v>2954383</v>
      </c>
      <c r="D75" s="88"/>
      <c r="E75" s="88">
        <v>1607776</v>
      </c>
      <c r="F75" s="88"/>
      <c r="G75" s="88">
        <v>4098587</v>
      </c>
      <c r="H75" s="88"/>
      <c r="I75" s="88">
        <v>49680</v>
      </c>
      <c r="J75" s="88"/>
      <c r="K75" s="88">
        <v>57439</v>
      </c>
      <c r="L75" s="88"/>
      <c r="M75" s="88">
        <v>313400</v>
      </c>
      <c r="N75" s="88"/>
      <c r="O75" s="88">
        <v>0</v>
      </c>
      <c r="P75" s="88"/>
      <c r="Q75" s="88">
        <v>0</v>
      </c>
      <c r="R75" s="88"/>
      <c r="S75" s="88">
        <v>0</v>
      </c>
      <c r="T75" s="56"/>
      <c r="U75" s="88">
        <v>0</v>
      </c>
      <c r="V75" s="88"/>
      <c r="W75" s="88">
        <v>262724</v>
      </c>
      <c r="X75" s="88"/>
      <c r="Y75" s="88">
        <v>0</v>
      </c>
      <c r="Z75" s="88"/>
      <c r="AA75" s="88">
        <v>0</v>
      </c>
      <c r="AB75" s="88"/>
      <c r="AC75" s="56">
        <f t="shared" si="2"/>
        <v>9343989</v>
      </c>
      <c r="AD75" s="37"/>
      <c r="AE75" s="88">
        <v>500584</v>
      </c>
      <c r="AG75" s="88">
        <v>2333128</v>
      </c>
      <c r="AK75" s="7">
        <f>+GenRev!Q77-GenExp!AC75-AE75+GenRev!S77+AG75+AI75-'Gen Fd BS'!O77</f>
        <v>0</v>
      </c>
    </row>
    <row r="76" spans="1:37" s="7" customFormat="1" ht="12.75" hidden="1">
      <c r="A76" s="30" t="s">
        <v>180</v>
      </c>
      <c r="B76" s="30"/>
      <c r="C76" s="88">
        <v>0</v>
      </c>
      <c r="D76" s="88"/>
      <c r="E76" s="88">
        <v>0</v>
      </c>
      <c r="F76" s="88"/>
      <c r="G76" s="88">
        <v>0</v>
      </c>
      <c r="H76" s="88"/>
      <c r="I76" s="88">
        <v>0</v>
      </c>
      <c r="J76" s="88"/>
      <c r="K76" s="88">
        <v>0</v>
      </c>
      <c r="L76" s="88"/>
      <c r="M76" s="88">
        <v>0</v>
      </c>
      <c r="N76" s="88"/>
      <c r="O76" s="88">
        <v>0</v>
      </c>
      <c r="P76" s="88"/>
      <c r="Q76" s="88">
        <v>0</v>
      </c>
      <c r="R76" s="88"/>
      <c r="S76" s="88">
        <v>0</v>
      </c>
      <c r="T76" s="56"/>
      <c r="U76" s="88">
        <v>0</v>
      </c>
      <c r="V76" s="88"/>
      <c r="W76" s="88">
        <v>0</v>
      </c>
      <c r="X76" s="88"/>
      <c r="Y76" s="88">
        <v>0</v>
      </c>
      <c r="Z76" s="88"/>
      <c r="AA76" s="88">
        <v>0</v>
      </c>
      <c r="AB76" s="88"/>
      <c r="AC76" s="56">
        <f t="shared" si="2"/>
        <v>0</v>
      </c>
      <c r="AD76" s="37"/>
      <c r="AE76" s="88">
        <v>0</v>
      </c>
      <c r="AG76" s="88">
        <v>0</v>
      </c>
      <c r="AK76" s="7">
        <f>+GenRev!Q78-GenExp!AC76-AE76+GenRev!S78+AG76+AI76-'Gen Fd BS'!O78</f>
        <v>0</v>
      </c>
    </row>
    <row r="77" spans="1:37" s="7" customFormat="1" ht="12.75">
      <c r="A77" s="30" t="s">
        <v>185</v>
      </c>
      <c r="B77" s="30"/>
      <c r="C77" s="88">
        <v>8163683</v>
      </c>
      <c r="D77" s="88"/>
      <c r="E77" s="88">
        <v>5067569</v>
      </c>
      <c r="F77" s="88"/>
      <c r="G77" s="88">
        <v>10271306</v>
      </c>
      <c r="H77" s="88"/>
      <c r="I77" s="88">
        <v>526204</v>
      </c>
      <c r="J77" s="88"/>
      <c r="K77" s="88">
        <v>580902</v>
      </c>
      <c r="L77" s="88"/>
      <c r="M77" s="88">
        <v>595477</v>
      </c>
      <c r="N77" s="88"/>
      <c r="O77" s="88">
        <v>0</v>
      </c>
      <c r="P77" s="88"/>
      <c r="Q77" s="88">
        <v>181376</v>
      </c>
      <c r="R77" s="88"/>
      <c r="S77" s="88">
        <v>67845</v>
      </c>
      <c r="T77" s="56"/>
      <c r="U77" s="88">
        <v>0</v>
      </c>
      <c r="V77" s="88"/>
      <c r="W77" s="88">
        <v>1807321</v>
      </c>
      <c r="X77" s="88"/>
      <c r="Y77" s="88">
        <v>0</v>
      </c>
      <c r="Z77" s="88"/>
      <c r="AA77" s="88">
        <v>0</v>
      </c>
      <c r="AB77" s="88"/>
      <c r="AC77" s="56">
        <f t="shared" si="2"/>
        <v>27261683</v>
      </c>
      <c r="AD77" s="37"/>
      <c r="AE77" s="88">
        <v>2120158</v>
      </c>
      <c r="AG77" s="88">
        <v>4409777</v>
      </c>
      <c r="AK77" s="7">
        <f>+GenRev!Q79-GenExp!AC77-AE77+GenRev!S79+AG77+AI77-'Gen Fd BS'!O79</f>
        <v>0</v>
      </c>
    </row>
    <row r="78" spans="1:37" s="7" customFormat="1" ht="12.75">
      <c r="A78" s="30" t="s">
        <v>69</v>
      </c>
      <c r="B78" s="30"/>
      <c r="C78" s="88">
        <v>5107127</v>
      </c>
      <c r="D78" s="88"/>
      <c r="E78" s="88">
        <v>2939360</v>
      </c>
      <c r="F78" s="88"/>
      <c r="G78" s="88">
        <v>1202490</v>
      </c>
      <c r="H78" s="88"/>
      <c r="I78" s="88">
        <v>382456</v>
      </c>
      <c r="J78" s="88"/>
      <c r="K78" s="88">
        <v>648540</v>
      </c>
      <c r="L78" s="88"/>
      <c r="M78" s="88">
        <v>513063</v>
      </c>
      <c r="N78" s="88"/>
      <c r="O78" s="88">
        <v>232970</v>
      </c>
      <c r="P78" s="88"/>
      <c r="Q78" s="88">
        <v>0</v>
      </c>
      <c r="R78" s="88"/>
      <c r="S78" s="88">
        <v>0</v>
      </c>
      <c r="T78" s="56"/>
      <c r="U78" s="88">
        <v>0</v>
      </c>
      <c r="V78" s="88"/>
      <c r="W78" s="88">
        <v>0</v>
      </c>
      <c r="X78" s="88"/>
      <c r="Y78" s="88">
        <v>118460</v>
      </c>
      <c r="Z78" s="88"/>
      <c r="AA78" s="88">
        <v>12525</v>
      </c>
      <c r="AB78" s="88"/>
      <c r="AC78" s="56">
        <f t="shared" si="2"/>
        <v>11156991</v>
      </c>
      <c r="AD78" s="37"/>
      <c r="AE78" s="88">
        <v>7654877</v>
      </c>
      <c r="AG78" s="88">
        <v>4092878</v>
      </c>
      <c r="AK78" s="7">
        <f>+GenRev!Q80-GenExp!AC78-AE78+GenRev!S80+AG78+AI78-'Gen Fd BS'!O80</f>
        <v>0</v>
      </c>
    </row>
    <row r="79" spans="1:37" s="7" customFormat="1" ht="12.75">
      <c r="A79" s="30" t="s">
        <v>98</v>
      </c>
      <c r="B79" s="30"/>
      <c r="C79" s="88">
        <v>4249107</v>
      </c>
      <c r="D79" s="88"/>
      <c r="E79" s="88">
        <v>2977209</v>
      </c>
      <c r="F79" s="88"/>
      <c r="G79" s="88">
        <v>6510422</v>
      </c>
      <c r="H79" s="88"/>
      <c r="I79" s="88">
        <v>87053</v>
      </c>
      <c r="J79" s="88"/>
      <c r="K79" s="88">
        <v>64769</v>
      </c>
      <c r="L79" s="88"/>
      <c r="M79" s="88">
        <v>1316018</v>
      </c>
      <c r="N79" s="88"/>
      <c r="O79" s="88">
        <v>0</v>
      </c>
      <c r="P79" s="88"/>
      <c r="Q79" s="88">
        <v>0</v>
      </c>
      <c r="R79" s="88"/>
      <c r="S79" s="88">
        <v>327889</v>
      </c>
      <c r="T79" s="56"/>
      <c r="U79" s="88">
        <v>471457</v>
      </c>
      <c r="V79" s="88"/>
      <c r="W79" s="88">
        <v>188000</v>
      </c>
      <c r="X79" s="88"/>
      <c r="Y79" s="88">
        <v>166646</v>
      </c>
      <c r="Z79" s="88"/>
      <c r="AA79" s="88">
        <v>0</v>
      </c>
      <c r="AB79" s="88"/>
      <c r="AC79" s="56">
        <f t="shared" si="2"/>
        <v>16358570</v>
      </c>
      <c r="AD79" s="37"/>
      <c r="AE79" s="88">
        <v>754419</v>
      </c>
      <c r="AG79" s="88">
        <v>4968272</v>
      </c>
      <c r="AK79" s="7">
        <f>+GenRev!Q81-GenExp!AC79-AE79+GenRev!S81+AG79+AI79-'Gen Fd BS'!O81</f>
        <v>0</v>
      </c>
    </row>
    <row r="80" spans="1:37" s="7" customFormat="1" ht="12.75">
      <c r="A80" s="30" t="s">
        <v>70</v>
      </c>
      <c r="B80" s="30"/>
      <c r="C80" s="88">
        <v>6721564</v>
      </c>
      <c r="D80" s="88"/>
      <c r="E80" s="88">
        <v>1814574</v>
      </c>
      <c r="F80" s="88"/>
      <c r="G80" s="88">
        <f>2630089+434431</f>
        <v>3064520</v>
      </c>
      <c r="H80" s="88"/>
      <c r="I80" s="88">
        <v>10414</v>
      </c>
      <c r="J80" s="88"/>
      <c r="K80" s="88">
        <v>214515</v>
      </c>
      <c r="L80" s="88"/>
      <c r="M80" s="88">
        <v>345877</v>
      </c>
      <c r="N80" s="88"/>
      <c r="O80" s="88">
        <v>98605</v>
      </c>
      <c r="P80" s="88"/>
      <c r="Q80" s="88">
        <v>218098</v>
      </c>
      <c r="R80" s="88"/>
      <c r="S80" s="88">
        <v>0</v>
      </c>
      <c r="T80" s="56"/>
      <c r="U80" s="88">
        <v>0</v>
      </c>
      <c r="V80" s="88"/>
      <c r="W80" s="88">
        <v>0</v>
      </c>
      <c r="X80" s="88"/>
      <c r="Y80" s="88">
        <v>636792</v>
      </c>
      <c r="Z80" s="88"/>
      <c r="AA80" s="88">
        <v>31712</v>
      </c>
      <c r="AB80" s="88"/>
      <c r="AC80" s="56">
        <f t="shared" si="2"/>
        <v>13156671</v>
      </c>
      <c r="AD80" s="37"/>
      <c r="AE80" s="88">
        <v>2303676</v>
      </c>
      <c r="AG80" s="88">
        <v>2065885</v>
      </c>
      <c r="AK80" s="7">
        <f>+GenRev!Q82-GenExp!AC80-AE80+GenRev!S82+AG80+AI80-'Gen Fd BS'!O82</f>
        <v>0</v>
      </c>
    </row>
    <row r="81" spans="1:37" s="125" customFormat="1" ht="12.75">
      <c r="A81" s="79" t="s">
        <v>71</v>
      </c>
      <c r="B81" s="79"/>
      <c r="C81" s="89">
        <v>4272531</v>
      </c>
      <c r="D81" s="89"/>
      <c r="E81" s="89">
        <v>2149404</v>
      </c>
      <c r="F81" s="89"/>
      <c r="G81" s="89">
        <v>4638649</v>
      </c>
      <c r="H81" s="89"/>
      <c r="I81" s="89">
        <v>41745</v>
      </c>
      <c r="J81" s="89"/>
      <c r="K81" s="89">
        <v>33863</v>
      </c>
      <c r="L81" s="89"/>
      <c r="M81" s="89">
        <v>436261</v>
      </c>
      <c r="N81" s="89"/>
      <c r="O81" s="89">
        <v>39039</v>
      </c>
      <c r="P81" s="89"/>
      <c r="Q81" s="89">
        <v>800326</v>
      </c>
      <c r="R81" s="89"/>
      <c r="S81" s="89">
        <v>0</v>
      </c>
      <c r="T81" s="137"/>
      <c r="U81" s="89">
        <v>0</v>
      </c>
      <c r="V81" s="89"/>
      <c r="W81" s="89">
        <v>0</v>
      </c>
      <c r="X81" s="89"/>
      <c r="Y81" s="89">
        <v>0</v>
      </c>
      <c r="Z81" s="89"/>
      <c r="AA81" s="89">
        <v>0</v>
      </c>
      <c r="AB81" s="89"/>
      <c r="AC81" s="137">
        <f t="shared" si="2"/>
        <v>12411818</v>
      </c>
      <c r="AD81" s="138"/>
      <c r="AE81" s="89">
        <v>3102165</v>
      </c>
      <c r="AG81" s="89">
        <v>3550895</v>
      </c>
      <c r="AK81" s="125">
        <f>+GenRev!Q83-GenExp!AC81-AE81+GenRev!S83+AG81+AI81-'Gen Fd BS'!O83</f>
        <v>0</v>
      </c>
    </row>
    <row r="82" spans="1:37" s="125" customFormat="1" ht="12.75">
      <c r="A82" s="79" t="s">
        <v>72</v>
      </c>
      <c r="B82" s="79"/>
      <c r="C82" s="89">
        <v>3486346</v>
      </c>
      <c r="D82" s="89"/>
      <c r="E82" s="89">
        <v>1909718</v>
      </c>
      <c r="F82" s="89"/>
      <c r="G82" s="89">
        <v>4021229</v>
      </c>
      <c r="H82" s="89"/>
      <c r="I82" s="89">
        <v>864366</v>
      </c>
      <c r="J82" s="89"/>
      <c r="K82" s="89">
        <v>81959</v>
      </c>
      <c r="L82" s="89"/>
      <c r="M82" s="89">
        <v>469620</v>
      </c>
      <c r="N82" s="89"/>
      <c r="O82" s="89">
        <v>0</v>
      </c>
      <c r="P82" s="89"/>
      <c r="Q82" s="89">
        <v>0</v>
      </c>
      <c r="R82" s="89"/>
      <c r="S82" s="89">
        <v>0</v>
      </c>
      <c r="T82" s="137"/>
      <c r="U82" s="89">
        <v>0</v>
      </c>
      <c r="V82" s="89"/>
      <c r="W82" s="89">
        <v>414455</v>
      </c>
      <c r="X82" s="89"/>
      <c r="Y82" s="89">
        <v>8665</v>
      </c>
      <c r="Z82" s="89"/>
      <c r="AA82" s="89">
        <v>1740</v>
      </c>
      <c r="AB82" s="89"/>
      <c r="AC82" s="137">
        <f t="shared" si="2"/>
        <v>11258098</v>
      </c>
      <c r="AD82" s="138"/>
      <c r="AE82" s="89">
        <v>316751</v>
      </c>
      <c r="AG82" s="89">
        <v>2005133</v>
      </c>
      <c r="AK82" s="125">
        <f>+GenRev!Q84-GenExp!AC82-AE82+GenRev!S84+AG82+AI82-'Gen Fd BS'!O84</f>
        <v>0</v>
      </c>
    </row>
    <row r="83" spans="1:37" s="7" customFormat="1" ht="12.75">
      <c r="A83" s="30" t="s">
        <v>73</v>
      </c>
      <c r="B83" s="30"/>
      <c r="C83" s="89">
        <v>13469083</v>
      </c>
      <c r="D83" s="89"/>
      <c r="E83" s="89">
        <v>11774421</v>
      </c>
      <c r="F83" s="89"/>
      <c r="G83" s="89">
        <v>18793564</v>
      </c>
      <c r="H83" s="89"/>
      <c r="I83" s="89">
        <v>2169784</v>
      </c>
      <c r="J83" s="89"/>
      <c r="K83" s="89">
        <v>0</v>
      </c>
      <c r="L83" s="89"/>
      <c r="M83" s="89">
        <v>992988</v>
      </c>
      <c r="N83" s="89"/>
      <c r="O83" s="89">
        <v>0</v>
      </c>
      <c r="P83" s="89"/>
      <c r="Q83" s="89">
        <v>0</v>
      </c>
      <c r="R83" s="89"/>
      <c r="S83" s="89">
        <v>867147</v>
      </c>
      <c r="T83" s="137"/>
      <c r="U83" s="89">
        <v>0</v>
      </c>
      <c r="V83" s="89"/>
      <c r="W83" s="89">
        <v>6463026</v>
      </c>
      <c r="X83" s="89"/>
      <c r="Y83" s="89">
        <v>108453</v>
      </c>
      <c r="Z83" s="89"/>
      <c r="AA83" s="89">
        <v>5553</v>
      </c>
      <c r="AB83" s="88"/>
      <c r="AC83" s="56">
        <f t="shared" si="2"/>
        <v>54644019</v>
      </c>
      <c r="AD83" s="37"/>
      <c r="AE83" s="89">
        <v>215784</v>
      </c>
      <c r="AG83" s="89">
        <v>13806345</v>
      </c>
      <c r="AK83" s="7">
        <f>+GenRev!Q85-GenExp!AC83-AE83+GenRev!S85+AG83+AI83-'Gen Fd BS'!O85</f>
        <v>0</v>
      </c>
    </row>
    <row r="84" spans="1:37" s="7" customFormat="1" ht="12.75">
      <c r="A84" s="30" t="s">
        <v>74</v>
      </c>
      <c r="B84" s="30"/>
      <c r="C84" s="88">
        <v>22472337</v>
      </c>
      <c r="D84" s="88"/>
      <c r="E84" s="88">
        <v>25084503</v>
      </c>
      <c r="F84" s="88"/>
      <c r="G84" s="88">
        <v>52097079</v>
      </c>
      <c r="H84" s="88"/>
      <c r="I84" s="88">
        <v>0</v>
      </c>
      <c r="J84" s="88"/>
      <c r="K84" s="88">
        <v>544336</v>
      </c>
      <c r="L84" s="88"/>
      <c r="M84" s="88">
        <v>2746119</v>
      </c>
      <c r="N84" s="88"/>
      <c r="O84" s="88">
        <v>0</v>
      </c>
      <c r="P84" s="88"/>
      <c r="Q84" s="88">
        <v>0</v>
      </c>
      <c r="R84" s="88"/>
      <c r="S84" s="88">
        <v>1281357</v>
      </c>
      <c r="T84" s="56"/>
      <c r="U84" s="88">
        <v>0</v>
      </c>
      <c r="V84" s="88"/>
      <c r="W84" s="88">
        <v>201888</v>
      </c>
      <c r="X84" s="88"/>
      <c r="Y84" s="88">
        <v>0</v>
      </c>
      <c r="Z84" s="88"/>
      <c r="AA84" s="88">
        <v>0</v>
      </c>
      <c r="AB84" s="88"/>
      <c r="AC84" s="56">
        <f t="shared" si="2"/>
        <v>104427619</v>
      </c>
      <c r="AD84" s="37"/>
      <c r="AE84" s="88">
        <v>7425717</v>
      </c>
      <c r="AG84" s="88">
        <v>72353214</v>
      </c>
      <c r="AK84" s="7">
        <f>+GenRev!Q86-GenExp!AC84-AE84+GenRev!S86+AG84+AI84-'Gen Fd BS'!O86</f>
        <v>0</v>
      </c>
    </row>
    <row r="85" spans="1:37" s="7" customFormat="1" ht="12.75">
      <c r="A85" s="30" t="s">
        <v>75</v>
      </c>
      <c r="B85" s="30"/>
      <c r="C85" s="88">
        <v>14473277</v>
      </c>
      <c r="D85" s="88"/>
      <c r="E85" s="88">
        <v>9601939</v>
      </c>
      <c r="F85" s="88"/>
      <c r="G85" s="88">
        <v>10241866</v>
      </c>
      <c r="H85" s="88"/>
      <c r="I85" s="88">
        <v>0</v>
      </c>
      <c r="J85" s="88"/>
      <c r="K85" s="88">
        <v>0</v>
      </c>
      <c r="L85" s="88"/>
      <c r="M85" s="88">
        <v>677034</v>
      </c>
      <c r="N85" s="88"/>
      <c r="O85" s="88">
        <v>0</v>
      </c>
      <c r="P85" s="88"/>
      <c r="Q85" s="88">
        <v>0</v>
      </c>
      <c r="R85" s="88"/>
      <c r="S85" s="88">
        <v>37884</v>
      </c>
      <c r="T85" s="56"/>
      <c r="U85" s="88">
        <v>0</v>
      </c>
      <c r="V85" s="88"/>
      <c r="W85" s="88">
        <v>0</v>
      </c>
      <c r="X85" s="88"/>
      <c r="Y85" s="88">
        <v>43813</v>
      </c>
      <c r="Z85" s="88"/>
      <c r="AA85" s="88">
        <v>1145</v>
      </c>
      <c r="AB85" s="88"/>
      <c r="AC85" s="56">
        <f t="shared" si="2"/>
        <v>35076958</v>
      </c>
      <c r="AD85" s="37"/>
      <c r="AE85" s="88">
        <v>3480281</v>
      </c>
      <c r="AG85" s="88">
        <v>5660538</v>
      </c>
      <c r="AK85" s="7">
        <f>+GenRev!Q87-GenExp!AC85-AE85+GenRev!S87+AG85+AI85-'Gen Fd BS'!O87</f>
        <v>0</v>
      </c>
    </row>
    <row r="86" spans="1:37" s="7" customFormat="1" ht="12.75">
      <c r="A86" s="30" t="s">
        <v>76</v>
      </c>
      <c r="B86" s="30"/>
      <c r="C86" s="88">
        <v>4273598</v>
      </c>
      <c r="D86" s="88"/>
      <c r="E86" s="88">
        <v>3485361</v>
      </c>
      <c r="F86" s="88"/>
      <c r="G86" s="88">
        <v>2460437</v>
      </c>
      <c r="H86" s="88"/>
      <c r="I86" s="88">
        <v>141819</v>
      </c>
      <c r="J86" s="88"/>
      <c r="K86" s="88">
        <v>120232</v>
      </c>
      <c r="L86" s="88"/>
      <c r="M86" s="88">
        <v>717396</v>
      </c>
      <c r="N86" s="88"/>
      <c r="O86" s="88">
        <v>0</v>
      </c>
      <c r="P86" s="88"/>
      <c r="Q86" s="88">
        <v>436415</v>
      </c>
      <c r="R86" s="88"/>
      <c r="S86" s="88">
        <v>0</v>
      </c>
      <c r="T86" s="56"/>
      <c r="U86" s="88">
        <v>0</v>
      </c>
      <c r="V86" s="88"/>
      <c r="W86" s="88">
        <v>1612199</v>
      </c>
      <c r="X86" s="88"/>
      <c r="Y86" s="88">
        <v>23285</v>
      </c>
      <c r="Z86" s="88"/>
      <c r="AA86" s="88">
        <v>2664</v>
      </c>
      <c r="AB86" s="88"/>
      <c r="AC86" s="56">
        <f t="shared" si="2"/>
        <v>13273406</v>
      </c>
      <c r="AD86" s="37"/>
      <c r="AE86" s="88">
        <v>7608589</v>
      </c>
      <c r="AG86" s="88">
        <v>14143629</v>
      </c>
      <c r="AK86" s="7">
        <f>+GenRev!Q88-GenExp!AC86-AE86+GenRev!S88+AG86+AI86-'Gen Fd BS'!O88</f>
        <v>0</v>
      </c>
    </row>
    <row r="87" spans="1:33" s="7" customFormat="1" ht="12.75">
      <c r="A87" s="30"/>
      <c r="B87" s="30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56"/>
      <c r="U87" s="88"/>
      <c r="V87" s="88"/>
      <c r="W87" s="88"/>
      <c r="X87" s="88"/>
      <c r="Y87" s="88"/>
      <c r="Z87" s="88"/>
      <c r="AA87" s="88"/>
      <c r="AB87" s="88"/>
      <c r="AC87" s="56" t="s">
        <v>242</v>
      </c>
      <c r="AD87" s="37"/>
      <c r="AE87" s="88"/>
      <c r="AG87" s="88"/>
    </row>
    <row r="88" spans="1:37" s="7" customFormat="1" ht="12.75">
      <c r="A88" s="30" t="s">
        <v>77</v>
      </c>
      <c r="B88" s="30"/>
      <c r="C88" s="146">
        <v>7052170</v>
      </c>
      <c r="D88" s="146"/>
      <c r="E88" s="146">
        <v>1705122</v>
      </c>
      <c r="F88" s="146"/>
      <c r="G88" s="146">
        <v>4519786</v>
      </c>
      <c r="H88" s="146"/>
      <c r="I88" s="146">
        <v>114420</v>
      </c>
      <c r="J88" s="146"/>
      <c r="K88" s="146">
        <v>147591</v>
      </c>
      <c r="L88" s="146"/>
      <c r="M88" s="146">
        <v>1424198</v>
      </c>
      <c r="N88" s="146"/>
      <c r="O88" s="146">
        <v>163408</v>
      </c>
      <c r="P88" s="146"/>
      <c r="Q88" s="146">
        <v>0</v>
      </c>
      <c r="R88" s="146"/>
      <c r="S88" s="146">
        <v>0</v>
      </c>
      <c r="T88" s="144"/>
      <c r="U88" s="146">
        <v>0</v>
      </c>
      <c r="V88" s="146"/>
      <c r="W88" s="146">
        <v>0</v>
      </c>
      <c r="X88" s="146"/>
      <c r="Y88" s="146">
        <v>0</v>
      </c>
      <c r="Z88" s="146"/>
      <c r="AA88" s="146">
        <v>0</v>
      </c>
      <c r="AB88" s="146"/>
      <c r="AC88" s="144">
        <f t="shared" si="2"/>
        <v>15126695</v>
      </c>
      <c r="AD88" s="37"/>
      <c r="AE88" s="146">
        <v>1264233</v>
      </c>
      <c r="AG88" s="146">
        <v>3837616</v>
      </c>
      <c r="AI88" s="7">
        <v>38380</v>
      </c>
      <c r="AK88" s="7">
        <f>+GenRev!Q89-GenExp!AC88-AE88+GenRev!S89+AG88+AI88-'Gen Fd BS'!O89</f>
        <v>0</v>
      </c>
    </row>
    <row r="89" spans="1:37" s="7" customFormat="1" ht="12.75">
      <c r="A89" s="30" t="s">
        <v>78</v>
      </c>
      <c r="B89" s="30"/>
      <c r="C89" s="88">
        <v>2664984</v>
      </c>
      <c r="D89" s="88"/>
      <c r="E89" s="88">
        <v>1248170</v>
      </c>
      <c r="F89" s="88"/>
      <c r="G89" s="88">
        <v>2543886</v>
      </c>
      <c r="H89" s="88"/>
      <c r="I89" s="88">
        <v>13576</v>
      </c>
      <c r="J89" s="88"/>
      <c r="K89" s="88">
        <v>11383</v>
      </c>
      <c r="L89" s="88"/>
      <c r="M89" s="88">
        <v>232063</v>
      </c>
      <c r="N89" s="88"/>
      <c r="O89" s="88">
        <v>0</v>
      </c>
      <c r="P89" s="88"/>
      <c r="Q89" s="88">
        <v>68742</v>
      </c>
      <c r="R89" s="88"/>
      <c r="S89" s="88">
        <v>0</v>
      </c>
      <c r="T89" s="56"/>
      <c r="U89" s="88">
        <v>0</v>
      </c>
      <c r="V89" s="88"/>
      <c r="W89" s="88">
        <v>274618</v>
      </c>
      <c r="X89" s="88"/>
      <c r="Y89" s="88">
        <v>0</v>
      </c>
      <c r="Z89" s="88"/>
      <c r="AA89" s="88">
        <v>0</v>
      </c>
      <c r="AB89" s="88"/>
      <c r="AC89" s="56">
        <f t="shared" si="2"/>
        <v>7057422</v>
      </c>
      <c r="AD89" s="37"/>
      <c r="AE89" s="88">
        <v>379903</v>
      </c>
      <c r="AG89" s="88">
        <v>1516281</v>
      </c>
      <c r="AK89" s="7">
        <f>+GenRev!Q90-GenExp!AC89-AE89+GenRev!S90+AG89+AI89-'Gen Fd BS'!O90</f>
        <v>0</v>
      </c>
    </row>
    <row r="90" spans="1:37" s="7" customFormat="1" ht="12.75">
      <c r="A90" s="30" t="s">
        <v>79</v>
      </c>
      <c r="B90" s="30"/>
      <c r="C90" s="88">
        <v>934573</v>
      </c>
      <c r="D90" s="88"/>
      <c r="E90" s="88">
        <v>286298</v>
      </c>
      <c r="F90" s="88"/>
      <c r="G90" s="88">
        <v>626012</v>
      </c>
      <c r="H90" s="88"/>
      <c r="I90" s="88">
        <v>230359</v>
      </c>
      <c r="J90" s="88"/>
      <c r="K90" s="88">
        <v>27420</v>
      </c>
      <c r="L90" s="88"/>
      <c r="M90" s="88">
        <v>92240</v>
      </c>
      <c r="N90" s="88"/>
      <c r="O90" s="88">
        <v>0</v>
      </c>
      <c r="P90" s="88"/>
      <c r="Q90" s="88">
        <v>0</v>
      </c>
      <c r="R90" s="88"/>
      <c r="S90" s="88">
        <v>462053</v>
      </c>
      <c r="T90" s="56"/>
      <c r="U90" s="88">
        <v>0</v>
      </c>
      <c r="V90" s="88"/>
      <c r="W90" s="88">
        <v>0</v>
      </c>
      <c r="X90" s="88"/>
      <c r="Y90" s="88">
        <v>0</v>
      </c>
      <c r="Z90" s="88"/>
      <c r="AA90" s="88">
        <v>0</v>
      </c>
      <c r="AB90" s="88"/>
      <c r="AC90" s="56">
        <f t="shared" si="2"/>
        <v>2658955</v>
      </c>
      <c r="AD90" s="37"/>
      <c r="AE90" s="88">
        <v>153814</v>
      </c>
      <c r="AG90" s="88">
        <v>252421</v>
      </c>
      <c r="AK90" s="7">
        <f>+GenRev!Q91-GenExp!AC90-AE90+GenRev!S91+AG90+AI90-'Gen Fd BS'!O91</f>
        <v>0</v>
      </c>
    </row>
    <row r="91" spans="1:37" s="7" customFormat="1" ht="12.75">
      <c r="A91" s="30" t="s">
        <v>80</v>
      </c>
      <c r="B91" s="30"/>
      <c r="C91" s="88">
        <v>16191830</v>
      </c>
      <c r="D91" s="88"/>
      <c r="E91" s="88">
        <v>6316670</v>
      </c>
      <c r="F91" s="88"/>
      <c r="G91" s="88">
        <v>17972197</v>
      </c>
      <c r="H91" s="88"/>
      <c r="I91" s="88">
        <v>0</v>
      </c>
      <c r="J91" s="88"/>
      <c r="K91" s="88">
        <v>0</v>
      </c>
      <c r="L91" s="88"/>
      <c r="M91" s="88">
        <v>895043</v>
      </c>
      <c r="N91" s="88"/>
      <c r="O91" s="88">
        <v>472</v>
      </c>
      <c r="P91" s="88"/>
      <c r="Q91" s="88">
        <v>0</v>
      </c>
      <c r="R91" s="88"/>
      <c r="S91" s="88">
        <v>0</v>
      </c>
      <c r="T91" s="56"/>
      <c r="U91" s="88">
        <v>0</v>
      </c>
      <c r="V91" s="88"/>
      <c r="W91" s="88">
        <v>0</v>
      </c>
      <c r="X91" s="88"/>
      <c r="Y91" s="88">
        <v>6984</v>
      </c>
      <c r="Z91" s="88"/>
      <c r="AA91" s="88">
        <v>3243</v>
      </c>
      <c r="AB91" s="88"/>
      <c r="AC91" s="56">
        <f t="shared" si="2"/>
        <v>41386439</v>
      </c>
      <c r="AD91" s="37"/>
      <c r="AE91" s="88">
        <v>14353414</v>
      </c>
      <c r="AG91" s="88">
        <v>21571625</v>
      </c>
      <c r="AI91" s="7">
        <v>-3651</v>
      </c>
      <c r="AK91" s="7">
        <f>+GenRev!Q92-GenExp!AC91-AE91+GenRev!S92+AG91+AI91-'Gen Fd BS'!O92</f>
        <v>0</v>
      </c>
    </row>
    <row r="92" spans="1:37" s="7" customFormat="1" ht="12.75">
      <c r="A92" s="30" t="s">
        <v>81</v>
      </c>
      <c r="B92" s="30"/>
      <c r="C92" s="88">
        <v>4656449</v>
      </c>
      <c r="D92" s="88"/>
      <c r="E92" s="88">
        <v>1033425</v>
      </c>
      <c r="F92" s="88"/>
      <c r="G92" s="88">
        <v>6465180</v>
      </c>
      <c r="H92" s="88"/>
      <c r="I92" s="88">
        <v>3117131</v>
      </c>
      <c r="J92" s="88"/>
      <c r="K92" s="88">
        <v>66868</v>
      </c>
      <c r="L92" s="88"/>
      <c r="M92" s="88">
        <v>437256</v>
      </c>
      <c r="N92" s="88"/>
      <c r="O92" s="88">
        <v>0</v>
      </c>
      <c r="P92" s="88"/>
      <c r="Q92" s="88">
        <v>0</v>
      </c>
      <c r="R92" s="88"/>
      <c r="S92" s="88">
        <v>10000</v>
      </c>
      <c r="T92" s="56"/>
      <c r="U92" s="88">
        <v>0</v>
      </c>
      <c r="V92" s="88"/>
      <c r="W92" s="88">
        <v>0</v>
      </c>
      <c r="X92" s="88"/>
      <c r="Y92" s="88">
        <v>0</v>
      </c>
      <c r="Z92" s="88"/>
      <c r="AA92" s="88">
        <v>2536</v>
      </c>
      <c r="AB92" s="88"/>
      <c r="AC92" s="56">
        <f t="shared" si="2"/>
        <v>15788845</v>
      </c>
      <c r="AD92" s="37"/>
      <c r="AE92" s="88">
        <f>88000+2206147</f>
        <v>2294147</v>
      </c>
      <c r="AG92" s="88">
        <v>7939306</v>
      </c>
      <c r="AK92" s="7">
        <f>+GenRev!Q93-GenExp!AC92-AE92+GenRev!S93+AG92+AI92-'Gen Fd BS'!O93</f>
        <v>0</v>
      </c>
    </row>
    <row r="93" spans="1:37" s="7" customFormat="1" ht="12.75">
      <c r="A93" s="30" t="s">
        <v>82</v>
      </c>
      <c r="B93" s="30"/>
      <c r="C93" s="88">
        <v>7894868</v>
      </c>
      <c r="D93" s="88"/>
      <c r="E93" s="88">
        <v>4173526</v>
      </c>
      <c r="F93" s="88"/>
      <c r="G93" s="88">
        <v>8190867</v>
      </c>
      <c r="H93" s="88"/>
      <c r="I93" s="88">
        <v>157203</v>
      </c>
      <c r="J93" s="88"/>
      <c r="K93" s="88">
        <v>217775</v>
      </c>
      <c r="L93" s="88"/>
      <c r="M93" s="88">
        <v>776003</v>
      </c>
      <c r="N93" s="88"/>
      <c r="O93" s="88">
        <v>0</v>
      </c>
      <c r="P93" s="88"/>
      <c r="Q93" s="88">
        <v>64179</v>
      </c>
      <c r="R93" s="88"/>
      <c r="S93" s="88">
        <v>900016</v>
      </c>
      <c r="T93" s="56"/>
      <c r="U93" s="88">
        <v>0</v>
      </c>
      <c r="V93" s="88"/>
      <c r="W93" s="88">
        <v>0</v>
      </c>
      <c r="X93" s="88"/>
      <c r="Y93" s="88">
        <v>0</v>
      </c>
      <c r="Z93" s="88"/>
      <c r="AA93" s="88">
        <v>0</v>
      </c>
      <c r="AB93" s="88"/>
      <c r="AC93" s="56">
        <f t="shared" si="2"/>
        <v>22374437</v>
      </c>
      <c r="AD93" s="37"/>
      <c r="AE93" s="88">
        <v>2450282</v>
      </c>
      <c r="AG93" s="88">
        <v>7542532</v>
      </c>
      <c r="AI93" s="7">
        <v>12169</v>
      </c>
      <c r="AK93" s="7">
        <f>+GenRev!Q94-GenExp!AC93-AE93+GenRev!S94+AG93+AI93-'Gen Fd BS'!O94</f>
        <v>0</v>
      </c>
    </row>
    <row r="94" spans="1:37" s="7" customFormat="1" ht="12.75" hidden="1">
      <c r="A94" s="30" t="s">
        <v>178</v>
      </c>
      <c r="B94" s="30"/>
      <c r="C94" s="88">
        <v>0</v>
      </c>
      <c r="D94" s="88"/>
      <c r="E94" s="88">
        <v>0</v>
      </c>
      <c r="F94" s="88"/>
      <c r="G94" s="88">
        <v>0</v>
      </c>
      <c r="H94" s="88"/>
      <c r="I94" s="88">
        <v>0</v>
      </c>
      <c r="J94" s="88"/>
      <c r="K94" s="88">
        <v>0</v>
      </c>
      <c r="L94" s="88"/>
      <c r="M94" s="88">
        <v>0</v>
      </c>
      <c r="N94" s="88"/>
      <c r="O94" s="88">
        <v>0</v>
      </c>
      <c r="P94" s="88"/>
      <c r="Q94" s="88">
        <v>0</v>
      </c>
      <c r="R94" s="88"/>
      <c r="S94" s="88">
        <v>0</v>
      </c>
      <c r="T94" s="56"/>
      <c r="U94" s="88">
        <v>0</v>
      </c>
      <c r="V94" s="88"/>
      <c r="W94" s="88">
        <v>0</v>
      </c>
      <c r="X94" s="88"/>
      <c r="Y94" s="88">
        <v>0</v>
      </c>
      <c r="Z94" s="88"/>
      <c r="AA94" s="88">
        <v>0</v>
      </c>
      <c r="AB94" s="88"/>
      <c r="AC94" s="56">
        <f t="shared" si="2"/>
        <v>0</v>
      </c>
      <c r="AD94" s="37"/>
      <c r="AE94" s="88">
        <v>0</v>
      </c>
      <c r="AG94" s="88">
        <v>0</v>
      </c>
      <c r="AK94" s="7">
        <f>+'[1]GenRev'!Q92-'[1]GenExp'!AC92-AE94+'[1]GenRev'!S92+AG94+AI94-'[1]Gen Fd BS'!O94</f>
        <v>0</v>
      </c>
    </row>
    <row r="95" spans="1:37" s="7" customFormat="1" ht="12.75">
      <c r="A95" s="30" t="s">
        <v>83</v>
      </c>
      <c r="B95" s="30"/>
      <c r="C95" s="88">
        <v>15442161</v>
      </c>
      <c r="D95" s="88"/>
      <c r="E95" s="88">
        <v>5953350</v>
      </c>
      <c r="F95" s="88"/>
      <c r="G95" s="88">
        <v>7199633</v>
      </c>
      <c r="H95" s="88"/>
      <c r="I95" s="88">
        <v>420307</v>
      </c>
      <c r="J95" s="88"/>
      <c r="K95" s="88">
        <v>112795</v>
      </c>
      <c r="L95" s="88"/>
      <c r="M95" s="88">
        <v>434774</v>
      </c>
      <c r="N95" s="88"/>
      <c r="O95" s="88">
        <v>0</v>
      </c>
      <c r="P95" s="88"/>
      <c r="Q95" s="88">
        <v>108715</v>
      </c>
      <c r="R95" s="88"/>
      <c r="S95" s="88">
        <v>345967</v>
      </c>
      <c r="T95" s="56"/>
      <c r="U95" s="88">
        <v>0</v>
      </c>
      <c r="V95" s="88"/>
      <c r="W95" s="88">
        <v>427016</v>
      </c>
      <c r="X95" s="88"/>
      <c r="Y95" s="88">
        <v>5849</v>
      </c>
      <c r="Z95" s="88"/>
      <c r="AA95" s="88">
        <v>431</v>
      </c>
      <c r="AB95" s="88"/>
      <c r="AC95" s="56">
        <f t="shared" si="2"/>
        <v>30450998</v>
      </c>
      <c r="AD95" s="37"/>
      <c r="AE95" s="88">
        <v>2754903</v>
      </c>
      <c r="AG95" s="88">
        <v>8521874</v>
      </c>
      <c r="AK95" s="7">
        <f>+GenRev!Q96-GenExp!AC95-AE95+GenRev!S96+AG95+AI95-'Gen Fd BS'!O96</f>
        <v>0</v>
      </c>
    </row>
    <row r="96" spans="1:37" s="7" customFormat="1" ht="12.75" hidden="1">
      <c r="A96" s="30" t="s">
        <v>179</v>
      </c>
      <c r="B96" s="30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37"/>
      <c r="AE96" s="6"/>
      <c r="AK96" s="7">
        <f>+GenRev!Q97-GenExp!AC96-AE96+GenRev!S97+AG96+AI96-'Gen Fd BS'!O97</f>
        <v>0</v>
      </c>
    </row>
    <row r="97" spans="1:31" s="7" customFormat="1" ht="12.75">
      <c r="A97" s="30"/>
      <c r="B97" s="30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6"/>
    </row>
    <row r="98" spans="1:31" s="7" customFormat="1" ht="12.75">
      <c r="A98" s="30"/>
      <c r="B98" s="30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6"/>
    </row>
    <row r="99" spans="1:31" s="7" customFormat="1" ht="12.75">
      <c r="A99" s="6"/>
      <c r="B99" s="6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6"/>
    </row>
    <row r="100" spans="1:31" s="7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s="7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s="7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s="7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  <row r="519" s="7" customFormat="1" ht="12.75"/>
    <row r="520" s="7" customFormat="1" ht="12.75"/>
    <row r="521" s="7" customFormat="1" ht="12.75"/>
    <row r="522" s="7" customFormat="1" ht="12.75"/>
    <row r="523" s="7" customFormat="1" ht="12.75"/>
    <row r="524" s="7" customFormat="1" ht="12.75"/>
    <row r="525" s="7" customFormat="1" ht="12.75"/>
    <row r="526" s="7" customFormat="1" ht="12.75"/>
    <row r="527" s="7" customFormat="1" ht="12.75"/>
    <row r="528" s="7" customFormat="1" ht="12.75"/>
    <row r="529" s="7" customFormat="1" ht="12.75"/>
    <row r="530" s="7" customFormat="1" ht="12.75"/>
    <row r="531" s="7" customFormat="1" ht="12.75"/>
    <row r="532" s="7" customFormat="1" ht="12.75"/>
    <row r="533" s="7" customFormat="1" ht="12.75"/>
    <row r="534" s="7" customFormat="1" ht="12.75"/>
    <row r="535" s="7" customFormat="1" ht="12.75"/>
    <row r="536" s="7" customFormat="1" ht="12.75"/>
    <row r="537" s="7" customFormat="1" ht="12.75"/>
    <row r="538" s="7" customFormat="1" ht="12.75"/>
    <row r="539" s="7" customFormat="1" ht="12.75"/>
    <row r="540" s="7" customFormat="1" ht="12.75"/>
    <row r="541" s="7" customFormat="1" ht="12.75"/>
    <row r="542" s="7" customFormat="1" ht="12.75"/>
    <row r="543" s="7" customFormat="1" ht="12.75"/>
    <row r="544" s="7" customFormat="1" ht="12.75"/>
    <row r="545" s="7" customFormat="1" ht="12.75"/>
    <row r="546" s="7" customFormat="1" ht="12.75"/>
    <row r="547" s="7" customFormat="1" ht="12.75"/>
    <row r="548" s="7" customFormat="1" ht="12.75"/>
    <row r="549" s="7" customFormat="1" ht="12.75"/>
    <row r="550" s="7" customFormat="1" ht="12.75"/>
    <row r="551" s="7" customFormat="1" ht="12.75"/>
    <row r="552" s="7" customFormat="1" ht="12.75"/>
    <row r="553" s="7" customFormat="1" ht="12.75"/>
    <row r="554" s="7" customFormat="1" ht="12.75"/>
    <row r="555" s="7" customFormat="1" ht="12.75"/>
    <row r="556" s="7" customFormat="1" ht="12.75"/>
    <row r="557" s="7" customFormat="1" ht="12.75"/>
    <row r="558" s="7" customFormat="1" ht="12.75"/>
    <row r="559" s="7" customFormat="1" ht="12.75"/>
    <row r="560" s="7" customFormat="1" ht="12.75"/>
    <row r="561" s="7" customFormat="1" ht="12.75"/>
    <row r="562" s="7" customFormat="1" ht="12.75"/>
    <row r="563" s="7" customFormat="1" ht="12.75"/>
    <row r="564" s="7" customFormat="1" ht="12.75"/>
    <row r="565" s="7" customFormat="1" ht="12.75"/>
    <row r="566" s="7" customFormat="1" ht="12.75"/>
    <row r="567" s="7" customFormat="1" ht="12.75"/>
    <row r="568" s="7" customFormat="1" ht="12.75"/>
    <row r="569" s="7" customFormat="1" ht="12.75"/>
    <row r="570" s="7" customFormat="1" ht="12.75"/>
    <row r="571" s="7" customFormat="1" ht="12.75"/>
    <row r="572" s="7" customFormat="1" ht="12.75"/>
    <row r="573" s="7" customFormat="1" ht="12.75"/>
    <row r="574" s="7" customFormat="1" ht="12.75"/>
    <row r="575" s="7" customFormat="1" ht="12.75"/>
    <row r="576" s="7" customFormat="1" ht="12.75"/>
    <row r="577" s="7" customFormat="1" ht="12.75"/>
    <row r="578" s="7" customFormat="1" ht="12.75"/>
    <row r="579" s="7" customFormat="1" ht="12.75"/>
    <row r="580" s="7" customFormat="1" ht="12.75"/>
    <row r="581" s="7" customFormat="1" ht="12.75"/>
    <row r="582" s="7" customFormat="1" ht="12.75"/>
    <row r="583" s="7" customFormat="1" ht="12.75"/>
    <row r="584" s="7" customFormat="1" ht="12.75"/>
    <row r="585" s="7" customFormat="1" ht="12.75"/>
    <row r="586" s="7" customFormat="1" ht="12.75"/>
    <row r="587" s="7" customFormat="1" ht="12.75"/>
    <row r="588" s="7" customFormat="1" ht="12.75"/>
    <row r="589" s="7" customFormat="1" ht="12.75"/>
    <row r="590" s="7" customFormat="1" ht="12.75"/>
    <row r="591" s="7" customFormat="1" ht="12.75"/>
    <row r="592" s="7" customFormat="1" ht="12.75"/>
    <row r="593" s="7" customFormat="1" ht="12.75"/>
    <row r="594" s="7" customFormat="1" ht="12.75"/>
    <row r="595" s="7" customFormat="1" ht="12.75"/>
    <row r="596" s="7" customFormat="1" ht="12.75"/>
    <row r="597" s="7" customFormat="1" ht="12.75"/>
    <row r="598" s="7" customFormat="1" ht="12.75"/>
    <row r="599" s="7" customFormat="1" ht="12.75"/>
    <row r="600" s="7" customFormat="1" ht="12.75"/>
    <row r="601" s="7" customFormat="1" ht="12.75"/>
    <row r="602" s="7" customFormat="1" ht="12.75"/>
  </sheetData>
  <printOptions/>
  <pageMargins left="1" right="1" top="0.5" bottom="0.5" header="0" footer="0.25"/>
  <pageSetup firstPageNumber="28" useFirstPageNumber="1" horizontalDpi="600" verticalDpi="600" orientation="portrait" pageOrder="overThenDown" scale="77" r:id="rId1"/>
  <headerFooter alignWithMargins="0">
    <oddFooter>&amp;C&amp;"Times New Roman,Regular"&amp;11&amp;P</oddFooter>
  </headerFooter>
  <rowBreaks count="1" manualBreakCount="1">
    <brk id="87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IU104"/>
  <sheetViews>
    <sheetView workbookViewId="0" topLeftCell="A1">
      <pane xSplit="1" ySplit="7" topLeftCell="D58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Q98" sqref="Q98"/>
    </sheetView>
  </sheetViews>
  <sheetFormatPr defaultColWidth="9.140625" defaultRowHeight="12.75"/>
  <cols>
    <col min="1" max="1" width="16.28125" style="114" customWidth="1"/>
    <col min="2" max="2" width="1.7109375" style="114" customWidth="1"/>
    <col min="3" max="3" width="11.7109375" style="114" customWidth="1"/>
    <col min="4" max="4" width="1.7109375" style="114" customWidth="1"/>
    <col min="5" max="5" width="11.7109375" style="114" customWidth="1"/>
    <col min="6" max="6" width="1.7109375" style="114" customWidth="1"/>
    <col min="7" max="7" width="11.7109375" style="114" customWidth="1"/>
    <col min="8" max="8" width="1.7109375" style="114" customWidth="1"/>
    <col min="9" max="9" width="11.7109375" style="114" customWidth="1"/>
    <col min="10" max="10" width="1.7109375" style="114" customWidth="1"/>
    <col min="11" max="11" width="11.7109375" style="114" customWidth="1"/>
    <col min="12" max="12" width="1.7109375" style="114" customWidth="1"/>
    <col min="13" max="13" width="12.7109375" style="114" customWidth="1"/>
    <col min="14" max="14" width="1.7109375" style="114" customWidth="1"/>
    <col min="15" max="15" width="12.7109375" style="114" customWidth="1"/>
    <col min="16" max="16" width="1.7109375" style="114" customWidth="1"/>
    <col min="17" max="17" width="12.7109375" style="114" customWidth="1"/>
    <col min="18" max="18" width="10.140625" style="69" bestFit="1" customWidth="1"/>
    <col min="19" max="19" width="13.28125" style="69" bestFit="1" customWidth="1"/>
    <col min="20" max="16384" width="9.140625" style="69" customWidth="1"/>
  </cols>
  <sheetData>
    <row r="1" spans="1:18" s="112" customFormat="1" ht="12.75">
      <c r="A1" s="34" t="s">
        <v>213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35"/>
    </row>
    <row r="2" spans="1:18" s="112" customFormat="1" ht="12.75">
      <c r="A2" s="34" t="s">
        <v>254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35"/>
    </row>
    <row r="3" spans="1:18" s="112" customFormat="1" ht="12.75">
      <c r="A3" s="3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35"/>
    </row>
    <row r="4" spans="1:18" ht="12.75">
      <c r="A4" s="24" t="s">
        <v>191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6"/>
    </row>
    <row r="5" spans="1:19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6"/>
      <c r="S5" s="69" t="s">
        <v>105</v>
      </c>
    </row>
    <row r="6" spans="1:19" ht="12.75">
      <c r="A6" s="21"/>
      <c r="B6" s="21"/>
      <c r="C6" s="21" t="s">
        <v>151</v>
      </c>
      <c r="D6" s="21"/>
      <c r="E6" s="21" t="s">
        <v>171</v>
      </c>
      <c r="F6" s="21"/>
      <c r="G6" s="21" t="s">
        <v>105</v>
      </c>
      <c r="H6" s="21"/>
      <c r="I6" s="21" t="s">
        <v>0</v>
      </c>
      <c r="J6" s="21"/>
      <c r="K6" s="21" t="s">
        <v>1</v>
      </c>
      <c r="L6" s="21"/>
      <c r="M6" s="21" t="s">
        <v>2</v>
      </c>
      <c r="N6" s="21"/>
      <c r="O6" s="21" t="s">
        <v>3</v>
      </c>
      <c r="P6" s="21"/>
      <c r="Q6" s="21" t="s">
        <v>4</v>
      </c>
      <c r="R6" s="26"/>
      <c r="S6" s="69" t="s">
        <v>219</v>
      </c>
    </row>
    <row r="7" spans="1:255" ht="12.75">
      <c r="A7" s="22" t="s">
        <v>5</v>
      </c>
      <c r="B7" s="21"/>
      <c r="C7" s="22" t="s">
        <v>243</v>
      </c>
      <c r="D7" s="30"/>
      <c r="E7" s="22" t="s">
        <v>6</v>
      </c>
      <c r="F7" s="30"/>
      <c r="G7" s="22" t="s">
        <v>6</v>
      </c>
      <c r="H7" s="30"/>
      <c r="I7" s="22" t="s">
        <v>8</v>
      </c>
      <c r="J7" s="30"/>
      <c r="K7" s="22" t="s">
        <v>9</v>
      </c>
      <c r="L7" s="30"/>
      <c r="M7" s="22" t="s">
        <v>10</v>
      </c>
      <c r="N7" s="30"/>
      <c r="O7" s="22" t="s">
        <v>11</v>
      </c>
      <c r="P7" s="30"/>
      <c r="Q7" s="22" t="s">
        <v>12</v>
      </c>
      <c r="R7" s="38"/>
      <c r="S7" s="113" t="s">
        <v>220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</row>
    <row r="8" spans="1:255" ht="12.75">
      <c r="A8" s="71"/>
      <c r="B8" s="21"/>
      <c r="C8" s="71"/>
      <c r="D8" s="30"/>
      <c r="E8" s="71"/>
      <c r="F8" s="30"/>
      <c r="G8" s="71"/>
      <c r="H8" s="30"/>
      <c r="I8" s="71"/>
      <c r="J8" s="30"/>
      <c r="K8" s="71"/>
      <c r="L8" s="30"/>
      <c r="M8" s="71"/>
      <c r="N8" s="30"/>
      <c r="O8" s="71"/>
      <c r="P8" s="30"/>
      <c r="Q8" s="71"/>
      <c r="R8" s="38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</row>
    <row r="9" spans="1:255" ht="12.75">
      <c r="A9" s="32" t="s">
        <v>13</v>
      </c>
      <c r="B9" s="32"/>
      <c r="C9" s="146">
        <v>11750893</v>
      </c>
      <c r="D9" s="146"/>
      <c r="E9" s="146">
        <v>14451517</v>
      </c>
      <c r="F9" s="146"/>
      <c r="G9" s="146">
        <v>0</v>
      </c>
      <c r="H9" s="146"/>
      <c r="I9" s="146">
        <v>8241386</v>
      </c>
      <c r="J9" s="146"/>
      <c r="K9" s="146">
        <v>37044675</v>
      </c>
      <c r="L9" s="146"/>
      <c r="M9" s="146">
        <v>1087148</v>
      </c>
      <c r="N9" s="145"/>
      <c r="O9" s="145">
        <f>Q9-C9-E9-G9-I9-K9-M9</f>
        <v>9627780</v>
      </c>
      <c r="P9" s="145"/>
      <c r="Q9" s="146">
        <v>82203399</v>
      </c>
      <c r="R9" s="38"/>
      <c r="S9" s="146">
        <f>14580+6435670+3255000+1282277</f>
        <v>10987527</v>
      </c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</row>
    <row r="10" spans="1:255" ht="12.75">
      <c r="A10" s="32" t="s">
        <v>14</v>
      </c>
      <c r="B10" s="32"/>
      <c r="C10" s="88">
        <v>6336139</v>
      </c>
      <c r="D10" s="88"/>
      <c r="E10" s="88">
        <v>6043597</v>
      </c>
      <c r="F10" s="88"/>
      <c r="G10" s="88">
        <v>172485</v>
      </c>
      <c r="H10" s="88"/>
      <c r="I10" s="88">
        <v>3284947</v>
      </c>
      <c r="J10" s="88"/>
      <c r="K10" s="88">
        <v>18643431</v>
      </c>
      <c r="L10" s="88"/>
      <c r="M10" s="88">
        <v>0</v>
      </c>
      <c r="N10" s="64"/>
      <c r="O10" s="64">
        <f aca="true" t="shared" si="0" ref="O10:O26">Q10-C10-E10-G10-I10-K10-M10</f>
        <v>2306754</v>
      </c>
      <c r="P10" s="64"/>
      <c r="Q10" s="88">
        <v>36787353</v>
      </c>
      <c r="R10" s="38"/>
      <c r="S10" s="88">
        <v>1062503</v>
      </c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</row>
    <row r="11" spans="1:255" ht="12.75">
      <c r="A11" s="32" t="s">
        <v>15</v>
      </c>
      <c r="B11" s="32"/>
      <c r="C11" s="88">
        <v>16703355</v>
      </c>
      <c r="D11" s="88"/>
      <c r="E11" s="88">
        <v>8682584</v>
      </c>
      <c r="F11" s="88"/>
      <c r="G11" s="88">
        <v>0</v>
      </c>
      <c r="H11" s="88"/>
      <c r="I11" s="88">
        <v>12157715</v>
      </c>
      <c r="J11" s="88"/>
      <c r="K11" s="88">
        <v>54830541</v>
      </c>
      <c r="L11" s="88"/>
      <c r="M11" s="88">
        <v>225129</v>
      </c>
      <c r="N11" s="64"/>
      <c r="O11" s="64">
        <f t="shared" si="0"/>
        <v>2563494</v>
      </c>
      <c r="P11" s="64"/>
      <c r="Q11" s="88">
        <v>95162818</v>
      </c>
      <c r="R11" s="38"/>
      <c r="S11" s="88">
        <f>336030+93251+6120287</f>
        <v>6549568</v>
      </c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</row>
    <row r="12" spans="1:255" ht="12.75">
      <c r="A12" s="32" t="s">
        <v>16</v>
      </c>
      <c r="B12" s="32"/>
      <c r="C12" s="88">
        <v>8971221</v>
      </c>
      <c r="D12" s="88"/>
      <c r="E12" s="88">
        <v>5808439</v>
      </c>
      <c r="F12" s="88"/>
      <c r="G12" s="88">
        <v>0</v>
      </c>
      <c r="H12" s="88"/>
      <c r="I12" s="88">
        <v>3801085</v>
      </c>
      <c r="J12" s="88"/>
      <c r="K12" s="88">
        <v>30080724</v>
      </c>
      <c r="L12" s="88"/>
      <c r="M12" s="88">
        <v>0</v>
      </c>
      <c r="N12" s="64"/>
      <c r="O12" s="64">
        <f t="shared" si="0"/>
        <v>3148990</v>
      </c>
      <c r="P12" s="64"/>
      <c r="Q12" s="88">
        <v>51810459</v>
      </c>
      <c r="R12" s="38"/>
      <c r="S12" s="88">
        <f>2830+143896+914000+12529+1184866</f>
        <v>2258121</v>
      </c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</row>
    <row r="13" spans="1:255" ht="12.75">
      <c r="A13" s="32" t="s">
        <v>17</v>
      </c>
      <c r="B13" s="32"/>
      <c r="C13" s="88">
        <v>6075315</v>
      </c>
      <c r="D13" s="88"/>
      <c r="E13" s="88">
        <v>7033883</v>
      </c>
      <c r="F13" s="88"/>
      <c r="G13" s="88">
        <v>400975</v>
      </c>
      <c r="H13" s="88"/>
      <c r="I13" s="88">
        <v>2423320</v>
      </c>
      <c r="J13" s="88"/>
      <c r="K13" s="88">
        <v>14087362</v>
      </c>
      <c r="L13" s="88"/>
      <c r="M13" s="88">
        <v>539301</v>
      </c>
      <c r="N13" s="64"/>
      <c r="O13" s="64">
        <f t="shared" si="0"/>
        <v>1001190</v>
      </c>
      <c r="P13" s="64"/>
      <c r="Q13" s="88">
        <v>31561346</v>
      </c>
      <c r="R13" s="38"/>
      <c r="S13" s="88">
        <f>15086+582687+107539+475000+514910</f>
        <v>1695222</v>
      </c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</row>
    <row r="14" spans="1:255" ht="12.75">
      <c r="A14" s="32" t="s">
        <v>18</v>
      </c>
      <c r="B14" s="32"/>
      <c r="C14" s="88">
        <v>9255773</v>
      </c>
      <c r="D14" s="88"/>
      <c r="E14" s="88">
        <v>12067903</v>
      </c>
      <c r="F14" s="88"/>
      <c r="G14" s="88">
        <v>0</v>
      </c>
      <c r="H14" s="88"/>
      <c r="I14" s="88">
        <v>4903667</v>
      </c>
      <c r="J14" s="88"/>
      <c r="K14" s="88">
        <v>29702720</v>
      </c>
      <c r="L14" s="88"/>
      <c r="M14" s="88">
        <v>0</v>
      </c>
      <c r="N14" s="64"/>
      <c r="O14" s="64">
        <f t="shared" si="0"/>
        <v>3924577</v>
      </c>
      <c r="P14" s="64"/>
      <c r="Q14" s="88">
        <v>59854640</v>
      </c>
      <c r="R14" s="38"/>
      <c r="S14" s="88">
        <f>3480000+12853+18369+4843029</f>
        <v>8354251</v>
      </c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</row>
    <row r="15" spans="1:255" ht="12.75" hidden="1">
      <c r="A15" s="32" t="s">
        <v>96</v>
      </c>
      <c r="B15" s="32"/>
      <c r="C15" s="88">
        <v>0</v>
      </c>
      <c r="D15" s="88"/>
      <c r="E15" s="88">
        <v>0</v>
      </c>
      <c r="F15" s="88"/>
      <c r="G15" s="88">
        <v>0</v>
      </c>
      <c r="H15" s="88"/>
      <c r="I15" s="88">
        <v>0</v>
      </c>
      <c r="J15" s="88"/>
      <c r="K15" s="88">
        <v>0</v>
      </c>
      <c r="L15" s="88"/>
      <c r="M15" s="88">
        <v>0</v>
      </c>
      <c r="N15" s="64"/>
      <c r="O15" s="64">
        <f t="shared" si="0"/>
        <v>0</v>
      </c>
      <c r="P15" s="64"/>
      <c r="Q15" s="88">
        <v>0</v>
      </c>
      <c r="R15" s="38"/>
      <c r="S15" s="88">
        <v>0</v>
      </c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</row>
    <row r="16" spans="1:255" ht="12.75">
      <c r="A16" s="32" t="s">
        <v>19</v>
      </c>
      <c r="B16" s="32"/>
      <c r="C16" s="88">
        <v>67978516</v>
      </c>
      <c r="D16" s="88"/>
      <c r="E16" s="88">
        <v>0</v>
      </c>
      <c r="F16" s="88"/>
      <c r="G16" s="88">
        <v>0</v>
      </c>
      <c r="H16" s="88"/>
      <c r="I16" s="88">
        <v>54430214</v>
      </c>
      <c r="J16" s="88"/>
      <c r="K16" s="88">
        <v>115938364</v>
      </c>
      <c r="L16" s="88"/>
      <c r="M16" s="88">
        <v>3437822</v>
      </c>
      <c r="N16" s="64"/>
      <c r="O16" s="64">
        <f t="shared" si="0"/>
        <v>6511294</v>
      </c>
      <c r="P16" s="64"/>
      <c r="Q16" s="88">
        <v>248296210</v>
      </c>
      <c r="R16" s="38"/>
      <c r="S16" s="88">
        <f>470259+15470000+10350000+8905000+768868+11851+6100441</f>
        <v>42076419</v>
      </c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</row>
    <row r="17" spans="1:255" ht="12.75">
      <c r="A17" s="32" t="s">
        <v>20</v>
      </c>
      <c r="B17" s="32"/>
      <c r="C17" s="88">
        <v>4117451</v>
      </c>
      <c r="D17" s="88"/>
      <c r="E17" s="88">
        <v>1724716</v>
      </c>
      <c r="F17" s="88"/>
      <c r="G17" s="88">
        <v>0</v>
      </c>
      <c r="H17" s="88"/>
      <c r="I17" s="88">
        <v>2468841</v>
      </c>
      <c r="J17" s="88"/>
      <c r="K17" s="88">
        <v>12575450</v>
      </c>
      <c r="L17" s="88"/>
      <c r="M17" s="88">
        <v>8518</v>
      </c>
      <c r="N17" s="64"/>
      <c r="O17" s="64">
        <f t="shared" si="0"/>
        <v>1742002</v>
      </c>
      <c r="P17" s="64"/>
      <c r="Q17" s="88">
        <v>22636978</v>
      </c>
      <c r="R17" s="38"/>
      <c r="S17" s="88">
        <v>265708</v>
      </c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</row>
    <row r="18" spans="1:255" ht="12.75" hidden="1">
      <c r="A18" s="30" t="s">
        <v>177</v>
      </c>
      <c r="B18" s="30"/>
      <c r="C18" s="88">
        <v>0</v>
      </c>
      <c r="D18" s="88"/>
      <c r="E18" s="88">
        <v>0</v>
      </c>
      <c r="F18" s="88"/>
      <c r="G18" s="88">
        <v>0</v>
      </c>
      <c r="H18" s="88"/>
      <c r="I18" s="88">
        <v>0</v>
      </c>
      <c r="J18" s="88"/>
      <c r="K18" s="88">
        <v>0</v>
      </c>
      <c r="L18" s="88"/>
      <c r="M18" s="88">
        <v>0</v>
      </c>
      <c r="N18" s="64"/>
      <c r="O18" s="64">
        <f t="shared" si="0"/>
        <v>0</v>
      </c>
      <c r="P18" s="64"/>
      <c r="Q18" s="88">
        <v>0</v>
      </c>
      <c r="R18" s="38"/>
      <c r="S18" s="88">
        <v>0</v>
      </c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</row>
    <row r="19" spans="1:255" ht="12.75">
      <c r="A19" s="32" t="s">
        <v>21</v>
      </c>
      <c r="B19" s="32"/>
      <c r="C19" s="88">
        <v>18309439</v>
      </c>
      <c r="D19" s="88"/>
      <c r="E19" s="88">
        <v>16077939</v>
      </c>
      <c r="F19" s="88"/>
      <c r="G19" s="88">
        <v>0</v>
      </c>
      <c r="H19" s="88"/>
      <c r="I19" s="88">
        <v>19818767</v>
      </c>
      <c r="J19" s="88"/>
      <c r="K19" s="88">
        <v>56244198</v>
      </c>
      <c r="L19" s="88"/>
      <c r="M19" s="88">
        <v>45431</v>
      </c>
      <c r="N19" s="64"/>
      <c r="O19" s="64">
        <f t="shared" si="0"/>
        <v>5610410</v>
      </c>
      <c r="P19" s="64"/>
      <c r="Q19" s="88">
        <v>116106184</v>
      </c>
      <c r="R19" s="38"/>
      <c r="S19" s="88">
        <f>58021+1463814+19719034</f>
        <v>21240869</v>
      </c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</row>
    <row r="20" spans="1:255" ht="12.75">
      <c r="A20" s="32" t="s">
        <v>188</v>
      </c>
      <c r="B20" s="32"/>
      <c r="C20" s="88">
        <v>39894619</v>
      </c>
      <c r="D20" s="88"/>
      <c r="E20" s="88">
        <v>0</v>
      </c>
      <c r="F20" s="88"/>
      <c r="G20" s="88">
        <v>0</v>
      </c>
      <c r="H20" s="88"/>
      <c r="I20" s="88">
        <v>18480378</v>
      </c>
      <c r="J20" s="88"/>
      <c r="K20" s="88">
        <v>48006870</v>
      </c>
      <c r="L20" s="88"/>
      <c r="M20" s="88">
        <v>1126869</v>
      </c>
      <c r="N20" s="64"/>
      <c r="O20" s="64">
        <f t="shared" si="0"/>
        <v>8561653</v>
      </c>
      <c r="P20" s="64"/>
      <c r="Q20" s="88">
        <v>116070389</v>
      </c>
      <c r="R20" s="38"/>
      <c r="S20" s="88">
        <f>10186363+107132+1850000</f>
        <v>12143495</v>
      </c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</row>
    <row r="21" spans="1:255" ht="12.75">
      <c r="A21" s="32" t="s">
        <v>22</v>
      </c>
      <c r="B21" s="32"/>
      <c r="C21" s="88">
        <v>5210041</v>
      </c>
      <c r="D21" s="88"/>
      <c r="E21" s="88">
        <v>5364309</v>
      </c>
      <c r="F21" s="88"/>
      <c r="G21" s="88">
        <v>0</v>
      </c>
      <c r="H21" s="88"/>
      <c r="I21" s="88">
        <v>5394994</v>
      </c>
      <c r="J21" s="88"/>
      <c r="K21" s="88">
        <v>12013640</v>
      </c>
      <c r="L21" s="88"/>
      <c r="M21" s="88">
        <v>112014</v>
      </c>
      <c r="N21" s="64"/>
      <c r="O21" s="64">
        <f t="shared" si="0"/>
        <v>4321481</v>
      </c>
      <c r="P21" s="64"/>
      <c r="Q21" s="88">
        <v>32416479</v>
      </c>
      <c r="R21" s="38"/>
      <c r="S21" s="88">
        <f>237962+326483</f>
        <v>564445</v>
      </c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</row>
    <row r="22" spans="1:255" ht="12.75" hidden="1">
      <c r="A22" s="32" t="s">
        <v>23</v>
      </c>
      <c r="B22" s="32"/>
      <c r="C22" s="88">
        <v>0</v>
      </c>
      <c r="D22" s="88"/>
      <c r="E22" s="88">
        <v>0</v>
      </c>
      <c r="F22" s="88"/>
      <c r="G22" s="88">
        <v>0</v>
      </c>
      <c r="H22" s="88"/>
      <c r="I22" s="88">
        <v>0</v>
      </c>
      <c r="J22" s="88"/>
      <c r="K22" s="88">
        <v>0</v>
      </c>
      <c r="L22" s="88"/>
      <c r="M22" s="88">
        <v>0</v>
      </c>
      <c r="N22" s="64"/>
      <c r="O22" s="64">
        <f t="shared" si="0"/>
        <v>0</v>
      </c>
      <c r="P22" s="64"/>
      <c r="Q22" s="88">
        <v>0</v>
      </c>
      <c r="R22" s="38"/>
      <c r="S22" s="88">
        <v>0</v>
      </c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  <c r="IU22" s="113"/>
    </row>
    <row r="23" spans="1:255" ht="12.75" hidden="1">
      <c r="A23" s="32" t="s">
        <v>24</v>
      </c>
      <c r="B23" s="32"/>
      <c r="C23" s="88">
        <v>0</v>
      </c>
      <c r="D23" s="88"/>
      <c r="E23" s="88">
        <v>0</v>
      </c>
      <c r="F23" s="88"/>
      <c r="G23" s="88">
        <v>0</v>
      </c>
      <c r="H23" s="88"/>
      <c r="I23" s="88">
        <v>0</v>
      </c>
      <c r="J23" s="88"/>
      <c r="K23" s="88">
        <v>0</v>
      </c>
      <c r="L23" s="88"/>
      <c r="M23" s="88">
        <v>0</v>
      </c>
      <c r="N23" s="64"/>
      <c r="O23" s="64">
        <f t="shared" si="0"/>
        <v>0</v>
      </c>
      <c r="P23" s="64"/>
      <c r="Q23" s="88">
        <v>0</v>
      </c>
      <c r="R23" s="38"/>
      <c r="S23" s="88">
        <v>0</v>
      </c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3"/>
    </row>
    <row r="24" spans="1:255" ht="12.75">
      <c r="A24" s="32" t="s">
        <v>186</v>
      </c>
      <c r="B24" s="32"/>
      <c r="C24" s="88">
        <v>4915233</v>
      </c>
      <c r="D24" s="88"/>
      <c r="E24" s="88">
        <v>5084380</v>
      </c>
      <c r="F24" s="88"/>
      <c r="G24" s="88">
        <v>0</v>
      </c>
      <c r="H24" s="88"/>
      <c r="I24" s="88">
        <v>153793</v>
      </c>
      <c r="J24" s="88"/>
      <c r="K24" s="88">
        <v>14910722</v>
      </c>
      <c r="L24" s="88"/>
      <c r="M24" s="88">
        <v>153793</v>
      </c>
      <c r="N24" s="64"/>
      <c r="O24" s="64">
        <f t="shared" si="0"/>
        <v>8565379</v>
      </c>
      <c r="P24" s="64"/>
      <c r="Q24" s="88">
        <v>33783300</v>
      </c>
      <c r="R24" s="38"/>
      <c r="S24" s="88">
        <f>2900000+72830+1397046</f>
        <v>4369876</v>
      </c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</row>
    <row r="25" spans="1:255" ht="12.75">
      <c r="A25" s="32" t="s">
        <v>25</v>
      </c>
      <c r="B25" s="32"/>
      <c r="C25" s="88">
        <v>313675000</v>
      </c>
      <c r="D25" s="88"/>
      <c r="E25" s="88">
        <v>167156000</v>
      </c>
      <c r="F25" s="88"/>
      <c r="G25" s="88">
        <v>28683000</v>
      </c>
      <c r="H25" s="88"/>
      <c r="I25" s="88">
        <v>86912000</v>
      </c>
      <c r="J25" s="88"/>
      <c r="K25" s="88">
        <v>703236000</v>
      </c>
      <c r="L25" s="88"/>
      <c r="M25" s="88">
        <v>0</v>
      </c>
      <c r="N25" s="64"/>
      <c r="O25" s="64">
        <f t="shared" si="0"/>
        <v>80220000</v>
      </c>
      <c r="P25" s="64"/>
      <c r="Q25" s="88">
        <v>1379882000</v>
      </c>
      <c r="R25" s="38"/>
      <c r="S25" s="88">
        <f>167903000+80020000</f>
        <v>247923000</v>
      </c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</row>
    <row r="26" spans="1:255" ht="12.75">
      <c r="A26" s="32" t="s">
        <v>26</v>
      </c>
      <c r="B26" s="32"/>
      <c r="C26" s="88">
        <v>9931256</v>
      </c>
      <c r="D26" s="88"/>
      <c r="E26" s="88">
        <v>0</v>
      </c>
      <c r="F26" s="88"/>
      <c r="G26" s="88">
        <v>0</v>
      </c>
      <c r="H26" s="88"/>
      <c r="I26" s="88">
        <v>3380094</v>
      </c>
      <c r="J26" s="88"/>
      <c r="K26" s="88">
        <v>14569724</v>
      </c>
      <c r="L26" s="88"/>
      <c r="M26" s="88">
        <v>16724</v>
      </c>
      <c r="N26" s="64"/>
      <c r="O26" s="64">
        <f t="shared" si="0"/>
        <v>2585769</v>
      </c>
      <c r="P26" s="64"/>
      <c r="Q26" s="88">
        <v>30483567</v>
      </c>
      <c r="R26" s="38"/>
      <c r="S26" s="88">
        <f>6800+125000+2962117</f>
        <v>3093917</v>
      </c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</row>
    <row r="27" spans="1:255" ht="12.75">
      <c r="A27" s="32" t="s">
        <v>27</v>
      </c>
      <c r="B27" s="32"/>
      <c r="C27" s="88">
        <v>5229559</v>
      </c>
      <c r="D27" s="88"/>
      <c r="E27" s="88">
        <v>4479950</v>
      </c>
      <c r="F27" s="88"/>
      <c r="G27" s="88">
        <v>0</v>
      </c>
      <c r="H27" s="88"/>
      <c r="I27" s="88">
        <v>2887571</v>
      </c>
      <c r="J27" s="88"/>
      <c r="K27" s="88">
        <v>14386127</v>
      </c>
      <c r="L27" s="88"/>
      <c r="M27" s="88">
        <v>0</v>
      </c>
      <c r="N27" s="64"/>
      <c r="O27" s="64">
        <f aca="true" t="shared" si="1" ref="O27:O73">Q27-C27-E27-G27-I27-K27-M27</f>
        <v>3600769</v>
      </c>
      <c r="P27" s="64"/>
      <c r="Q27" s="88">
        <v>30583976</v>
      </c>
      <c r="R27" s="38"/>
      <c r="S27" s="88">
        <f>1291754+24793+250000+19894+4421513</f>
        <v>6007954</v>
      </c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  <c r="IU27" s="113"/>
    </row>
    <row r="28" spans="1:255" ht="12.75">
      <c r="A28" s="32" t="s">
        <v>28</v>
      </c>
      <c r="B28" s="32"/>
      <c r="C28" s="88">
        <v>13898556</v>
      </c>
      <c r="D28" s="88"/>
      <c r="E28" s="88">
        <v>32540264</v>
      </c>
      <c r="F28" s="88"/>
      <c r="G28" s="88">
        <v>140616</v>
      </c>
      <c r="H28" s="88"/>
      <c r="I28" s="88">
        <v>27035118</v>
      </c>
      <c r="J28" s="88"/>
      <c r="K28" s="88">
        <v>23083180</v>
      </c>
      <c r="L28" s="88"/>
      <c r="M28" s="88">
        <v>796392</v>
      </c>
      <c r="N28" s="64"/>
      <c r="O28" s="64">
        <f t="shared" si="1"/>
        <v>8575612</v>
      </c>
      <c r="P28" s="64"/>
      <c r="Q28" s="88">
        <v>106069738</v>
      </c>
      <c r="R28" s="38"/>
      <c r="S28" s="88">
        <f>3540000+12000000+44032+105074+5904669</f>
        <v>21593775</v>
      </c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  <c r="IU28" s="113"/>
    </row>
    <row r="29" spans="1:255" ht="12.75">
      <c r="A29" s="32" t="s">
        <v>29</v>
      </c>
      <c r="B29" s="32"/>
      <c r="C29" s="88">
        <v>11075917</v>
      </c>
      <c r="D29" s="88"/>
      <c r="E29" s="88">
        <v>13901743</v>
      </c>
      <c r="F29" s="88"/>
      <c r="G29" s="88">
        <v>0</v>
      </c>
      <c r="H29" s="88"/>
      <c r="I29" s="88">
        <v>4815339</v>
      </c>
      <c r="J29" s="88"/>
      <c r="K29" s="88">
        <v>23643032</v>
      </c>
      <c r="L29" s="88"/>
      <c r="M29" s="88">
        <v>668825</v>
      </c>
      <c r="N29" s="64"/>
      <c r="O29" s="64">
        <f t="shared" si="1"/>
        <v>5723469</v>
      </c>
      <c r="P29" s="64"/>
      <c r="Q29" s="88">
        <v>59828325</v>
      </c>
      <c r="R29" s="38"/>
      <c r="S29" s="88">
        <f>27487+15120000+4434355</f>
        <v>19581842</v>
      </c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</row>
    <row r="30" spans="1:255" ht="12.75">
      <c r="A30" s="32" t="s">
        <v>30</v>
      </c>
      <c r="B30" s="32"/>
      <c r="C30" s="88">
        <v>15483894</v>
      </c>
      <c r="D30" s="88"/>
      <c r="E30" s="88">
        <v>10863623</v>
      </c>
      <c r="F30" s="88"/>
      <c r="G30" s="88">
        <v>0</v>
      </c>
      <c r="H30" s="88"/>
      <c r="I30" s="88">
        <v>9221368</v>
      </c>
      <c r="J30" s="88"/>
      <c r="K30" s="88">
        <v>39321004</v>
      </c>
      <c r="L30" s="88"/>
      <c r="M30" s="88">
        <v>518377</v>
      </c>
      <c r="N30" s="64"/>
      <c r="O30" s="64">
        <f t="shared" si="1"/>
        <v>5707593</v>
      </c>
      <c r="P30" s="64"/>
      <c r="Q30" s="88">
        <v>81115859</v>
      </c>
      <c r="R30" s="38"/>
      <c r="S30" s="88">
        <f>22954+345797+5233569</f>
        <v>5602320</v>
      </c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  <c r="IU30" s="113"/>
    </row>
    <row r="31" spans="1:255" ht="12.75" hidden="1">
      <c r="A31" s="32" t="s">
        <v>31</v>
      </c>
      <c r="B31" s="32"/>
      <c r="C31" s="88">
        <v>0</v>
      </c>
      <c r="D31" s="88"/>
      <c r="E31" s="88">
        <v>0</v>
      </c>
      <c r="F31" s="88"/>
      <c r="G31" s="88">
        <v>0</v>
      </c>
      <c r="H31" s="88"/>
      <c r="I31" s="88">
        <v>0</v>
      </c>
      <c r="J31" s="88"/>
      <c r="K31" s="88">
        <v>0</v>
      </c>
      <c r="L31" s="88"/>
      <c r="M31" s="88">
        <v>0</v>
      </c>
      <c r="N31" s="64"/>
      <c r="O31" s="64">
        <f t="shared" si="1"/>
        <v>0</v>
      </c>
      <c r="P31" s="64"/>
      <c r="Q31" s="88">
        <v>0</v>
      </c>
      <c r="R31" s="38"/>
      <c r="S31" s="88">
        <v>0</v>
      </c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  <c r="IU31" s="113"/>
    </row>
    <row r="32" spans="1:255" ht="12.75">
      <c r="A32" s="32" t="s">
        <v>32</v>
      </c>
      <c r="B32" s="32"/>
      <c r="C32" s="88">
        <v>333844000</v>
      </c>
      <c r="D32" s="88"/>
      <c r="E32" s="88">
        <v>97633000</v>
      </c>
      <c r="F32" s="88"/>
      <c r="G32" s="88">
        <v>0</v>
      </c>
      <c r="H32" s="88"/>
      <c r="I32" s="88">
        <v>89165000</v>
      </c>
      <c r="J32" s="88"/>
      <c r="K32" s="88">
        <v>446133000</v>
      </c>
      <c r="L32" s="88"/>
      <c r="M32" s="88">
        <v>0</v>
      </c>
      <c r="N32" s="64"/>
      <c r="O32" s="64">
        <f t="shared" si="1"/>
        <v>41652000</v>
      </c>
      <c r="P32" s="64"/>
      <c r="Q32" s="88">
        <v>1008427000</v>
      </c>
      <c r="R32" s="38"/>
      <c r="S32" s="88">
        <f>44788000+15895000+25085000+2553000+347000+845000</f>
        <v>89513000</v>
      </c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</row>
    <row r="33" spans="1:255" ht="12.75">
      <c r="A33" s="32" t="s">
        <v>33</v>
      </c>
      <c r="B33" s="32"/>
      <c r="C33" s="88">
        <v>7050926</v>
      </c>
      <c r="D33" s="88"/>
      <c r="E33" s="88">
        <v>4570665</v>
      </c>
      <c r="F33" s="88"/>
      <c r="G33" s="88">
        <v>0</v>
      </c>
      <c r="H33" s="88"/>
      <c r="I33" s="88">
        <v>3708678</v>
      </c>
      <c r="J33" s="88"/>
      <c r="K33" s="88">
        <v>13211994</v>
      </c>
      <c r="L33" s="88"/>
      <c r="M33" s="88">
        <v>303881</v>
      </c>
      <c r="N33" s="64"/>
      <c r="O33" s="64">
        <f t="shared" si="1"/>
        <v>2981007</v>
      </c>
      <c r="P33" s="64"/>
      <c r="Q33" s="88">
        <v>31827151</v>
      </c>
      <c r="R33" s="38"/>
      <c r="S33" s="88">
        <f>20951+18980+838511</f>
        <v>878442</v>
      </c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  <c r="IU33" s="113"/>
    </row>
    <row r="34" spans="1:255" ht="12.75">
      <c r="A34" s="32" t="s">
        <v>34</v>
      </c>
      <c r="B34" s="32"/>
      <c r="C34" s="88">
        <v>2472335</v>
      </c>
      <c r="D34" s="88"/>
      <c r="E34" s="88">
        <v>4107313</v>
      </c>
      <c r="F34" s="88"/>
      <c r="G34" s="88">
        <v>0</v>
      </c>
      <c r="H34" s="88"/>
      <c r="I34" s="88">
        <v>3174482</v>
      </c>
      <c r="J34" s="88"/>
      <c r="K34" s="88">
        <v>17433232</v>
      </c>
      <c r="L34" s="88"/>
      <c r="M34" s="88">
        <v>0</v>
      </c>
      <c r="N34" s="64"/>
      <c r="O34" s="64">
        <f t="shared" si="1"/>
        <v>893381</v>
      </c>
      <c r="P34" s="64"/>
      <c r="Q34" s="88">
        <v>28080743</v>
      </c>
      <c r="R34" s="38"/>
      <c r="S34" s="88">
        <f>856906+2792</f>
        <v>859698</v>
      </c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</row>
    <row r="35" spans="1:255" ht="12.75">
      <c r="A35" s="32" t="s">
        <v>35</v>
      </c>
      <c r="B35" s="32"/>
      <c r="C35" s="88">
        <v>25123365</v>
      </c>
      <c r="D35" s="88"/>
      <c r="E35" s="88">
        <v>10596652</v>
      </c>
      <c r="F35" s="88"/>
      <c r="G35" s="88">
        <v>501469</v>
      </c>
      <c r="H35" s="88"/>
      <c r="I35" s="88">
        <v>6439840</v>
      </c>
      <c r="J35" s="88"/>
      <c r="K35" s="88">
        <v>33453449</v>
      </c>
      <c r="L35" s="88"/>
      <c r="M35" s="88">
        <v>369631</v>
      </c>
      <c r="N35" s="64"/>
      <c r="O35" s="64">
        <f t="shared" si="1"/>
        <v>3766808</v>
      </c>
      <c r="P35" s="64"/>
      <c r="Q35" s="88">
        <v>80251214</v>
      </c>
      <c r="R35" s="38"/>
      <c r="S35" s="88">
        <f>800000+8033478</f>
        <v>8833478</v>
      </c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  <c r="IU35" s="113"/>
    </row>
    <row r="36" spans="1:255" ht="12.75">
      <c r="A36" s="32" t="s">
        <v>189</v>
      </c>
      <c r="B36" s="32"/>
      <c r="C36" s="88">
        <v>48894576</v>
      </c>
      <c r="D36" s="88"/>
      <c r="E36" s="88">
        <v>0</v>
      </c>
      <c r="F36" s="88"/>
      <c r="G36" s="88">
        <v>0</v>
      </c>
      <c r="H36" s="88"/>
      <c r="I36" s="88">
        <v>17265256</v>
      </c>
      <c r="J36" s="88"/>
      <c r="K36" s="88">
        <v>40208332</v>
      </c>
      <c r="L36" s="88"/>
      <c r="M36" s="88">
        <v>139414</v>
      </c>
      <c r="N36" s="64"/>
      <c r="O36" s="64">
        <f t="shared" si="1"/>
        <v>7617906</v>
      </c>
      <c r="P36" s="64"/>
      <c r="Q36" s="88">
        <v>114125484</v>
      </c>
      <c r="R36" s="38"/>
      <c r="S36" s="88">
        <f>165427+990000+50800+3093675</f>
        <v>4299902</v>
      </c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  <c r="IU36" s="113"/>
    </row>
    <row r="37" spans="1:255" ht="12.75" hidden="1">
      <c r="A37" s="32" t="s">
        <v>36</v>
      </c>
      <c r="B37" s="32"/>
      <c r="C37" s="88">
        <v>0</v>
      </c>
      <c r="D37" s="88"/>
      <c r="E37" s="88">
        <v>0</v>
      </c>
      <c r="F37" s="88"/>
      <c r="G37" s="88">
        <v>0</v>
      </c>
      <c r="H37" s="88"/>
      <c r="I37" s="88">
        <v>0</v>
      </c>
      <c r="J37" s="88"/>
      <c r="K37" s="88">
        <v>0</v>
      </c>
      <c r="L37" s="88"/>
      <c r="M37" s="88">
        <v>0</v>
      </c>
      <c r="N37" s="64"/>
      <c r="O37" s="64">
        <f t="shared" si="1"/>
        <v>0</v>
      </c>
      <c r="P37" s="64"/>
      <c r="Q37" s="88">
        <v>0</v>
      </c>
      <c r="R37" s="38"/>
      <c r="S37" s="88">
        <v>0</v>
      </c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  <c r="IU37" s="113"/>
    </row>
    <row r="38" spans="1:255" ht="12.75" hidden="1">
      <c r="A38" s="32" t="s">
        <v>37</v>
      </c>
      <c r="B38" s="32"/>
      <c r="C38" s="88">
        <v>0</v>
      </c>
      <c r="D38" s="88"/>
      <c r="E38" s="88">
        <v>0</v>
      </c>
      <c r="F38" s="88"/>
      <c r="G38" s="88">
        <v>0</v>
      </c>
      <c r="H38" s="88"/>
      <c r="I38" s="88">
        <v>0</v>
      </c>
      <c r="J38" s="88"/>
      <c r="K38" s="88">
        <v>0</v>
      </c>
      <c r="L38" s="88"/>
      <c r="M38" s="88">
        <v>0</v>
      </c>
      <c r="N38" s="64"/>
      <c r="O38" s="64">
        <f t="shared" si="1"/>
        <v>0</v>
      </c>
      <c r="P38" s="64"/>
      <c r="Q38" s="88">
        <v>0</v>
      </c>
      <c r="R38" s="38"/>
      <c r="S38" s="88">
        <v>0</v>
      </c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  <c r="IT38" s="113"/>
      <c r="IU38" s="113"/>
    </row>
    <row r="39" spans="1:255" ht="12.75">
      <c r="A39" s="32" t="s">
        <v>38</v>
      </c>
      <c r="B39" s="32"/>
      <c r="C39" s="88">
        <v>7504519</v>
      </c>
      <c r="D39" s="88"/>
      <c r="E39" s="88">
        <v>7328736</v>
      </c>
      <c r="F39" s="88"/>
      <c r="G39" s="88">
        <v>1302662</v>
      </c>
      <c r="H39" s="88"/>
      <c r="I39" s="88">
        <v>6951168</v>
      </c>
      <c r="J39" s="88"/>
      <c r="K39" s="88">
        <v>27341104</v>
      </c>
      <c r="L39" s="88"/>
      <c r="M39" s="88">
        <v>364586</v>
      </c>
      <c r="N39" s="64"/>
      <c r="O39" s="64">
        <f t="shared" si="1"/>
        <v>2791844</v>
      </c>
      <c r="P39" s="64"/>
      <c r="Q39" s="88">
        <v>53584619</v>
      </c>
      <c r="R39" s="38"/>
      <c r="S39" s="88">
        <f>260000+6645000+143590+691521</f>
        <v>7740111</v>
      </c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  <c r="IT39" s="113"/>
      <c r="IU39" s="113"/>
    </row>
    <row r="40" spans="1:255" ht="12.75" hidden="1">
      <c r="A40" s="32" t="s">
        <v>172</v>
      </c>
      <c r="B40" s="32"/>
      <c r="C40" s="88">
        <v>0</v>
      </c>
      <c r="D40" s="88"/>
      <c r="E40" s="88">
        <v>0</v>
      </c>
      <c r="F40" s="88"/>
      <c r="G40" s="88">
        <v>0</v>
      </c>
      <c r="H40" s="88"/>
      <c r="I40" s="88">
        <v>0</v>
      </c>
      <c r="J40" s="88"/>
      <c r="K40" s="88">
        <v>0</v>
      </c>
      <c r="L40" s="88"/>
      <c r="M40" s="88">
        <v>0</v>
      </c>
      <c r="N40" s="64"/>
      <c r="O40" s="64">
        <f t="shared" si="1"/>
        <v>0</v>
      </c>
      <c r="P40" s="64"/>
      <c r="Q40" s="88">
        <v>0</v>
      </c>
      <c r="R40" s="38"/>
      <c r="S40" s="88">
        <v>0</v>
      </c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  <c r="IT40" s="113"/>
      <c r="IU40" s="113"/>
    </row>
    <row r="41" spans="1:19" ht="12.75" hidden="1">
      <c r="A41" s="32" t="s">
        <v>39</v>
      </c>
      <c r="B41" s="32"/>
      <c r="C41" s="88">
        <v>0</v>
      </c>
      <c r="D41" s="88"/>
      <c r="E41" s="88">
        <v>0</v>
      </c>
      <c r="F41" s="88"/>
      <c r="G41" s="88">
        <v>0</v>
      </c>
      <c r="H41" s="88"/>
      <c r="I41" s="88">
        <v>0</v>
      </c>
      <c r="J41" s="88"/>
      <c r="K41" s="88">
        <v>0</v>
      </c>
      <c r="L41" s="88"/>
      <c r="M41" s="88">
        <v>0</v>
      </c>
      <c r="N41" s="64"/>
      <c r="O41" s="64">
        <f t="shared" si="1"/>
        <v>0</v>
      </c>
      <c r="P41" s="64"/>
      <c r="Q41" s="88">
        <v>0</v>
      </c>
      <c r="R41" s="38"/>
      <c r="S41" s="88">
        <v>0</v>
      </c>
    </row>
    <row r="42" spans="1:19" ht="12.75">
      <c r="A42" s="32" t="s">
        <v>40</v>
      </c>
      <c r="B42" s="32"/>
      <c r="C42" s="88">
        <v>5919370</v>
      </c>
      <c r="D42" s="88"/>
      <c r="E42" s="88">
        <v>4935210</v>
      </c>
      <c r="F42" s="88"/>
      <c r="G42" s="88">
        <v>995471</v>
      </c>
      <c r="H42" s="88"/>
      <c r="I42" s="88">
        <v>3550956</v>
      </c>
      <c r="J42" s="88"/>
      <c r="K42" s="88">
        <v>10233808</v>
      </c>
      <c r="L42" s="88"/>
      <c r="M42" s="88">
        <v>179720</v>
      </c>
      <c r="N42" s="64"/>
      <c r="O42" s="64">
        <f t="shared" si="1"/>
        <v>1113233</v>
      </c>
      <c r="P42" s="64"/>
      <c r="Q42" s="88">
        <v>26927768</v>
      </c>
      <c r="R42" s="38"/>
      <c r="S42" s="88">
        <f>3935000+4238+6187+847898</f>
        <v>4793323</v>
      </c>
    </row>
    <row r="43" spans="1:19" ht="12.75" hidden="1">
      <c r="A43" s="32" t="s">
        <v>41</v>
      </c>
      <c r="B43" s="32"/>
      <c r="C43" s="88">
        <v>0</v>
      </c>
      <c r="D43" s="88"/>
      <c r="E43" s="88">
        <v>0</v>
      </c>
      <c r="F43" s="88"/>
      <c r="G43" s="88">
        <v>0</v>
      </c>
      <c r="H43" s="88"/>
      <c r="I43" s="88">
        <v>0</v>
      </c>
      <c r="J43" s="88"/>
      <c r="K43" s="88">
        <v>0</v>
      </c>
      <c r="L43" s="88"/>
      <c r="M43" s="88">
        <v>0</v>
      </c>
      <c r="N43" s="64"/>
      <c r="O43" s="64">
        <f t="shared" si="1"/>
        <v>0</v>
      </c>
      <c r="P43" s="64"/>
      <c r="Q43" s="88">
        <v>0</v>
      </c>
      <c r="R43" s="38"/>
      <c r="S43" s="88">
        <v>0</v>
      </c>
    </row>
    <row r="44" spans="1:19" ht="12.75">
      <c r="A44" s="32" t="s">
        <v>42</v>
      </c>
      <c r="B44" s="32"/>
      <c r="C44" s="88">
        <v>7379471</v>
      </c>
      <c r="D44" s="88"/>
      <c r="E44" s="88">
        <v>0</v>
      </c>
      <c r="F44" s="88"/>
      <c r="G44" s="88">
        <v>0</v>
      </c>
      <c r="H44" s="88"/>
      <c r="I44" s="88">
        <v>1909076</v>
      </c>
      <c r="J44" s="88"/>
      <c r="K44" s="88">
        <v>14261017</v>
      </c>
      <c r="L44" s="88"/>
      <c r="M44" s="88">
        <v>7409</v>
      </c>
      <c r="N44" s="64"/>
      <c r="O44" s="64">
        <f t="shared" si="1"/>
        <v>1360297</v>
      </c>
      <c r="P44" s="64"/>
      <c r="Q44" s="88">
        <v>24917270</v>
      </c>
      <c r="R44" s="38"/>
      <c r="S44" s="88">
        <f>227000+89252+441805</f>
        <v>758057</v>
      </c>
    </row>
    <row r="45" spans="1:19" ht="12.75">
      <c r="A45" s="32" t="s">
        <v>43</v>
      </c>
      <c r="B45" s="32"/>
      <c r="C45" s="88">
        <v>6077299</v>
      </c>
      <c r="D45" s="88"/>
      <c r="E45" s="88">
        <v>4389719</v>
      </c>
      <c r="F45" s="88"/>
      <c r="G45" s="88">
        <v>0</v>
      </c>
      <c r="H45" s="88"/>
      <c r="I45" s="88">
        <v>3939161</v>
      </c>
      <c r="J45" s="88"/>
      <c r="K45" s="88">
        <v>14566661</v>
      </c>
      <c r="L45" s="88"/>
      <c r="M45" s="88">
        <v>0</v>
      </c>
      <c r="N45" s="64"/>
      <c r="O45" s="64">
        <f t="shared" si="1"/>
        <v>3591096</v>
      </c>
      <c r="P45" s="64"/>
      <c r="Q45" s="88">
        <v>32563936</v>
      </c>
      <c r="R45" s="38"/>
      <c r="S45" s="88">
        <v>963270</v>
      </c>
    </row>
    <row r="46" spans="1:19" ht="12.75">
      <c r="A46" s="32" t="s">
        <v>44</v>
      </c>
      <c r="B46" s="32"/>
      <c r="C46" s="88">
        <v>13196619</v>
      </c>
      <c r="D46" s="88"/>
      <c r="E46" s="88">
        <v>0</v>
      </c>
      <c r="F46" s="88"/>
      <c r="G46" s="88">
        <v>0</v>
      </c>
      <c r="H46" s="88"/>
      <c r="I46" s="88">
        <v>3601960</v>
      </c>
      <c r="J46" s="88"/>
      <c r="K46" s="88">
        <v>23706954</v>
      </c>
      <c r="L46" s="88"/>
      <c r="M46" s="88">
        <v>93452</v>
      </c>
      <c r="N46" s="64"/>
      <c r="O46" s="64">
        <f t="shared" si="1"/>
        <v>2650052</v>
      </c>
      <c r="P46" s="64"/>
      <c r="Q46" s="88">
        <v>43249037</v>
      </c>
      <c r="R46" s="38"/>
      <c r="S46" s="88">
        <f>3125000+360000+1437913</f>
        <v>4922913</v>
      </c>
    </row>
    <row r="47" spans="1:19" ht="12.75" hidden="1">
      <c r="A47" s="32" t="s">
        <v>45</v>
      </c>
      <c r="B47" s="32"/>
      <c r="C47" s="88">
        <v>0</v>
      </c>
      <c r="D47" s="88"/>
      <c r="E47" s="88">
        <v>0</v>
      </c>
      <c r="F47" s="88"/>
      <c r="G47" s="88">
        <v>0</v>
      </c>
      <c r="H47" s="88"/>
      <c r="I47" s="88">
        <v>0</v>
      </c>
      <c r="J47" s="88"/>
      <c r="K47" s="88">
        <v>0</v>
      </c>
      <c r="L47" s="88"/>
      <c r="M47" s="88">
        <v>0</v>
      </c>
      <c r="N47" s="64"/>
      <c r="O47" s="64">
        <f t="shared" si="1"/>
        <v>0</v>
      </c>
      <c r="P47" s="64"/>
      <c r="Q47" s="88">
        <v>0</v>
      </c>
      <c r="R47" s="38"/>
      <c r="S47" s="88">
        <v>0</v>
      </c>
    </row>
    <row r="48" spans="1:19" ht="12.75">
      <c r="A48" s="32" t="s">
        <v>46</v>
      </c>
      <c r="B48" s="32"/>
      <c r="C48" s="88">
        <v>10332740</v>
      </c>
      <c r="D48" s="88"/>
      <c r="E48" s="88">
        <v>9214845</v>
      </c>
      <c r="F48" s="88"/>
      <c r="G48" s="88">
        <v>0</v>
      </c>
      <c r="H48" s="88"/>
      <c r="I48" s="88">
        <v>6752019</v>
      </c>
      <c r="J48" s="88"/>
      <c r="K48" s="88">
        <v>42244624</v>
      </c>
      <c r="L48" s="88"/>
      <c r="M48" s="88">
        <v>0</v>
      </c>
      <c r="N48" s="64"/>
      <c r="O48" s="64">
        <f t="shared" si="1"/>
        <v>3075890</v>
      </c>
      <c r="P48" s="64"/>
      <c r="Q48" s="88">
        <v>71620118</v>
      </c>
      <c r="R48" s="38"/>
      <c r="S48" s="88">
        <f>2980473+1702000+141282</f>
        <v>4823755</v>
      </c>
    </row>
    <row r="49" spans="1:19" ht="12.75">
      <c r="A49" s="32" t="s">
        <v>47</v>
      </c>
      <c r="B49" s="32"/>
      <c r="C49" s="88">
        <v>13187367</v>
      </c>
      <c r="D49" s="88"/>
      <c r="E49" s="88">
        <v>0</v>
      </c>
      <c r="F49" s="88"/>
      <c r="G49" s="88">
        <v>0</v>
      </c>
      <c r="H49" s="88"/>
      <c r="I49" s="88">
        <v>3136918</v>
      </c>
      <c r="J49" s="88"/>
      <c r="K49" s="88">
        <v>16017172</v>
      </c>
      <c r="L49" s="88"/>
      <c r="M49" s="88">
        <v>47240</v>
      </c>
      <c r="N49" s="64"/>
      <c r="O49" s="64">
        <f t="shared" si="1"/>
        <v>3055615</v>
      </c>
      <c r="P49" s="64"/>
      <c r="Q49" s="88">
        <v>35444312</v>
      </c>
      <c r="R49" s="38"/>
      <c r="S49" s="88">
        <f>135302+1983541</f>
        <v>2118843</v>
      </c>
    </row>
    <row r="50" spans="1:19" ht="12.75">
      <c r="A50" s="32" t="s">
        <v>48</v>
      </c>
      <c r="B50" s="32"/>
      <c r="C50" s="88">
        <v>46599499</v>
      </c>
      <c r="D50" s="88"/>
      <c r="E50" s="88">
        <v>15109091</v>
      </c>
      <c r="F50" s="88"/>
      <c r="G50" s="88">
        <v>5438215</v>
      </c>
      <c r="H50" s="88"/>
      <c r="I50" s="88">
        <v>0</v>
      </c>
      <c r="J50" s="88"/>
      <c r="K50" s="88">
        <v>73201851</v>
      </c>
      <c r="L50" s="88"/>
      <c r="M50" s="88">
        <v>2610242</v>
      </c>
      <c r="N50" s="64"/>
      <c r="O50" s="64">
        <f t="shared" si="1"/>
        <v>30870167</v>
      </c>
      <c r="P50" s="64"/>
      <c r="Q50" s="88">
        <v>173829065</v>
      </c>
      <c r="R50" s="38"/>
      <c r="S50" s="88">
        <f>873356+16170000+686130+2530000+8003501</f>
        <v>28262987</v>
      </c>
    </row>
    <row r="51" spans="1:19" ht="12.75" hidden="1">
      <c r="A51" s="32" t="s">
        <v>234</v>
      </c>
      <c r="B51" s="32"/>
      <c r="C51" s="88">
        <v>0</v>
      </c>
      <c r="D51" s="88"/>
      <c r="E51" s="88">
        <v>0</v>
      </c>
      <c r="F51" s="88"/>
      <c r="G51" s="88">
        <v>0</v>
      </c>
      <c r="H51" s="88"/>
      <c r="I51" s="88">
        <v>0</v>
      </c>
      <c r="J51" s="88"/>
      <c r="K51" s="88">
        <v>0</v>
      </c>
      <c r="L51" s="88"/>
      <c r="M51" s="88">
        <v>0</v>
      </c>
      <c r="N51" s="64"/>
      <c r="O51" s="64">
        <f t="shared" si="1"/>
        <v>0</v>
      </c>
      <c r="P51" s="64"/>
      <c r="Q51" s="88">
        <v>0</v>
      </c>
      <c r="R51" s="38"/>
      <c r="S51" s="88">
        <v>0</v>
      </c>
    </row>
    <row r="52" spans="1:19" ht="12.75">
      <c r="A52" s="32" t="s">
        <v>49</v>
      </c>
      <c r="B52" s="32"/>
      <c r="C52" s="88">
        <v>35151626</v>
      </c>
      <c r="D52" s="88"/>
      <c r="E52" s="88">
        <v>0</v>
      </c>
      <c r="F52" s="88"/>
      <c r="G52" s="88">
        <v>0</v>
      </c>
      <c r="H52" s="88"/>
      <c r="I52" s="88">
        <v>9574416</v>
      </c>
      <c r="J52" s="88"/>
      <c r="K52" s="88">
        <v>37242953</v>
      </c>
      <c r="L52" s="88"/>
      <c r="M52" s="88">
        <v>393818</v>
      </c>
      <c r="N52" s="64"/>
      <c r="O52" s="64">
        <f t="shared" si="1"/>
        <v>5921240</v>
      </c>
      <c r="P52" s="64"/>
      <c r="Q52" s="88">
        <v>88284053</v>
      </c>
      <c r="R52" s="38"/>
      <c r="S52" s="88">
        <f>13142+410000+375000+6533453</f>
        <v>7331595</v>
      </c>
    </row>
    <row r="53" spans="1:19" ht="12.75">
      <c r="A53" s="32" t="s">
        <v>50</v>
      </c>
      <c r="B53" s="32"/>
      <c r="C53" s="88">
        <v>11286382</v>
      </c>
      <c r="D53" s="88"/>
      <c r="E53" s="88">
        <v>0</v>
      </c>
      <c r="F53" s="88"/>
      <c r="G53" s="88">
        <v>0</v>
      </c>
      <c r="H53" s="88"/>
      <c r="I53" s="88">
        <v>5480426</v>
      </c>
      <c r="J53" s="88"/>
      <c r="K53" s="88">
        <v>17230569</v>
      </c>
      <c r="L53" s="88"/>
      <c r="M53" s="88">
        <v>46059</v>
      </c>
      <c r="N53" s="64"/>
      <c r="O53" s="64">
        <f t="shared" si="1"/>
        <v>2802497</v>
      </c>
      <c r="P53" s="64"/>
      <c r="Q53" s="88">
        <v>36845933</v>
      </c>
      <c r="R53" s="38"/>
      <c r="S53" s="88">
        <f>9500000+71575+3940694</f>
        <v>13512269</v>
      </c>
    </row>
    <row r="54" spans="1:19" ht="12.75">
      <c r="A54" s="32" t="s">
        <v>51</v>
      </c>
      <c r="B54" s="32"/>
      <c r="C54" s="88">
        <v>48851287</v>
      </c>
      <c r="D54" s="88"/>
      <c r="E54" s="88">
        <v>22040916</v>
      </c>
      <c r="F54" s="88"/>
      <c r="G54" s="88">
        <v>0</v>
      </c>
      <c r="H54" s="88"/>
      <c r="I54" s="88">
        <v>11405186</v>
      </c>
      <c r="J54" s="88"/>
      <c r="K54" s="88">
        <v>108980922</v>
      </c>
      <c r="L54" s="88"/>
      <c r="M54" s="88">
        <v>356428</v>
      </c>
      <c r="N54" s="64"/>
      <c r="O54" s="64">
        <f t="shared" si="1"/>
        <v>26671195</v>
      </c>
      <c r="P54" s="64"/>
      <c r="Q54" s="88">
        <v>218305934</v>
      </c>
      <c r="R54" s="38"/>
      <c r="S54" s="88">
        <f>5275730+5560000</f>
        <v>10835730</v>
      </c>
    </row>
    <row r="55" spans="1:19" ht="12.75">
      <c r="A55" s="32" t="s">
        <v>190</v>
      </c>
      <c r="B55" s="32"/>
      <c r="C55" s="88">
        <v>182826000</v>
      </c>
      <c r="D55" s="88"/>
      <c r="E55" s="88">
        <v>0</v>
      </c>
      <c r="F55" s="88"/>
      <c r="G55" s="88">
        <v>0</v>
      </c>
      <c r="H55" s="88"/>
      <c r="I55" s="88">
        <v>28503000</v>
      </c>
      <c r="J55" s="88"/>
      <c r="K55" s="88">
        <v>201485000</v>
      </c>
      <c r="L55" s="88"/>
      <c r="M55" s="88">
        <v>2525000</v>
      </c>
      <c r="N55" s="64"/>
      <c r="O55" s="64">
        <f t="shared" si="1"/>
        <v>27655000</v>
      </c>
      <c r="P55" s="64"/>
      <c r="Q55" s="88">
        <v>442994000</v>
      </c>
      <c r="R55" s="38"/>
      <c r="S55" s="88">
        <f>3005000+3420000+173000+24944000</f>
        <v>31542000</v>
      </c>
    </row>
    <row r="56" spans="1:19" ht="12.75" hidden="1">
      <c r="A56" s="32" t="s">
        <v>52</v>
      </c>
      <c r="B56" s="32"/>
      <c r="C56" s="88">
        <v>0</v>
      </c>
      <c r="D56" s="88"/>
      <c r="E56" s="88">
        <v>0</v>
      </c>
      <c r="F56" s="88"/>
      <c r="G56" s="88">
        <v>0</v>
      </c>
      <c r="H56" s="88"/>
      <c r="I56" s="88">
        <v>0</v>
      </c>
      <c r="J56" s="88"/>
      <c r="K56" s="88">
        <v>0</v>
      </c>
      <c r="L56" s="88"/>
      <c r="M56" s="88">
        <v>0</v>
      </c>
      <c r="N56" s="64"/>
      <c r="O56" s="64">
        <f t="shared" si="1"/>
        <v>0</v>
      </c>
      <c r="P56" s="64"/>
      <c r="Q56" s="88">
        <v>0</v>
      </c>
      <c r="R56" s="38"/>
      <c r="S56" s="88">
        <v>0</v>
      </c>
    </row>
    <row r="57" spans="1:19" s="167" customFormat="1" ht="12.75" hidden="1">
      <c r="A57" s="129" t="s">
        <v>53</v>
      </c>
      <c r="B57" s="129"/>
      <c r="C57" s="130">
        <v>0</v>
      </c>
      <c r="D57" s="130"/>
      <c r="E57" s="130">
        <v>0</v>
      </c>
      <c r="F57" s="130"/>
      <c r="G57" s="130">
        <v>0</v>
      </c>
      <c r="H57" s="130"/>
      <c r="I57" s="130">
        <v>0</v>
      </c>
      <c r="J57" s="130"/>
      <c r="K57" s="130">
        <v>0</v>
      </c>
      <c r="L57" s="130"/>
      <c r="M57" s="130">
        <v>0</v>
      </c>
      <c r="N57" s="163"/>
      <c r="O57" s="163">
        <f t="shared" si="1"/>
        <v>0</v>
      </c>
      <c r="P57" s="163"/>
      <c r="Q57" s="130">
        <v>0</v>
      </c>
      <c r="R57" s="166"/>
      <c r="S57" s="130">
        <v>0</v>
      </c>
    </row>
    <row r="58" spans="1:19" ht="12.75">
      <c r="A58" s="32" t="s">
        <v>54</v>
      </c>
      <c r="B58" s="32"/>
      <c r="C58" s="88">
        <v>7990487</v>
      </c>
      <c r="D58" s="88"/>
      <c r="E58" s="88">
        <v>6406626</v>
      </c>
      <c r="F58" s="88"/>
      <c r="G58" s="88">
        <v>0</v>
      </c>
      <c r="H58" s="88"/>
      <c r="I58" s="88">
        <v>4520529</v>
      </c>
      <c r="J58" s="88"/>
      <c r="K58" s="88">
        <v>21845497</v>
      </c>
      <c r="L58" s="88"/>
      <c r="M58" s="88">
        <v>73482</v>
      </c>
      <c r="N58" s="64"/>
      <c r="O58" s="64">
        <f t="shared" si="1"/>
        <v>2608223</v>
      </c>
      <c r="P58" s="64"/>
      <c r="Q58" s="88">
        <v>43444844</v>
      </c>
      <c r="R58" s="38"/>
      <c r="S58" s="88">
        <f>3390548+2583356</f>
        <v>5973904</v>
      </c>
    </row>
    <row r="59" spans="1:19" ht="12.75">
      <c r="A59" s="32" t="s">
        <v>55</v>
      </c>
      <c r="B59" s="32"/>
      <c r="C59" s="88">
        <v>23167578</v>
      </c>
      <c r="D59" s="88"/>
      <c r="E59" s="88">
        <v>9247660</v>
      </c>
      <c r="F59" s="88"/>
      <c r="G59" s="88">
        <v>2113203</v>
      </c>
      <c r="H59" s="88"/>
      <c r="I59" s="88">
        <v>15149458</v>
      </c>
      <c r="J59" s="88"/>
      <c r="K59" s="88">
        <v>40352013</v>
      </c>
      <c r="L59" s="88"/>
      <c r="M59" s="88">
        <v>949385</v>
      </c>
      <c r="N59" s="64"/>
      <c r="O59" s="64">
        <f t="shared" si="1"/>
        <v>6534107</v>
      </c>
      <c r="P59" s="64"/>
      <c r="Q59" s="88">
        <v>97513404</v>
      </c>
      <c r="R59" s="38"/>
      <c r="S59" s="88">
        <f>55911+3407147</f>
        <v>3463058</v>
      </c>
    </row>
    <row r="60" spans="1:19" ht="12.75" hidden="1">
      <c r="A60" s="32" t="s">
        <v>175</v>
      </c>
      <c r="B60" s="32"/>
      <c r="C60" s="88">
        <v>0</v>
      </c>
      <c r="D60" s="88"/>
      <c r="E60" s="88">
        <v>0</v>
      </c>
      <c r="F60" s="88"/>
      <c r="G60" s="88">
        <v>0</v>
      </c>
      <c r="H60" s="88"/>
      <c r="I60" s="88">
        <v>0</v>
      </c>
      <c r="J60" s="88"/>
      <c r="K60" s="88">
        <v>0</v>
      </c>
      <c r="L60" s="88"/>
      <c r="M60" s="88">
        <v>0</v>
      </c>
      <c r="N60" s="64"/>
      <c r="O60" s="64">
        <f t="shared" si="1"/>
        <v>0</v>
      </c>
      <c r="P60" s="64"/>
      <c r="Q60" s="88">
        <v>0</v>
      </c>
      <c r="R60" s="38"/>
      <c r="S60" s="88">
        <v>0</v>
      </c>
    </row>
    <row r="61" spans="1:19" ht="12.75" hidden="1">
      <c r="A61" s="32" t="s">
        <v>56</v>
      </c>
      <c r="B61" s="32"/>
      <c r="C61" s="88">
        <v>0</v>
      </c>
      <c r="D61" s="88"/>
      <c r="E61" s="88">
        <v>0</v>
      </c>
      <c r="F61" s="88"/>
      <c r="G61" s="88">
        <v>0</v>
      </c>
      <c r="H61" s="88"/>
      <c r="I61" s="88">
        <v>0</v>
      </c>
      <c r="J61" s="88"/>
      <c r="K61" s="88">
        <v>0</v>
      </c>
      <c r="L61" s="88"/>
      <c r="M61" s="88">
        <v>0</v>
      </c>
      <c r="N61" s="64"/>
      <c r="O61" s="64">
        <f t="shared" si="1"/>
        <v>0</v>
      </c>
      <c r="P61" s="64"/>
      <c r="Q61" s="88">
        <v>0</v>
      </c>
      <c r="R61" s="38"/>
      <c r="S61" s="88">
        <v>0</v>
      </c>
    </row>
    <row r="62" spans="1:19" ht="12.75">
      <c r="A62" s="32" t="s">
        <v>57</v>
      </c>
      <c r="B62" s="32"/>
      <c r="C62" s="88">
        <v>22358954</v>
      </c>
      <c r="D62" s="88"/>
      <c r="E62" s="88">
        <v>0</v>
      </c>
      <c r="F62" s="88"/>
      <c r="G62" s="88">
        <v>0</v>
      </c>
      <c r="H62" s="88"/>
      <c r="I62" s="88">
        <v>12746020</v>
      </c>
      <c r="J62" s="88"/>
      <c r="K62" s="88">
        <v>28238711</v>
      </c>
      <c r="L62" s="88"/>
      <c r="M62" s="88">
        <v>0</v>
      </c>
      <c r="N62" s="64"/>
      <c r="O62" s="64">
        <f t="shared" si="1"/>
        <v>5244024</v>
      </c>
      <c r="P62" s="64"/>
      <c r="Q62" s="88">
        <v>68587709</v>
      </c>
      <c r="R62" s="38"/>
      <c r="S62" s="88">
        <f>52480+932871</f>
        <v>985351</v>
      </c>
    </row>
    <row r="63" spans="1:19" s="86" customFormat="1" ht="12.75">
      <c r="A63" s="122" t="s">
        <v>58</v>
      </c>
      <c r="B63" s="122"/>
      <c r="C63" s="89">
        <v>1552978</v>
      </c>
      <c r="D63" s="89"/>
      <c r="E63" s="89">
        <v>3303755</v>
      </c>
      <c r="F63" s="89"/>
      <c r="G63" s="89">
        <v>0</v>
      </c>
      <c r="H63" s="89"/>
      <c r="I63" s="89">
        <v>1309565</v>
      </c>
      <c r="J63" s="89"/>
      <c r="K63" s="89">
        <v>10644073</v>
      </c>
      <c r="L63" s="89"/>
      <c r="M63" s="89">
        <v>0</v>
      </c>
      <c r="N63" s="140"/>
      <c r="O63" s="140">
        <f t="shared" si="1"/>
        <v>999733</v>
      </c>
      <c r="P63" s="140"/>
      <c r="Q63" s="89">
        <v>17810104</v>
      </c>
      <c r="R63" s="141"/>
      <c r="S63" s="89">
        <v>1323300</v>
      </c>
    </row>
    <row r="64" spans="1:19" ht="12.75">
      <c r="A64" s="32" t="s">
        <v>59</v>
      </c>
      <c r="B64" s="32"/>
      <c r="C64" s="88">
        <v>111781459</v>
      </c>
      <c r="D64" s="88"/>
      <c r="E64" s="88">
        <v>65853109</v>
      </c>
      <c r="F64" s="88"/>
      <c r="G64" s="88">
        <v>8929500</v>
      </c>
      <c r="H64" s="88"/>
      <c r="I64" s="88">
        <v>0</v>
      </c>
      <c r="J64" s="88"/>
      <c r="K64" s="88">
        <v>256632101</v>
      </c>
      <c r="L64" s="88"/>
      <c r="M64" s="88">
        <v>379311</v>
      </c>
      <c r="N64" s="64"/>
      <c r="O64" s="64">
        <f t="shared" si="1"/>
        <v>68619488</v>
      </c>
      <c r="P64" s="64"/>
      <c r="Q64" s="88">
        <v>512194968</v>
      </c>
      <c r="R64" s="38"/>
      <c r="S64" s="88">
        <f>162666+61492+19578750+16015846+1845821+123723429</f>
        <v>161388004</v>
      </c>
    </row>
    <row r="65" spans="1:19" ht="12.75" hidden="1">
      <c r="A65" s="32" t="s">
        <v>60</v>
      </c>
      <c r="B65" s="32"/>
      <c r="C65" s="88">
        <v>0</v>
      </c>
      <c r="D65" s="88"/>
      <c r="E65" s="88">
        <v>0</v>
      </c>
      <c r="F65" s="88"/>
      <c r="G65" s="88">
        <v>0</v>
      </c>
      <c r="H65" s="88"/>
      <c r="I65" s="88">
        <v>0</v>
      </c>
      <c r="J65" s="88"/>
      <c r="K65" s="88">
        <v>0</v>
      </c>
      <c r="L65" s="88"/>
      <c r="M65" s="88">
        <v>0</v>
      </c>
      <c r="N65" s="64"/>
      <c r="O65" s="64">
        <f t="shared" si="1"/>
        <v>0</v>
      </c>
      <c r="P65" s="64"/>
      <c r="Q65" s="88">
        <v>0</v>
      </c>
      <c r="R65" s="38"/>
      <c r="S65" s="88">
        <v>0</v>
      </c>
    </row>
    <row r="66" spans="1:19" ht="12.75">
      <c r="A66" s="32" t="s">
        <v>97</v>
      </c>
      <c r="B66" s="32"/>
      <c r="C66" s="88">
        <v>3666335</v>
      </c>
      <c r="D66" s="88"/>
      <c r="E66" s="88">
        <v>2770678</v>
      </c>
      <c r="F66" s="88"/>
      <c r="G66" s="88">
        <v>889154</v>
      </c>
      <c r="H66" s="88"/>
      <c r="I66" s="88">
        <v>3035250</v>
      </c>
      <c r="J66" s="88"/>
      <c r="K66" s="88">
        <v>13743132</v>
      </c>
      <c r="L66" s="88"/>
      <c r="M66" s="88">
        <v>152071</v>
      </c>
      <c r="N66" s="64"/>
      <c r="O66" s="64">
        <f t="shared" si="1"/>
        <v>1794221</v>
      </c>
      <c r="P66" s="64"/>
      <c r="Q66" s="88">
        <v>26050841</v>
      </c>
      <c r="R66" s="38"/>
      <c r="S66" s="88">
        <f>7001+4767000+122310+326965+176394</f>
        <v>5399670</v>
      </c>
    </row>
    <row r="67" spans="1:19" ht="12.75">
      <c r="A67" s="32" t="s">
        <v>61</v>
      </c>
      <c r="B67" s="32"/>
      <c r="C67" s="88">
        <v>11850514</v>
      </c>
      <c r="D67" s="88"/>
      <c r="E67" s="88">
        <v>14101148</v>
      </c>
      <c r="F67" s="88"/>
      <c r="G67" s="88">
        <f>459755</f>
        <v>459755</v>
      </c>
      <c r="H67" s="88"/>
      <c r="I67" s="88">
        <v>8351631</v>
      </c>
      <c r="J67" s="88"/>
      <c r="K67" s="88">
        <v>36991223</v>
      </c>
      <c r="L67" s="88"/>
      <c r="M67" s="88">
        <v>84283</v>
      </c>
      <c r="N67" s="64"/>
      <c r="O67" s="64">
        <f t="shared" si="1"/>
        <v>5630932</v>
      </c>
      <c r="P67" s="64"/>
      <c r="Q67" s="88">
        <v>77469486</v>
      </c>
      <c r="R67" s="38"/>
      <c r="S67" s="88">
        <f>18560+91500+4910144</f>
        <v>5020204</v>
      </c>
    </row>
    <row r="68" spans="1:19" ht="12.75">
      <c r="A68" s="32" t="s">
        <v>62</v>
      </c>
      <c r="B68" s="32"/>
      <c r="C68" s="88">
        <v>1644110</v>
      </c>
      <c r="D68" s="88"/>
      <c r="E68" s="88">
        <v>1008091</v>
      </c>
      <c r="F68" s="88"/>
      <c r="G68" s="88">
        <v>0</v>
      </c>
      <c r="H68" s="88"/>
      <c r="I68" s="88">
        <v>833450</v>
      </c>
      <c r="J68" s="88"/>
      <c r="K68" s="88">
        <v>9168292</v>
      </c>
      <c r="L68" s="88"/>
      <c r="M68" s="88">
        <v>0</v>
      </c>
      <c r="N68" s="64"/>
      <c r="O68" s="64">
        <f t="shared" si="1"/>
        <v>1069825</v>
      </c>
      <c r="P68" s="64"/>
      <c r="Q68" s="88">
        <v>13723768</v>
      </c>
      <c r="R68" s="38"/>
      <c r="S68" s="88">
        <v>315372</v>
      </c>
    </row>
    <row r="69" spans="1:19" ht="12.75">
      <c r="A69" s="32" t="s">
        <v>63</v>
      </c>
      <c r="B69" s="32"/>
      <c r="C69" s="88">
        <v>7164442</v>
      </c>
      <c r="D69" s="88"/>
      <c r="E69" s="88">
        <v>4747471</v>
      </c>
      <c r="F69" s="88"/>
      <c r="G69" s="88">
        <v>591258</v>
      </c>
      <c r="H69" s="88"/>
      <c r="I69" s="88">
        <v>5071509</v>
      </c>
      <c r="J69" s="88"/>
      <c r="K69" s="88">
        <v>15479029</v>
      </c>
      <c r="L69" s="88"/>
      <c r="M69" s="88">
        <v>965989</v>
      </c>
      <c r="N69" s="64"/>
      <c r="O69" s="64">
        <f t="shared" si="1"/>
        <v>4220516</v>
      </c>
      <c r="P69" s="64"/>
      <c r="Q69" s="88">
        <v>38240214</v>
      </c>
      <c r="R69" s="38"/>
      <c r="S69" s="88">
        <f>15901+3234909+33257</f>
        <v>3284067</v>
      </c>
    </row>
    <row r="70" spans="1:19" ht="12.75" hidden="1">
      <c r="A70" s="32" t="s">
        <v>132</v>
      </c>
      <c r="B70" s="32"/>
      <c r="C70" s="88">
        <v>0</v>
      </c>
      <c r="D70" s="88"/>
      <c r="E70" s="88">
        <v>0</v>
      </c>
      <c r="F70" s="88"/>
      <c r="G70" s="88">
        <v>0</v>
      </c>
      <c r="H70" s="88"/>
      <c r="I70" s="88">
        <v>0</v>
      </c>
      <c r="J70" s="88"/>
      <c r="K70" s="88">
        <v>0</v>
      </c>
      <c r="L70" s="88"/>
      <c r="M70" s="88">
        <v>0</v>
      </c>
      <c r="N70" s="64"/>
      <c r="O70" s="64">
        <f t="shared" si="1"/>
        <v>0</v>
      </c>
      <c r="P70" s="64"/>
      <c r="Q70" s="88">
        <v>0</v>
      </c>
      <c r="R70" s="38"/>
      <c r="S70" s="88">
        <v>0</v>
      </c>
    </row>
    <row r="71" spans="1:19" ht="12.75" hidden="1">
      <c r="A71" s="32" t="s">
        <v>64</v>
      </c>
      <c r="B71" s="32"/>
      <c r="C71" s="88">
        <v>0</v>
      </c>
      <c r="D71" s="88"/>
      <c r="E71" s="88">
        <v>0</v>
      </c>
      <c r="F71" s="88"/>
      <c r="G71" s="88">
        <v>0</v>
      </c>
      <c r="H71" s="88"/>
      <c r="I71" s="88">
        <v>0</v>
      </c>
      <c r="J71" s="88"/>
      <c r="K71" s="88">
        <v>0</v>
      </c>
      <c r="L71" s="88"/>
      <c r="M71" s="88">
        <v>0</v>
      </c>
      <c r="N71" s="64"/>
      <c r="O71" s="64">
        <f t="shared" si="1"/>
        <v>0</v>
      </c>
      <c r="P71" s="64"/>
      <c r="Q71" s="88">
        <v>0</v>
      </c>
      <c r="R71" s="38"/>
      <c r="S71" s="88">
        <v>0</v>
      </c>
    </row>
    <row r="72" spans="1:19" ht="12.75">
      <c r="A72" s="32" t="s">
        <v>65</v>
      </c>
      <c r="B72" s="32"/>
      <c r="C72" s="146">
        <v>4470625</v>
      </c>
      <c r="D72" s="146"/>
      <c r="E72" s="146">
        <v>5545489</v>
      </c>
      <c r="F72" s="146"/>
      <c r="G72" s="146">
        <v>0</v>
      </c>
      <c r="H72" s="146"/>
      <c r="I72" s="146">
        <v>3114920</v>
      </c>
      <c r="J72" s="146"/>
      <c r="K72" s="146">
        <v>16675070</v>
      </c>
      <c r="L72" s="146"/>
      <c r="M72" s="146">
        <v>12948</v>
      </c>
      <c r="N72" s="145"/>
      <c r="O72" s="145">
        <f t="shared" si="1"/>
        <v>2345331</v>
      </c>
      <c r="P72" s="145"/>
      <c r="Q72" s="146">
        <v>32164383</v>
      </c>
      <c r="R72" s="38"/>
      <c r="S72" s="146">
        <f>100000+151896+787050</f>
        <v>1038946</v>
      </c>
    </row>
    <row r="73" spans="1:19" ht="12.75">
      <c r="A73" s="32" t="s">
        <v>66</v>
      </c>
      <c r="B73" s="32"/>
      <c r="C73" s="88">
        <v>5703226</v>
      </c>
      <c r="D73" s="88"/>
      <c r="E73" s="88">
        <v>0</v>
      </c>
      <c r="F73" s="88"/>
      <c r="G73" s="88">
        <v>0</v>
      </c>
      <c r="H73" s="88"/>
      <c r="I73" s="88">
        <v>1977022</v>
      </c>
      <c r="J73" s="88"/>
      <c r="K73" s="88">
        <v>12056296</v>
      </c>
      <c r="L73" s="88"/>
      <c r="M73" s="88">
        <v>0</v>
      </c>
      <c r="N73" s="64"/>
      <c r="O73" s="64">
        <f t="shared" si="1"/>
        <v>2380558</v>
      </c>
      <c r="P73" s="64"/>
      <c r="Q73" s="88">
        <v>22117102</v>
      </c>
      <c r="R73" s="38"/>
      <c r="S73" s="88">
        <f>150000+8283+222685</f>
        <v>380968</v>
      </c>
    </row>
    <row r="74" spans="1:19" s="86" customFormat="1" ht="12.75">
      <c r="A74" s="122" t="s">
        <v>67</v>
      </c>
      <c r="B74" s="122"/>
      <c r="C74" s="89">
        <v>25794402</v>
      </c>
      <c r="D74" s="89"/>
      <c r="E74" s="89">
        <v>13751342</v>
      </c>
      <c r="F74" s="89"/>
      <c r="G74" s="89">
        <v>0</v>
      </c>
      <c r="H74" s="89"/>
      <c r="I74" s="89">
        <v>14743479</v>
      </c>
      <c r="J74" s="89"/>
      <c r="K74" s="89">
        <v>48147112</v>
      </c>
      <c r="L74" s="89"/>
      <c r="M74" s="89">
        <v>0</v>
      </c>
      <c r="N74" s="140"/>
      <c r="O74" s="140">
        <f aca="true" t="shared" si="2" ref="O74:O94">Q74-C74-E74-G74-I74-K74-M74</f>
        <v>5874483</v>
      </c>
      <c r="P74" s="140"/>
      <c r="Q74" s="89">
        <v>108310818</v>
      </c>
      <c r="R74" s="141"/>
      <c r="S74" s="89">
        <v>149897</v>
      </c>
    </row>
    <row r="75" spans="1:19" ht="12.75">
      <c r="A75" s="32" t="s">
        <v>68</v>
      </c>
      <c r="B75" s="32"/>
      <c r="C75" s="88">
        <v>3591114</v>
      </c>
      <c r="D75" s="88"/>
      <c r="E75" s="88">
        <v>4436627</v>
      </c>
      <c r="F75" s="88"/>
      <c r="G75" s="88">
        <v>0</v>
      </c>
      <c r="H75" s="88"/>
      <c r="I75" s="88">
        <v>3264081</v>
      </c>
      <c r="J75" s="88"/>
      <c r="K75" s="88">
        <v>15354304</v>
      </c>
      <c r="L75" s="88"/>
      <c r="M75" s="88">
        <v>129540</v>
      </c>
      <c r="N75" s="64"/>
      <c r="O75" s="64">
        <f t="shared" si="2"/>
        <v>1285552</v>
      </c>
      <c r="P75" s="64"/>
      <c r="Q75" s="88">
        <v>28061218</v>
      </c>
      <c r="R75" s="38"/>
      <c r="S75" s="88">
        <f>125000+318+888372+484387</f>
        <v>1498077</v>
      </c>
    </row>
    <row r="76" spans="1:19" ht="12.75" hidden="1">
      <c r="A76" s="32" t="s">
        <v>180</v>
      </c>
      <c r="B76" s="32"/>
      <c r="C76" s="88">
        <v>0</v>
      </c>
      <c r="D76" s="88"/>
      <c r="E76" s="88">
        <v>0</v>
      </c>
      <c r="F76" s="88"/>
      <c r="G76" s="88">
        <v>0</v>
      </c>
      <c r="H76" s="88"/>
      <c r="I76" s="88">
        <v>0</v>
      </c>
      <c r="J76" s="88"/>
      <c r="K76" s="88">
        <v>0</v>
      </c>
      <c r="L76" s="88"/>
      <c r="M76" s="88">
        <v>0</v>
      </c>
      <c r="N76" s="64"/>
      <c r="O76" s="64">
        <f t="shared" si="2"/>
        <v>0</v>
      </c>
      <c r="P76" s="64"/>
      <c r="Q76" s="88">
        <v>0</v>
      </c>
      <c r="R76" s="38"/>
      <c r="S76" s="88">
        <v>0</v>
      </c>
    </row>
    <row r="77" spans="1:19" ht="12.75">
      <c r="A77" s="32" t="s">
        <v>185</v>
      </c>
      <c r="B77" s="32"/>
      <c r="C77" s="88">
        <v>17014037</v>
      </c>
      <c r="D77" s="88"/>
      <c r="E77" s="88">
        <v>13577299</v>
      </c>
      <c r="F77" s="88"/>
      <c r="G77" s="88">
        <v>0</v>
      </c>
      <c r="H77" s="88"/>
      <c r="I77" s="88">
        <v>9257322</v>
      </c>
      <c r="J77" s="88"/>
      <c r="K77" s="88">
        <v>57561318</v>
      </c>
      <c r="L77" s="88"/>
      <c r="M77" s="88">
        <v>1189966</v>
      </c>
      <c r="N77" s="64"/>
      <c r="O77" s="64">
        <f t="shared" si="2"/>
        <v>5616957</v>
      </c>
      <c r="P77" s="64"/>
      <c r="Q77" s="88">
        <v>104216899</v>
      </c>
      <c r="R77" s="38"/>
      <c r="S77" s="88">
        <f>346707+59865+4000000+4868555</f>
        <v>9275127</v>
      </c>
    </row>
    <row r="78" spans="1:19" ht="12.75">
      <c r="A78" s="32" t="s">
        <v>69</v>
      </c>
      <c r="B78" s="32"/>
      <c r="C78" s="88">
        <v>8038454</v>
      </c>
      <c r="D78" s="88"/>
      <c r="E78" s="88">
        <v>10668370</v>
      </c>
      <c r="F78" s="88"/>
      <c r="G78" s="88">
        <v>0</v>
      </c>
      <c r="H78" s="88"/>
      <c r="I78" s="88">
        <v>6673395</v>
      </c>
      <c r="J78" s="88"/>
      <c r="K78" s="88">
        <v>22714147</v>
      </c>
      <c r="L78" s="88"/>
      <c r="M78" s="88">
        <v>11228</v>
      </c>
      <c r="N78" s="64"/>
      <c r="O78" s="64">
        <f t="shared" si="2"/>
        <v>2451268</v>
      </c>
      <c r="P78" s="64"/>
      <c r="Q78" s="88">
        <v>50556862</v>
      </c>
      <c r="R78" s="38"/>
      <c r="S78" s="88">
        <f>77500+158342+1540500+7918850</f>
        <v>9695192</v>
      </c>
    </row>
    <row r="79" spans="1:19" ht="12.75">
      <c r="A79" s="32" t="s">
        <v>98</v>
      </c>
      <c r="B79" s="32"/>
      <c r="C79" s="88">
        <v>7575624</v>
      </c>
      <c r="D79" s="88"/>
      <c r="E79" s="88">
        <v>6051944</v>
      </c>
      <c r="F79" s="88"/>
      <c r="G79" s="88">
        <v>0</v>
      </c>
      <c r="H79" s="88"/>
      <c r="I79" s="88">
        <v>4678212</v>
      </c>
      <c r="J79" s="88"/>
      <c r="K79" s="88">
        <v>23683676</v>
      </c>
      <c r="L79" s="88"/>
      <c r="M79" s="88">
        <v>91098</v>
      </c>
      <c r="N79" s="64"/>
      <c r="O79" s="64">
        <f t="shared" si="2"/>
        <v>3907551</v>
      </c>
      <c r="P79" s="64"/>
      <c r="Q79" s="88">
        <v>45988105</v>
      </c>
      <c r="R79" s="38"/>
      <c r="S79" s="88">
        <f>374000+11435+1663715+471457</f>
        <v>2520607</v>
      </c>
    </row>
    <row r="80" spans="1:19" ht="12.75">
      <c r="A80" s="32" t="s">
        <v>70</v>
      </c>
      <c r="B80" s="32"/>
      <c r="C80" s="88">
        <v>4754735</v>
      </c>
      <c r="D80" s="88"/>
      <c r="E80" s="88">
        <v>8449420</v>
      </c>
      <c r="F80" s="88"/>
      <c r="G80" s="88">
        <v>32398</v>
      </c>
      <c r="H80" s="88"/>
      <c r="I80" s="88">
        <v>5163814</v>
      </c>
      <c r="J80" s="88"/>
      <c r="K80" s="88">
        <v>35847087</v>
      </c>
      <c r="L80" s="88"/>
      <c r="M80" s="88">
        <v>0</v>
      </c>
      <c r="N80" s="64"/>
      <c r="O80" s="64">
        <f t="shared" si="2"/>
        <v>1969231</v>
      </c>
      <c r="P80" s="64"/>
      <c r="Q80" s="88">
        <v>56216685</v>
      </c>
      <c r="R80" s="38"/>
      <c r="S80" s="88">
        <f>2486096+68441+210000</f>
        <v>2764537</v>
      </c>
    </row>
    <row r="81" spans="1:19" ht="12.75">
      <c r="A81" s="32" t="s">
        <v>71</v>
      </c>
      <c r="B81" s="32"/>
      <c r="C81" s="88">
        <v>6592269</v>
      </c>
      <c r="D81" s="88"/>
      <c r="E81" s="88">
        <v>5727145</v>
      </c>
      <c r="F81" s="88"/>
      <c r="G81" s="88">
        <v>0</v>
      </c>
      <c r="H81" s="88"/>
      <c r="I81" s="88">
        <v>3067772</v>
      </c>
      <c r="J81" s="88"/>
      <c r="K81" s="88">
        <v>23001623</v>
      </c>
      <c r="L81" s="88"/>
      <c r="M81" s="88">
        <v>165933</v>
      </c>
      <c r="N81" s="64"/>
      <c r="O81" s="64">
        <f t="shared" si="2"/>
        <v>3112649</v>
      </c>
      <c r="P81" s="64"/>
      <c r="Q81" s="88">
        <v>41667391</v>
      </c>
      <c r="R81" s="38"/>
      <c r="S81" s="88">
        <f>2993741+915000+2171+1007</f>
        <v>3911919</v>
      </c>
    </row>
    <row r="82" spans="1:19" ht="12.75">
      <c r="A82" s="32" t="s">
        <v>72</v>
      </c>
      <c r="B82" s="32"/>
      <c r="C82" s="88">
        <v>8203149</v>
      </c>
      <c r="D82" s="88"/>
      <c r="E82" s="88">
        <v>7819211</v>
      </c>
      <c r="F82" s="88"/>
      <c r="G82" s="88">
        <v>0</v>
      </c>
      <c r="H82" s="88"/>
      <c r="I82" s="88">
        <v>4704114</v>
      </c>
      <c r="J82" s="88"/>
      <c r="K82" s="88">
        <v>15800610</v>
      </c>
      <c r="L82" s="88"/>
      <c r="M82" s="88">
        <v>283099</v>
      </c>
      <c r="N82" s="64"/>
      <c r="O82" s="64">
        <f t="shared" si="2"/>
        <v>2119812</v>
      </c>
      <c r="P82" s="64"/>
      <c r="Q82" s="88">
        <v>38929995</v>
      </c>
      <c r="R82" s="38"/>
      <c r="S82" s="88">
        <f>115927+62352+396451</f>
        <v>574730</v>
      </c>
    </row>
    <row r="83" spans="1:19" ht="12.75">
      <c r="A83" s="32" t="s">
        <v>73</v>
      </c>
      <c r="B83" s="32"/>
      <c r="C83" s="88">
        <v>55272781</v>
      </c>
      <c r="D83" s="88"/>
      <c r="E83" s="88">
        <v>12511134</v>
      </c>
      <c r="F83" s="88"/>
      <c r="G83" s="88">
        <v>0</v>
      </c>
      <c r="H83" s="88"/>
      <c r="I83" s="88">
        <v>25897268</v>
      </c>
      <c r="J83" s="88"/>
      <c r="K83" s="88">
        <v>141879957</v>
      </c>
      <c r="L83" s="88"/>
      <c r="M83" s="88">
        <v>706541</v>
      </c>
      <c r="N83" s="64"/>
      <c r="O83" s="64">
        <f t="shared" si="2"/>
        <v>11415930</v>
      </c>
      <c r="P83" s="64"/>
      <c r="Q83" s="88">
        <v>247683611</v>
      </c>
      <c r="R83" s="38"/>
      <c r="S83" s="88">
        <f>138284+47477+50516+3638234</f>
        <v>3874511</v>
      </c>
    </row>
    <row r="84" spans="1:19" ht="12.75">
      <c r="A84" s="32" t="s">
        <v>74</v>
      </c>
      <c r="B84" s="32"/>
      <c r="C84" s="88">
        <v>110587094</v>
      </c>
      <c r="D84" s="88"/>
      <c r="E84" s="88">
        <v>35524910</v>
      </c>
      <c r="F84" s="88"/>
      <c r="G84" s="88">
        <v>13700660</v>
      </c>
      <c r="H84" s="88"/>
      <c r="I84" s="88">
        <v>43205551</v>
      </c>
      <c r="J84" s="88"/>
      <c r="K84" s="88">
        <v>175052875</v>
      </c>
      <c r="L84" s="88"/>
      <c r="M84" s="88">
        <v>62933</v>
      </c>
      <c r="N84" s="64"/>
      <c r="O84" s="64">
        <f t="shared" si="2"/>
        <v>18328840</v>
      </c>
      <c r="P84" s="64"/>
      <c r="Q84" s="88">
        <v>396462863</v>
      </c>
      <c r="R84" s="38"/>
      <c r="S84" s="88">
        <f>406114+692636+1924296+9711206</f>
        <v>12734252</v>
      </c>
    </row>
    <row r="85" spans="1:19" ht="12.75">
      <c r="A85" s="32" t="s">
        <v>75</v>
      </c>
      <c r="B85" s="32"/>
      <c r="C85" s="88">
        <v>26021232</v>
      </c>
      <c r="D85" s="88"/>
      <c r="E85" s="88">
        <v>14647780</v>
      </c>
      <c r="F85" s="88"/>
      <c r="G85" s="88">
        <v>0</v>
      </c>
      <c r="H85" s="88"/>
      <c r="I85" s="88">
        <v>7867384</v>
      </c>
      <c r="J85" s="88"/>
      <c r="K85" s="88">
        <v>79314728</v>
      </c>
      <c r="L85" s="88"/>
      <c r="M85" s="88">
        <v>604799</v>
      </c>
      <c r="N85" s="64"/>
      <c r="O85" s="64">
        <f t="shared" si="2"/>
        <v>9126939</v>
      </c>
      <c r="P85" s="64"/>
      <c r="Q85" s="88">
        <v>137582862</v>
      </c>
      <c r="R85" s="38"/>
      <c r="S85" s="88">
        <f>148936+5265000+64170+5573000+2342997+6115979</f>
        <v>19510082</v>
      </c>
    </row>
    <row r="86" spans="1:19" ht="12.75">
      <c r="A86" s="32" t="s">
        <v>76</v>
      </c>
      <c r="B86" s="32"/>
      <c r="C86" s="88">
        <v>10136930</v>
      </c>
      <c r="D86" s="88"/>
      <c r="E86" s="88">
        <v>9130299</v>
      </c>
      <c r="F86" s="88"/>
      <c r="G86" s="88">
        <v>0</v>
      </c>
      <c r="H86" s="88"/>
      <c r="I86" s="88">
        <v>5122447</v>
      </c>
      <c r="J86" s="88"/>
      <c r="K86" s="88">
        <v>25477142</v>
      </c>
      <c r="L86" s="88"/>
      <c r="M86" s="88">
        <v>0</v>
      </c>
      <c r="N86" s="64"/>
      <c r="O86" s="64">
        <f t="shared" si="2"/>
        <v>3491126</v>
      </c>
      <c r="P86" s="64"/>
      <c r="Q86" s="88">
        <v>53357944</v>
      </c>
      <c r="R86" s="38"/>
      <c r="S86" s="88">
        <f>7836948+1000000</f>
        <v>8836948</v>
      </c>
    </row>
    <row r="87" spans="1:19" ht="12.75">
      <c r="A87" s="32" t="s">
        <v>77</v>
      </c>
      <c r="B87" s="32"/>
      <c r="C87" s="88">
        <v>11606766</v>
      </c>
      <c r="D87" s="88"/>
      <c r="E87" s="88">
        <v>7084993</v>
      </c>
      <c r="F87" s="88"/>
      <c r="G87" s="88">
        <v>0</v>
      </c>
      <c r="H87" s="88"/>
      <c r="I87" s="88">
        <v>6097268</v>
      </c>
      <c r="J87" s="88"/>
      <c r="K87" s="88">
        <v>17154412</v>
      </c>
      <c r="L87" s="88"/>
      <c r="M87" s="88">
        <v>89389</v>
      </c>
      <c r="N87" s="64"/>
      <c r="O87" s="64">
        <f t="shared" si="2"/>
        <v>2732300</v>
      </c>
      <c r="P87" s="64"/>
      <c r="Q87" s="88">
        <v>44765128</v>
      </c>
      <c r="R87" s="38"/>
      <c r="S87" s="88">
        <f>1500530+18936</f>
        <v>1519466</v>
      </c>
    </row>
    <row r="88" spans="1:19" ht="12.75">
      <c r="A88" s="32" t="s">
        <v>78</v>
      </c>
      <c r="B88" s="32"/>
      <c r="C88" s="88">
        <v>3262099</v>
      </c>
      <c r="D88" s="88"/>
      <c r="E88" s="88">
        <v>3692010</v>
      </c>
      <c r="F88" s="88"/>
      <c r="G88" s="88">
        <v>0</v>
      </c>
      <c r="H88" s="88"/>
      <c r="I88" s="88">
        <v>2577050</v>
      </c>
      <c r="J88" s="88"/>
      <c r="K88" s="88">
        <v>12012827</v>
      </c>
      <c r="L88" s="88"/>
      <c r="M88" s="88">
        <v>283135</v>
      </c>
      <c r="N88" s="64"/>
      <c r="O88" s="64">
        <f t="shared" si="2"/>
        <v>1118978</v>
      </c>
      <c r="P88" s="64"/>
      <c r="Q88" s="88">
        <v>22946099</v>
      </c>
      <c r="R88" s="38"/>
      <c r="S88" s="88">
        <f>8328+266839+1136949</f>
        <v>1412116</v>
      </c>
    </row>
    <row r="89" spans="1:19" ht="12.75">
      <c r="A89" s="32" t="s">
        <v>79</v>
      </c>
      <c r="B89" s="32"/>
      <c r="C89" s="88">
        <v>1999503</v>
      </c>
      <c r="D89" s="88"/>
      <c r="E89" s="88">
        <v>0</v>
      </c>
      <c r="F89" s="88"/>
      <c r="G89" s="88">
        <v>0</v>
      </c>
      <c r="H89" s="88"/>
      <c r="I89" s="88">
        <v>1071406</v>
      </c>
      <c r="J89" s="88"/>
      <c r="K89" s="88">
        <v>11962755</v>
      </c>
      <c r="L89" s="88"/>
      <c r="M89" s="88">
        <v>0</v>
      </c>
      <c r="N89" s="64"/>
      <c r="O89" s="64">
        <f t="shared" si="2"/>
        <v>1638462</v>
      </c>
      <c r="P89" s="64"/>
      <c r="Q89" s="88">
        <v>16672126</v>
      </c>
      <c r="R89" s="38"/>
      <c r="S89" s="88">
        <v>154814</v>
      </c>
    </row>
    <row r="90" spans="1:19" ht="12.75">
      <c r="A90" s="32" t="s">
        <v>80</v>
      </c>
      <c r="B90" s="32"/>
      <c r="C90" s="88">
        <v>59806913</v>
      </c>
      <c r="D90" s="88"/>
      <c r="E90" s="88">
        <v>0</v>
      </c>
      <c r="F90" s="88"/>
      <c r="G90" s="88">
        <v>0</v>
      </c>
      <c r="H90" s="88"/>
      <c r="I90" s="88">
        <v>12841869</v>
      </c>
      <c r="J90" s="88"/>
      <c r="K90" s="88">
        <v>35572407</v>
      </c>
      <c r="L90" s="88"/>
      <c r="M90" s="88">
        <v>1853238</v>
      </c>
      <c r="N90" s="64"/>
      <c r="O90" s="64">
        <f t="shared" si="2"/>
        <v>6831647</v>
      </c>
      <c r="P90" s="64"/>
      <c r="Q90" s="88">
        <v>116906074</v>
      </c>
      <c r="R90" s="38"/>
      <c r="S90" s="88">
        <f>71577+5030000+263246+14424158</f>
        <v>19788981</v>
      </c>
    </row>
    <row r="91" spans="1:19" ht="12.75">
      <c r="A91" s="32" t="s">
        <v>81</v>
      </c>
      <c r="B91" s="32"/>
      <c r="C91" s="88">
        <v>9319054</v>
      </c>
      <c r="D91" s="88"/>
      <c r="E91" s="88">
        <v>8956176</v>
      </c>
      <c r="F91" s="88"/>
      <c r="G91" s="88">
        <v>79247</v>
      </c>
      <c r="H91" s="88"/>
      <c r="I91" s="88">
        <v>3753932</v>
      </c>
      <c r="J91" s="88"/>
      <c r="K91" s="88">
        <v>24178017</v>
      </c>
      <c r="L91" s="88"/>
      <c r="M91" s="88">
        <v>0</v>
      </c>
      <c r="N91" s="64"/>
      <c r="O91" s="64">
        <f t="shared" si="2"/>
        <v>1990651</v>
      </c>
      <c r="P91" s="64"/>
      <c r="Q91" s="88">
        <v>48277077</v>
      </c>
      <c r="R91" s="38"/>
      <c r="S91" s="88">
        <f>10645+640500+2612936</f>
        <v>3264081</v>
      </c>
    </row>
    <row r="92" spans="1:19" ht="12.75">
      <c r="A92" s="32" t="s">
        <v>82</v>
      </c>
      <c r="B92" s="32"/>
      <c r="C92" s="88">
        <v>15126971</v>
      </c>
      <c r="D92" s="88"/>
      <c r="E92" s="88">
        <v>9538188</v>
      </c>
      <c r="F92" s="88"/>
      <c r="G92" s="88">
        <v>0</v>
      </c>
      <c r="H92" s="88"/>
      <c r="I92" s="88">
        <v>10928771</v>
      </c>
      <c r="J92" s="88"/>
      <c r="K92" s="88">
        <v>31037834</v>
      </c>
      <c r="L92" s="88"/>
      <c r="M92" s="88">
        <v>2350</v>
      </c>
      <c r="N92" s="64"/>
      <c r="O92" s="64">
        <f t="shared" si="2"/>
        <v>5870395</v>
      </c>
      <c r="P92" s="64"/>
      <c r="Q92" s="88">
        <v>72504509</v>
      </c>
      <c r="R92" s="38"/>
      <c r="S92" s="88">
        <f>700+3286+3990081</f>
        <v>3994067</v>
      </c>
    </row>
    <row r="93" spans="1:19" ht="12.75" hidden="1">
      <c r="A93" s="32" t="s">
        <v>178</v>
      </c>
      <c r="B93" s="32"/>
      <c r="C93" s="88">
        <v>0</v>
      </c>
      <c r="D93" s="88"/>
      <c r="E93" s="88">
        <v>0</v>
      </c>
      <c r="F93" s="88"/>
      <c r="G93" s="88">
        <v>0</v>
      </c>
      <c r="H93" s="88"/>
      <c r="I93" s="88">
        <v>0</v>
      </c>
      <c r="J93" s="88"/>
      <c r="K93" s="88">
        <v>0</v>
      </c>
      <c r="L93" s="88"/>
      <c r="M93" s="88">
        <v>0</v>
      </c>
      <c r="N93" s="64"/>
      <c r="O93" s="64">
        <f t="shared" si="2"/>
        <v>0</v>
      </c>
      <c r="P93" s="64"/>
      <c r="Q93" s="88">
        <v>0</v>
      </c>
      <c r="R93" s="38"/>
      <c r="S93" s="88">
        <v>0</v>
      </c>
    </row>
    <row r="94" spans="1:19" ht="12.75">
      <c r="A94" s="32" t="s">
        <v>83</v>
      </c>
      <c r="B94" s="32"/>
      <c r="C94" s="88">
        <v>24236944</v>
      </c>
      <c r="D94" s="88"/>
      <c r="E94" s="88">
        <v>14917807</v>
      </c>
      <c r="F94" s="88"/>
      <c r="G94" s="88">
        <f>3856819+177723</f>
        <v>4034542</v>
      </c>
      <c r="H94" s="88"/>
      <c r="I94" s="88">
        <v>11669716</v>
      </c>
      <c r="J94" s="88"/>
      <c r="K94" s="88">
        <v>40431404</v>
      </c>
      <c r="L94" s="88"/>
      <c r="M94" s="88">
        <v>912515</v>
      </c>
      <c r="N94" s="64"/>
      <c r="O94" s="64">
        <f t="shared" si="2"/>
        <v>4228859</v>
      </c>
      <c r="P94" s="64"/>
      <c r="Q94" s="88">
        <v>100431787</v>
      </c>
      <c r="R94" s="38"/>
      <c r="S94" s="88">
        <f>12608+3277883</f>
        <v>3290491</v>
      </c>
    </row>
    <row r="95" spans="1:18" ht="12.75" hidden="1">
      <c r="A95" s="32" t="s">
        <v>179</v>
      </c>
      <c r="B95" s="32"/>
      <c r="C95" s="27"/>
      <c r="D95" s="27"/>
      <c r="E95" s="27"/>
      <c r="F95" s="27"/>
      <c r="G95" s="27"/>
      <c r="H95" s="27"/>
      <c r="I95" s="39"/>
      <c r="J95" s="39"/>
      <c r="K95" s="39"/>
      <c r="L95" s="39"/>
      <c r="M95" s="39"/>
      <c r="N95" s="39"/>
      <c r="O95" s="39"/>
      <c r="P95" s="39"/>
      <c r="Q95" s="33">
        <v>0</v>
      </c>
      <c r="R95" s="20"/>
    </row>
    <row r="96" spans="1:18" ht="12.75">
      <c r="A96" s="32" t="s">
        <v>244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0"/>
    </row>
    <row r="97" spans="1:18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0"/>
    </row>
    <row r="98" spans="1:18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>
        <f>SUM(Q9:Q94)</f>
        <v>7806785533</v>
      </c>
      <c r="R98" s="20"/>
    </row>
    <row r="99" spans="1:18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20"/>
    </row>
    <row r="100" spans="1:18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20"/>
    </row>
    <row r="101" spans="1:18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20"/>
    </row>
    <row r="102" spans="1:18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20"/>
    </row>
    <row r="103" spans="1:18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20"/>
    </row>
    <row r="104" spans="1:18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20"/>
    </row>
  </sheetData>
  <printOptions/>
  <pageMargins left="1" right="1" top="0.5" bottom="0.5" header="0" footer="0.25"/>
  <pageSetup firstPageNumber="32" useFirstPageNumber="1" horizontalDpi="600" verticalDpi="600" orientation="portrait" pageOrder="overThenDown" scale="95" r:id="rId1"/>
  <headerFooter alignWithMargins="0">
    <oddFooter>&amp;C&amp;"Times New Roman,Regular"&amp;11&amp;P</oddFooter>
  </headerFooter>
  <rowBreaks count="1" manualBreakCount="1">
    <brk id="7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N602"/>
  <sheetViews>
    <sheetView zoomScaleSheetLayoutView="100" workbookViewId="0" topLeftCell="A1">
      <pane xSplit="1" ySplit="7" topLeftCell="J55" activePane="bottomRight" state="frozen"/>
      <selection pane="topLeft" activeCell="T33" sqref="T33"/>
      <selection pane="topRight" activeCell="T33" sqref="T33"/>
      <selection pane="bottomLeft" activeCell="T33" sqref="T33"/>
      <selection pane="bottomRight" activeCell="AC99" sqref="AC99"/>
    </sheetView>
  </sheetViews>
  <sheetFormatPr defaultColWidth="9.140625" defaultRowHeight="12.75"/>
  <cols>
    <col min="1" max="1" width="15.7109375" style="7" customWidth="1"/>
    <col min="2" max="2" width="1.7109375" style="7" customWidth="1"/>
    <col min="3" max="3" width="11.7109375" style="7" customWidth="1"/>
    <col min="4" max="4" width="1.7109375" style="7" customWidth="1"/>
    <col min="5" max="5" width="11.7109375" style="7" customWidth="1"/>
    <col min="6" max="6" width="1.7109375" style="7" customWidth="1"/>
    <col min="7" max="7" width="11.7109375" style="7" customWidth="1"/>
    <col min="8" max="8" width="1.7109375" style="7" customWidth="1"/>
    <col min="9" max="9" width="11.7109375" style="7" customWidth="1"/>
    <col min="10" max="10" width="1.7109375" style="7" customWidth="1"/>
    <col min="11" max="11" width="11.7109375" style="7" customWidth="1"/>
    <col min="12" max="12" width="1.7109375" style="7" customWidth="1"/>
    <col min="13" max="13" width="11.7109375" style="7" customWidth="1"/>
    <col min="14" max="14" width="1.7109375" style="7" customWidth="1"/>
    <col min="15" max="15" width="11.7109375" style="7" customWidth="1"/>
    <col min="16" max="16" width="1.7109375" style="7" customWidth="1"/>
    <col min="17" max="17" width="10.7109375" style="7" customWidth="1"/>
    <col min="18" max="18" width="1.7109375" style="7" customWidth="1"/>
    <col min="19" max="19" width="10.7109375" style="7" customWidth="1"/>
    <col min="20" max="20" width="1.7109375" style="7" customWidth="1"/>
    <col min="21" max="21" width="10.7109375" style="7" customWidth="1"/>
    <col min="22" max="22" width="1.7109375" style="7" customWidth="1"/>
    <col min="23" max="23" width="10.7109375" style="7" customWidth="1"/>
    <col min="24" max="24" width="1.7109375" style="7" customWidth="1"/>
    <col min="25" max="25" width="10.7109375" style="7" customWidth="1"/>
    <col min="26" max="26" width="1.7109375" style="7" customWidth="1"/>
    <col min="27" max="27" width="10.7109375" style="7" customWidth="1"/>
    <col min="28" max="28" width="1.7109375" style="7" customWidth="1"/>
    <col min="29" max="29" width="11.7109375" style="7" customWidth="1"/>
    <col min="30" max="30" width="2.7109375" style="7" customWidth="1"/>
    <col min="31" max="31" width="11.7109375" style="7" customWidth="1"/>
    <col min="32" max="32" width="11.7109375" style="0" customWidth="1"/>
    <col min="33" max="33" width="11.140625" style="0" bestFit="1" customWidth="1"/>
    <col min="35" max="35" width="11.140625" style="0" bestFit="1" customWidth="1"/>
    <col min="37" max="37" width="10.8515625" style="0" bestFit="1" customWidth="1"/>
    <col min="39" max="39" width="14.140625" style="0" customWidth="1"/>
  </cols>
  <sheetData>
    <row r="1" spans="1:33" s="16" customFormat="1" ht="12.75">
      <c r="A1" s="34" t="s">
        <v>210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40"/>
      <c r="AF1" s="19"/>
      <c r="AG1" s="15"/>
    </row>
    <row r="2" spans="1:33" s="16" customFormat="1" ht="12.75">
      <c r="A2" s="34" t="s">
        <v>254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40"/>
      <c r="AF2" s="19"/>
      <c r="AG2" s="15"/>
    </row>
    <row r="3" spans="1:33" s="16" customFormat="1" ht="12.75">
      <c r="A3" s="34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40"/>
      <c r="AF3" s="19"/>
      <c r="AG3" s="15"/>
    </row>
    <row r="4" spans="1:33" ht="12.75">
      <c r="A4" s="24" t="s">
        <v>191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2"/>
      <c r="AF4" s="20"/>
      <c r="AG4" s="3"/>
    </row>
    <row r="5" spans="1:37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2"/>
      <c r="AF5" s="20"/>
      <c r="AG5" s="109" t="s">
        <v>217</v>
      </c>
      <c r="AI5" t="s">
        <v>222</v>
      </c>
      <c r="AK5" t="s">
        <v>225</v>
      </c>
    </row>
    <row r="6" spans="1:39" ht="12.75">
      <c r="A6" s="21"/>
      <c r="B6" s="21"/>
      <c r="C6" s="21" t="s">
        <v>192</v>
      </c>
      <c r="D6" s="21"/>
      <c r="E6" s="21"/>
      <c r="F6" s="21"/>
      <c r="G6" s="21" t="s">
        <v>84</v>
      </c>
      <c r="H6" s="21"/>
      <c r="I6" s="21" t="s">
        <v>84</v>
      </c>
      <c r="J6" s="21"/>
      <c r="K6" s="21"/>
      <c r="L6" s="21"/>
      <c r="M6" s="21" t="s">
        <v>85</v>
      </c>
      <c r="N6" s="21"/>
      <c r="O6" s="21" t="s">
        <v>169</v>
      </c>
      <c r="P6" s="21"/>
      <c r="Q6" s="21" t="s">
        <v>86</v>
      </c>
      <c r="R6" s="21"/>
      <c r="S6" s="21" t="s">
        <v>99</v>
      </c>
      <c r="T6" s="21"/>
      <c r="U6" s="21" t="s">
        <v>87</v>
      </c>
      <c r="V6" s="21"/>
      <c r="W6" s="21" t="s">
        <v>1</v>
      </c>
      <c r="X6" s="21"/>
      <c r="Y6" s="21"/>
      <c r="Z6" s="21"/>
      <c r="AA6" s="21" t="s">
        <v>100</v>
      </c>
      <c r="AB6" s="21"/>
      <c r="AC6" s="30"/>
      <c r="AD6" s="30"/>
      <c r="AE6" s="32" t="s">
        <v>101</v>
      </c>
      <c r="AF6" s="20"/>
      <c r="AG6" s="6" t="s">
        <v>221</v>
      </c>
      <c r="AH6" s="7"/>
      <c r="AI6" s="7" t="s">
        <v>223</v>
      </c>
      <c r="AJ6" s="7"/>
      <c r="AK6" s="7" t="s">
        <v>226</v>
      </c>
      <c r="AL6" s="7"/>
      <c r="AM6" s="7" t="s">
        <v>228</v>
      </c>
    </row>
    <row r="7" spans="1:39" ht="12.75">
      <c r="A7" s="22" t="s">
        <v>5</v>
      </c>
      <c r="B7" s="30"/>
      <c r="C7" s="22" t="s">
        <v>193</v>
      </c>
      <c r="D7" s="30"/>
      <c r="E7" s="22" t="s">
        <v>88</v>
      </c>
      <c r="F7" s="30"/>
      <c r="G7" s="22" t="s">
        <v>89</v>
      </c>
      <c r="H7" s="30"/>
      <c r="I7" s="22" t="s">
        <v>90</v>
      </c>
      <c r="J7" s="30"/>
      <c r="K7" s="22" t="s">
        <v>91</v>
      </c>
      <c r="L7" s="30"/>
      <c r="M7" s="22" t="s">
        <v>8</v>
      </c>
      <c r="N7" s="30"/>
      <c r="O7" s="22" t="s">
        <v>170</v>
      </c>
      <c r="P7" s="30"/>
      <c r="Q7" s="22" t="s">
        <v>196</v>
      </c>
      <c r="R7" s="30"/>
      <c r="S7" s="22" t="s">
        <v>92</v>
      </c>
      <c r="T7" s="30"/>
      <c r="U7" s="22" t="s">
        <v>93</v>
      </c>
      <c r="V7" s="30"/>
      <c r="W7" s="22" t="s">
        <v>9</v>
      </c>
      <c r="X7" s="30"/>
      <c r="Y7" s="22" t="s">
        <v>94</v>
      </c>
      <c r="Z7" s="30"/>
      <c r="AA7" s="22" t="s">
        <v>95</v>
      </c>
      <c r="AB7" s="30"/>
      <c r="AC7" s="22" t="s">
        <v>4</v>
      </c>
      <c r="AD7" s="30"/>
      <c r="AE7" s="32" t="s">
        <v>92</v>
      </c>
      <c r="AF7" s="20"/>
      <c r="AG7" s="6" t="s">
        <v>218</v>
      </c>
      <c r="AH7" s="7"/>
      <c r="AI7" s="7" t="s">
        <v>224</v>
      </c>
      <c r="AJ7" s="7"/>
      <c r="AK7" s="7" t="s">
        <v>227</v>
      </c>
      <c r="AL7" s="7"/>
      <c r="AM7" s="7" t="s">
        <v>229</v>
      </c>
    </row>
    <row r="8" spans="1:39" ht="12.75">
      <c r="A8" s="71"/>
      <c r="B8" s="30"/>
      <c r="C8" s="71"/>
      <c r="D8" s="30"/>
      <c r="E8" s="71"/>
      <c r="F8" s="30"/>
      <c r="G8" s="71"/>
      <c r="H8" s="30"/>
      <c r="I8" s="71"/>
      <c r="J8" s="30"/>
      <c r="K8" s="71"/>
      <c r="L8" s="30"/>
      <c r="M8" s="71"/>
      <c r="N8" s="30"/>
      <c r="O8" s="71"/>
      <c r="P8" s="30"/>
      <c r="Q8" s="71"/>
      <c r="R8" s="30"/>
      <c r="S8" s="71"/>
      <c r="T8" s="30"/>
      <c r="U8" s="71"/>
      <c r="V8" s="30"/>
      <c r="W8" s="71"/>
      <c r="X8" s="30"/>
      <c r="Y8" s="71"/>
      <c r="Z8" s="30"/>
      <c r="AA8" s="71"/>
      <c r="AB8" s="30"/>
      <c r="AC8" s="71"/>
      <c r="AD8" s="30"/>
      <c r="AE8" s="32"/>
      <c r="AF8" s="20"/>
      <c r="AG8" s="6"/>
      <c r="AH8" s="7"/>
      <c r="AI8" s="7"/>
      <c r="AJ8" s="7"/>
      <c r="AK8" s="7"/>
      <c r="AL8" s="7"/>
      <c r="AM8" s="7"/>
    </row>
    <row r="9" spans="1:39" ht="12.75">
      <c r="A9" s="32" t="s">
        <v>13</v>
      </c>
      <c r="B9" s="32"/>
      <c r="C9" s="146">
        <v>14426902</v>
      </c>
      <c r="D9" s="146"/>
      <c r="E9" s="146">
        <v>8807122</v>
      </c>
      <c r="F9" s="146"/>
      <c r="G9" s="146">
        <v>9968750</v>
      </c>
      <c r="H9" s="146"/>
      <c r="I9" s="146">
        <v>7263619</v>
      </c>
      <c r="J9" s="146"/>
      <c r="K9" s="146">
        <v>11373968</v>
      </c>
      <c r="L9" s="146"/>
      <c r="M9" s="146">
        <v>17482608</v>
      </c>
      <c r="N9" s="146"/>
      <c r="O9" s="146">
        <v>0</v>
      </c>
      <c r="P9" s="146"/>
      <c r="Q9" s="146">
        <v>1724701</v>
      </c>
      <c r="R9" s="146"/>
      <c r="S9" s="146">
        <v>46536</v>
      </c>
      <c r="T9" s="146"/>
      <c r="U9" s="146">
        <v>7671588</v>
      </c>
      <c r="V9" s="146"/>
      <c r="W9" s="146">
        <v>0</v>
      </c>
      <c r="X9" s="146"/>
      <c r="Y9" s="146">
        <v>10151730</v>
      </c>
      <c r="Z9" s="146"/>
      <c r="AA9" s="146">
        <v>1143965</v>
      </c>
      <c r="AB9" s="146"/>
      <c r="AC9" s="147">
        <f>SUM(C9:AA9)</f>
        <v>90061489</v>
      </c>
      <c r="AD9" s="89"/>
      <c r="AE9" s="90">
        <f>SUM(C9:S9)</f>
        <v>71094206</v>
      </c>
      <c r="AF9" s="20"/>
      <c r="AG9" s="146">
        <v>779775</v>
      </c>
      <c r="AH9" s="7"/>
      <c r="AI9" s="146">
        <v>34069343</v>
      </c>
      <c r="AJ9" s="7"/>
      <c r="AK9" s="7"/>
      <c r="AL9" s="7"/>
      <c r="AM9" s="7">
        <v>0</v>
      </c>
    </row>
    <row r="10" spans="1:40" ht="12.75">
      <c r="A10" s="32" t="s">
        <v>14</v>
      </c>
      <c r="B10" s="32"/>
      <c r="C10" s="88">
        <v>5706474</v>
      </c>
      <c r="D10" s="88"/>
      <c r="E10" s="88">
        <v>1517260</v>
      </c>
      <c r="F10" s="88"/>
      <c r="G10" s="88">
        <f>5024751+520141</f>
        <v>5544892</v>
      </c>
      <c r="H10" s="88"/>
      <c r="I10" s="88">
        <v>4352794</v>
      </c>
      <c r="J10" s="88"/>
      <c r="K10" s="88">
        <f>4345774+5272910+255464</f>
        <v>9874148</v>
      </c>
      <c r="L10" s="88"/>
      <c r="M10" s="88">
        <f>1079751+3419107+1513886</f>
        <v>6012744</v>
      </c>
      <c r="N10" s="88"/>
      <c r="O10" s="88">
        <v>0</v>
      </c>
      <c r="P10" s="88"/>
      <c r="Q10" s="88">
        <v>55000</v>
      </c>
      <c r="R10" s="88"/>
      <c r="S10" s="88">
        <v>0</v>
      </c>
      <c r="T10" s="88"/>
      <c r="U10" s="88">
        <v>0</v>
      </c>
      <c r="V10" s="88"/>
      <c r="W10" s="88">
        <v>335884</v>
      </c>
      <c r="X10" s="88"/>
      <c r="Y10" s="88">
        <v>355078</v>
      </c>
      <c r="Z10" s="88"/>
      <c r="AA10" s="88">
        <v>296677</v>
      </c>
      <c r="AB10" s="88"/>
      <c r="AC10" s="89">
        <f aca="true" t="shared" si="0" ref="AC10:AC26">SUM(C10:AA10)</f>
        <v>34050951</v>
      </c>
      <c r="AD10" s="89"/>
      <c r="AE10" s="90">
        <f aca="true" t="shared" si="1" ref="AE10:AE26">SUM(C10:S10)</f>
        <v>33063312</v>
      </c>
      <c r="AF10" s="20"/>
      <c r="AG10" s="88">
        <v>1418846</v>
      </c>
      <c r="AH10" s="7"/>
      <c r="AI10" s="88">
        <v>12173336</v>
      </c>
      <c r="AJ10" s="7"/>
      <c r="AK10" s="7"/>
      <c r="AL10" s="7"/>
      <c r="AM10" s="7">
        <v>0</v>
      </c>
      <c r="AN10" t="s">
        <v>237</v>
      </c>
    </row>
    <row r="11" spans="1:39" ht="12.75">
      <c r="A11" s="32" t="s">
        <v>15</v>
      </c>
      <c r="B11" s="32"/>
      <c r="C11" s="88">
        <v>8244632</v>
      </c>
      <c r="D11" s="88"/>
      <c r="E11" s="88">
        <v>3318762</v>
      </c>
      <c r="F11" s="88"/>
      <c r="G11" s="88">
        <v>8151868</v>
      </c>
      <c r="H11" s="88"/>
      <c r="I11" s="88">
        <v>5877332</v>
      </c>
      <c r="J11" s="88"/>
      <c r="K11" s="88">
        <v>24973525</v>
      </c>
      <c r="L11" s="88"/>
      <c r="M11" s="88">
        <v>32811165</v>
      </c>
      <c r="N11" s="88"/>
      <c r="O11" s="88">
        <v>0</v>
      </c>
      <c r="P11" s="88"/>
      <c r="Q11" s="88">
        <v>276224</v>
      </c>
      <c r="R11" s="88"/>
      <c r="S11" s="88">
        <v>2728111</v>
      </c>
      <c r="T11" s="88"/>
      <c r="U11" s="88">
        <v>968561</v>
      </c>
      <c r="V11" s="88"/>
      <c r="W11" s="88">
        <v>0</v>
      </c>
      <c r="X11" s="88"/>
      <c r="Y11" s="88">
        <v>1164042</v>
      </c>
      <c r="Z11" s="88"/>
      <c r="AA11" s="88">
        <v>380979</v>
      </c>
      <c r="AB11" s="88"/>
      <c r="AC11" s="89">
        <f t="shared" si="0"/>
        <v>88895201</v>
      </c>
      <c r="AD11" s="89"/>
      <c r="AE11" s="90">
        <f t="shared" si="1"/>
        <v>86381619</v>
      </c>
      <c r="AF11" s="20"/>
      <c r="AG11" s="88">
        <f>6068863+2476</f>
        <v>6071339</v>
      </c>
      <c r="AH11" s="7"/>
      <c r="AI11" s="88">
        <v>27182150</v>
      </c>
      <c r="AJ11" s="7"/>
      <c r="AK11" s="7">
        <v>66044</v>
      </c>
      <c r="AL11" s="7"/>
      <c r="AM11" s="7">
        <v>0</v>
      </c>
    </row>
    <row r="12" spans="1:39" ht="12.75">
      <c r="A12" s="32" t="s">
        <v>16</v>
      </c>
      <c r="B12" s="32"/>
      <c r="C12" s="88">
        <v>5571186</v>
      </c>
      <c r="D12" s="88"/>
      <c r="E12" s="88">
        <v>2399131</v>
      </c>
      <c r="F12" s="88"/>
      <c r="G12" s="88">
        <v>4806045</v>
      </c>
      <c r="H12" s="88"/>
      <c r="I12" s="88">
        <v>4994639</v>
      </c>
      <c r="J12" s="88"/>
      <c r="K12" s="88">
        <v>2263266</v>
      </c>
      <c r="L12" s="88"/>
      <c r="M12" s="88">
        <v>28771969</v>
      </c>
      <c r="N12" s="88"/>
      <c r="O12" s="88">
        <v>34636</v>
      </c>
      <c r="P12" s="88"/>
      <c r="Q12" s="88">
        <v>7751</v>
      </c>
      <c r="R12" s="88"/>
      <c r="S12" s="88">
        <v>0</v>
      </c>
      <c r="T12" s="88"/>
      <c r="U12" s="88">
        <v>896122</v>
      </c>
      <c r="V12" s="88"/>
      <c r="W12" s="88">
        <v>0</v>
      </c>
      <c r="X12" s="88"/>
      <c r="Y12" s="88">
        <v>462556</v>
      </c>
      <c r="Z12" s="88"/>
      <c r="AA12" s="88">
        <v>192053</v>
      </c>
      <c r="AB12" s="88"/>
      <c r="AC12" s="89">
        <f t="shared" si="0"/>
        <v>50399354</v>
      </c>
      <c r="AD12" s="89"/>
      <c r="AE12" s="90">
        <f t="shared" si="1"/>
        <v>48848623</v>
      </c>
      <c r="AF12" s="20"/>
      <c r="AG12" s="88">
        <v>1188395</v>
      </c>
      <c r="AH12" s="7"/>
      <c r="AI12" s="88">
        <v>11775989</v>
      </c>
      <c r="AJ12" s="7"/>
      <c r="AK12" s="7"/>
      <c r="AL12" s="7"/>
      <c r="AM12" s="7">
        <v>0</v>
      </c>
    </row>
    <row r="13" spans="1:39" ht="12.75">
      <c r="A13" s="32" t="s">
        <v>17</v>
      </c>
      <c r="B13" s="32"/>
      <c r="C13" s="88">
        <v>3745405</v>
      </c>
      <c r="D13" s="88"/>
      <c r="E13" s="88">
        <v>1650804</v>
      </c>
      <c r="F13" s="88"/>
      <c r="G13" s="88">
        <v>4434059</v>
      </c>
      <c r="H13" s="88"/>
      <c r="I13" s="88">
        <v>5606876</v>
      </c>
      <c r="J13" s="88"/>
      <c r="K13" s="88">
        <v>5099153</v>
      </c>
      <c r="L13" s="88"/>
      <c r="M13" s="88">
        <v>4745707</v>
      </c>
      <c r="N13" s="88"/>
      <c r="O13" s="88">
        <v>0</v>
      </c>
      <c r="P13" s="88"/>
      <c r="Q13" s="88">
        <v>0</v>
      </c>
      <c r="R13" s="88"/>
      <c r="S13" s="88">
        <v>1334072</v>
      </c>
      <c r="T13" s="88"/>
      <c r="U13" s="88">
        <v>897759</v>
      </c>
      <c r="V13" s="88"/>
      <c r="W13" s="88">
        <v>0</v>
      </c>
      <c r="X13" s="88"/>
      <c r="Y13" s="88">
        <v>1518970</v>
      </c>
      <c r="Z13" s="88"/>
      <c r="AA13" s="88">
        <v>216264</v>
      </c>
      <c r="AB13" s="88"/>
      <c r="AC13" s="89">
        <f t="shared" si="0"/>
        <v>29249069</v>
      </c>
      <c r="AD13" s="89"/>
      <c r="AE13" s="90">
        <f t="shared" si="1"/>
        <v>26616076</v>
      </c>
      <c r="AF13" s="20"/>
      <c r="AG13" s="88">
        <f>652230+514227</f>
        <v>1166457</v>
      </c>
      <c r="AH13" s="7"/>
      <c r="AI13" s="88">
        <v>15059183</v>
      </c>
      <c r="AJ13" s="7"/>
      <c r="AK13" s="7"/>
      <c r="AL13" s="7"/>
      <c r="AM13" s="7">
        <v>0</v>
      </c>
    </row>
    <row r="14" spans="1:39" ht="12.75">
      <c r="A14" s="32" t="s">
        <v>18</v>
      </c>
      <c r="B14" s="32"/>
      <c r="C14" s="88">
        <v>7653603</v>
      </c>
      <c r="D14" s="88"/>
      <c r="E14" s="88">
        <v>3013839</v>
      </c>
      <c r="F14" s="88"/>
      <c r="G14" s="88">
        <v>8269243</v>
      </c>
      <c r="H14" s="88"/>
      <c r="I14" s="88">
        <v>5646102</v>
      </c>
      <c r="J14" s="88"/>
      <c r="K14" s="88">
        <v>11180541</v>
      </c>
      <c r="L14" s="88"/>
      <c r="M14" s="88">
        <v>17061773</v>
      </c>
      <c r="N14" s="88"/>
      <c r="O14" s="88">
        <v>276427</v>
      </c>
      <c r="P14" s="88"/>
      <c r="Q14" s="88">
        <v>0</v>
      </c>
      <c r="R14" s="88"/>
      <c r="S14" s="88">
        <v>9131</v>
      </c>
      <c r="T14" s="88"/>
      <c r="U14" s="88">
        <v>2110006</v>
      </c>
      <c r="V14" s="88"/>
      <c r="W14" s="88">
        <v>2045558</v>
      </c>
      <c r="X14" s="88"/>
      <c r="Y14" s="88">
        <v>1058363</v>
      </c>
      <c r="Z14" s="88"/>
      <c r="AA14" s="88">
        <v>260496</v>
      </c>
      <c r="AB14" s="88"/>
      <c r="AC14" s="89">
        <f t="shared" si="0"/>
        <v>58585082</v>
      </c>
      <c r="AD14" s="89"/>
      <c r="AE14" s="90">
        <f t="shared" si="1"/>
        <v>53110659</v>
      </c>
      <c r="AF14" s="20"/>
      <c r="AG14" s="88">
        <v>5185879</v>
      </c>
      <c r="AH14" s="7"/>
      <c r="AI14" s="88">
        <v>26633635</v>
      </c>
      <c r="AJ14" s="7"/>
      <c r="AK14" s="7"/>
      <c r="AL14" s="7"/>
      <c r="AM14" s="7">
        <v>0</v>
      </c>
    </row>
    <row r="15" spans="1:39" ht="12.75" hidden="1">
      <c r="A15" s="32" t="s">
        <v>96</v>
      </c>
      <c r="B15" s="32"/>
      <c r="C15" s="88">
        <v>0</v>
      </c>
      <c r="D15" s="88"/>
      <c r="E15" s="88">
        <v>0</v>
      </c>
      <c r="F15" s="88"/>
      <c r="G15" s="88">
        <v>0</v>
      </c>
      <c r="H15" s="88"/>
      <c r="I15" s="88">
        <v>0</v>
      </c>
      <c r="J15" s="88"/>
      <c r="K15" s="88">
        <v>0</v>
      </c>
      <c r="L15" s="88"/>
      <c r="M15" s="88">
        <v>0</v>
      </c>
      <c r="N15" s="88"/>
      <c r="O15" s="88">
        <v>0</v>
      </c>
      <c r="P15" s="88"/>
      <c r="Q15" s="88">
        <v>0</v>
      </c>
      <c r="R15" s="88"/>
      <c r="S15" s="88">
        <v>0</v>
      </c>
      <c r="T15" s="88"/>
      <c r="U15" s="88">
        <v>0</v>
      </c>
      <c r="V15" s="88"/>
      <c r="W15" s="88">
        <v>0</v>
      </c>
      <c r="X15" s="88"/>
      <c r="Y15" s="88">
        <v>0</v>
      </c>
      <c r="Z15" s="88"/>
      <c r="AA15" s="88">
        <v>0</v>
      </c>
      <c r="AB15" s="88"/>
      <c r="AC15" s="89">
        <f t="shared" si="0"/>
        <v>0</v>
      </c>
      <c r="AD15" s="89"/>
      <c r="AE15" s="90">
        <f t="shared" si="1"/>
        <v>0</v>
      </c>
      <c r="AF15" s="20"/>
      <c r="AG15" s="88">
        <v>0</v>
      </c>
      <c r="AH15" s="7"/>
      <c r="AI15" s="88">
        <v>0</v>
      </c>
      <c r="AJ15" s="7"/>
      <c r="AK15" s="7"/>
      <c r="AL15" s="7"/>
      <c r="AM15" s="7">
        <v>0</v>
      </c>
    </row>
    <row r="16" spans="1:39" ht="12.75">
      <c r="A16" s="32" t="s">
        <v>19</v>
      </c>
      <c r="B16" s="32"/>
      <c r="C16" s="88">
        <v>39470890</v>
      </c>
      <c r="D16" s="88"/>
      <c r="E16" s="88">
        <v>13600268</v>
      </c>
      <c r="F16" s="88"/>
      <c r="G16" s="88">
        <v>36712267</v>
      </c>
      <c r="H16" s="88"/>
      <c r="I16" s="88">
        <v>21793001</v>
      </c>
      <c r="J16" s="88"/>
      <c r="K16" s="88">
        <v>47080225</v>
      </c>
      <c r="L16" s="88"/>
      <c r="M16" s="88">
        <v>69795718</v>
      </c>
      <c r="N16" s="88"/>
      <c r="O16" s="88">
        <v>0</v>
      </c>
      <c r="P16" s="88"/>
      <c r="Q16" s="88">
        <v>477828</v>
      </c>
      <c r="R16" s="88"/>
      <c r="S16" s="88">
        <v>0</v>
      </c>
      <c r="T16" s="88"/>
      <c r="U16" s="88">
        <v>902028</v>
      </c>
      <c r="V16" s="88"/>
      <c r="W16" s="88">
        <v>0</v>
      </c>
      <c r="X16" s="88"/>
      <c r="Y16" s="88">
        <v>18282294</v>
      </c>
      <c r="Z16" s="88"/>
      <c r="AA16" s="88">
        <f>4801820+156127</f>
        <v>4957947</v>
      </c>
      <c r="AB16" s="88"/>
      <c r="AC16" s="89">
        <f t="shared" si="0"/>
        <v>253072466</v>
      </c>
      <c r="AD16" s="89"/>
      <c r="AE16" s="90">
        <f t="shared" si="1"/>
        <v>228930197</v>
      </c>
      <c r="AF16" s="20"/>
      <c r="AG16" s="88">
        <f>8841258+6100441</f>
        <v>14941699</v>
      </c>
      <c r="AH16" s="7"/>
      <c r="AI16" s="88">
        <v>42564150</v>
      </c>
      <c r="AJ16" s="7"/>
      <c r="AK16" s="7"/>
      <c r="AL16" s="7"/>
      <c r="AM16" s="7">
        <v>0</v>
      </c>
    </row>
    <row r="17" spans="1:39" ht="12.75">
      <c r="A17" s="32" t="s">
        <v>20</v>
      </c>
      <c r="B17" s="32"/>
      <c r="C17" s="88">
        <v>2770806</v>
      </c>
      <c r="D17" s="88"/>
      <c r="E17" s="88">
        <v>799171</v>
      </c>
      <c r="F17" s="88"/>
      <c r="G17" s="88">
        <v>2618416</v>
      </c>
      <c r="H17" s="88"/>
      <c r="I17" s="88">
        <v>3998944</v>
      </c>
      <c r="J17" s="88"/>
      <c r="K17" s="88">
        <v>3983554</v>
      </c>
      <c r="L17" s="88"/>
      <c r="M17" s="88">
        <v>5030555</v>
      </c>
      <c r="N17" s="88"/>
      <c r="O17" s="88">
        <f>464663+300739</f>
        <v>765402</v>
      </c>
      <c r="P17" s="88"/>
      <c r="Q17" s="88">
        <v>0</v>
      </c>
      <c r="R17" s="88"/>
      <c r="S17" s="88">
        <v>563456</v>
      </c>
      <c r="T17" s="88"/>
      <c r="U17" s="88">
        <v>963455</v>
      </c>
      <c r="V17" s="88"/>
      <c r="W17" s="88">
        <v>0</v>
      </c>
      <c r="X17" s="88"/>
      <c r="Y17" s="88">
        <v>101999</v>
      </c>
      <c r="Z17" s="88"/>
      <c r="AA17" s="88">
        <v>18075</v>
      </c>
      <c r="AB17" s="88"/>
      <c r="AC17" s="89">
        <f t="shared" si="0"/>
        <v>21613833</v>
      </c>
      <c r="AD17" s="89"/>
      <c r="AE17" s="90">
        <f t="shared" si="1"/>
        <v>20530304</v>
      </c>
      <c r="AF17" s="20"/>
      <c r="AG17" s="88">
        <v>274236</v>
      </c>
      <c r="AH17" s="7"/>
      <c r="AI17" s="88">
        <v>4412611</v>
      </c>
      <c r="AJ17" s="7"/>
      <c r="AK17" s="7"/>
      <c r="AL17" s="7"/>
      <c r="AM17" s="7">
        <v>0</v>
      </c>
    </row>
    <row r="18" spans="1:39" ht="12.75" hidden="1">
      <c r="A18" s="30" t="s">
        <v>177</v>
      </c>
      <c r="B18" s="30"/>
      <c r="C18" s="88">
        <v>0</v>
      </c>
      <c r="D18" s="88"/>
      <c r="E18" s="88">
        <v>0</v>
      </c>
      <c r="F18" s="88"/>
      <c r="G18" s="88">
        <v>0</v>
      </c>
      <c r="H18" s="88"/>
      <c r="I18" s="88">
        <v>0</v>
      </c>
      <c r="J18" s="88"/>
      <c r="K18" s="88">
        <v>0</v>
      </c>
      <c r="L18" s="88"/>
      <c r="M18" s="88">
        <v>0</v>
      </c>
      <c r="N18" s="88"/>
      <c r="O18" s="88">
        <v>0</v>
      </c>
      <c r="P18" s="88"/>
      <c r="Q18" s="88">
        <v>0</v>
      </c>
      <c r="R18" s="88"/>
      <c r="S18" s="88">
        <v>0</v>
      </c>
      <c r="T18" s="88"/>
      <c r="U18" s="88">
        <v>0</v>
      </c>
      <c r="V18" s="88"/>
      <c r="W18" s="88">
        <v>0</v>
      </c>
      <c r="X18" s="88"/>
      <c r="Y18" s="88">
        <v>0</v>
      </c>
      <c r="Z18" s="88"/>
      <c r="AA18" s="88">
        <v>0</v>
      </c>
      <c r="AB18" s="88"/>
      <c r="AC18" s="89">
        <f t="shared" si="0"/>
        <v>0</v>
      </c>
      <c r="AD18" s="89"/>
      <c r="AE18" s="90">
        <f t="shared" si="1"/>
        <v>0</v>
      </c>
      <c r="AF18" s="20"/>
      <c r="AG18" s="88">
        <v>0</v>
      </c>
      <c r="AH18" s="7"/>
      <c r="AI18" s="88">
        <v>0</v>
      </c>
      <c r="AJ18" s="7"/>
      <c r="AK18" s="7"/>
      <c r="AL18" s="7"/>
      <c r="AM18" s="7">
        <v>0</v>
      </c>
    </row>
    <row r="19" spans="1:39" ht="12.75">
      <c r="A19" s="32" t="s">
        <v>21</v>
      </c>
      <c r="B19" s="32"/>
      <c r="C19" s="88">
        <v>6259806</v>
      </c>
      <c r="D19" s="88"/>
      <c r="E19" s="88">
        <v>8257399</v>
      </c>
      <c r="F19" s="88"/>
      <c r="G19" s="88">
        <v>16744583</v>
      </c>
      <c r="H19" s="88"/>
      <c r="I19" s="88">
        <v>11005770</v>
      </c>
      <c r="J19" s="88"/>
      <c r="K19" s="88">
        <v>23121148</v>
      </c>
      <c r="L19" s="88"/>
      <c r="M19" s="88">
        <v>41625233</v>
      </c>
      <c r="N19" s="88"/>
      <c r="O19" s="88">
        <v>0</v>
      </c>
      <c r="P19" s="88"/>
      <c r="Q19" s="88">
        <v>1694080</v>
      </c>
      <c r="R19" s="88"/>
      <c r="S19" s="88">
        <v>0</v>
      </c>
      <c r="T19" s="88"/>
      <c r="U19" s="88">
        <v>7902099</v>
      </c>
      <c r="V19" s="88"/>
      <c r="W19" s="88">
        <v>0</v>
      </c>
      <c r="X19" s="88"/>
      <c r="Y19" s="88">
        <v>840000</v>
      </c>
      <c r="Z19" s="88"/>
      <c r="AA19" s="88">
        <v>371764</v>
      </c>
      <c r="AB19" s="88"/>
      <c r="AC19" s="89">
        <f t="shared" si="0"/>
        <v>117821882</v>
      </c>
      <c r="AD19" s="89"/>
      <c r="AE19" s="90">
        <f>SUM(C19:S19)</f>
        <v>108708019</v>
      </c>
      <c r="AF19" s="20"/>
      <c r="AG19" s="88">
        <f>1463814+19720730</f>
        <v>21184544</v>
      </c>
      <c r="AH19" s="7"/>
      <c r="AI19" s="88">
        <v>18825617</v>
      </c>
      <c r="AJ19" s="7"/>
      <c r="AK19" s="7"/>
      <c r="AL19" s="7"/>
      <c r="AM19" s="7">
        <v>0</v>
      </c>
    </row>
    <row r="20" spans="1:39" ht="12.75">
      <c r="A20" s="32" t="s">
        <v>188</v>
      </c>
      <c r="B20" s="40"/>
      <c r="C20" s="88">
        <v>18355723</v>
      </c>
      <c r="D20" s="88"/>
      <c r="E20" s="88">
        <v>8916782</v>
      </c>
      <c r="F20" s="88"/>
      <c r="G20" s="88">
        <v>25105955</v>
      </c>
      <c r="H20" s="88"/>
      <c r="I20" s="88">
        <v>11494227</v>
      </c>
      <c r="J20" s="88"/>
      <c r="K20" s="88">
        <v>823847</v>
      </c>
      <c r="L20" s="88"/>
      <c r="M20" s="88">
        <v>29879236</v>
      </c>
      <c r="N20" s="88"/>
      <c r="O20" s="88">
        <v>1877047</v>
      </c>
      <c r="P20" s="88"/>
      <c r="Q20" s="88">
        <v>0</v>
      </c>
      <c r="R20" s="88"/>
      <c r="S20" s="88">
        <v>1501225</v>
      </c>
      <c r="T20" s="88"/>
      <c r="U20" s="88">
        <v>15603926</v>
      </c>
      <c r="V20" s="88"/>
      <c r="W20" s="88">
        <v>569756</v>
      </c>
      <c r="X20" s="88"/>
      <c r="Y20" s="88">
        <v>3790876</v>
      </c>
      <c r="Z20" s="88"/>
      <c r="AA20" s="88">
        <v>1364931</v>
      </c>
      <c r="AB20" s="88"/>
      <c r="AC20" s="89">
        <f t="shared" si="0"/>
        <v>119283531</v>
      </c>
      <c r="AD20" s="89"/>
      <c r="AE20" s="90">
        <f t="shared" si="1"/>
        <v>97954042</v>
      </c>
      <c r="AF20" s="20"/>
      <c r="AG20" s="88">
        <f>11811993+60485</f>
        <v>11872478</v>
      </c>
      <c r="AH20" s="7"/>
      <c r="AI20" s="88">
        <v>62760212</v>
      </c>
      <c r="AJ20" s="7"/>
      <c r="AK20" s="7">
        <v>0</v>
      </c>
      <c r="AL20" s="7"/>
      <c r="AM20" s="7">
        <v>0</v>
      </c>
    </row>
    <row r="21" spans="1:39" ht="12.75">
      <c r="A21" s="32" t="s">
        <v>22</v>
      </c>
      <c r="B21" s="32"/>
      <c r="C21" s="88">
        <v>4768428</v>
      </c>
      <c r="D21" s="88"/>
      <c r="E21" s="88">
        <v>2686591</v>
      </c>
      <c r="F21" s="88"/>
      <c r="G21" s="88">
        <v>3666249</v>
      </c>
      <c r="H21" s="88"/>
      <c r="I21" s="88">
        <v>4899626</v>
      </c>
      <c r="J21" s="88"/>
      <c r="K21" s="88">
        <v>3966484</v>
      </c>
      <c r="L21" s="88"/>
      <c r="M21" s="88">
        <v>9397733</v>
      </c>
      <c r="N21" s="88"/>
      <c r="O21" s="88">
        <v>213991</v>
      </c>
      <c r="P21" s="88"/>
      <c r="Q21" s="88">
        <v>0</v>
      </c>
      <c r="R21" s="88"/>
      <c r="S21" s="88">
        <v>1113869</v>
      </c>
      <c r="T21" s="88"/>
      <c r="U21" s="88">
        <v>1202936</v>
      </c>
      <c r="V21" s="88"/>
      <c r="W21" s="88">
        <v>0</v>
      </c>
      <c r="X21" s="88"/>
      <c r="Y21" s="88">
        <v>335018</v>
      </c>
      <c r="Z21" s="88"/>
      <c r="AA21" s="88">
        <v>395003</v>
      </c>
      <c r="AB21" s="88"/>
      <c r="AC21" s="89">
        <f t="shared" si="0"/>
        <v>32645928</v>
      </c>
      <c r="AD21" s="89"/>
      <c r="AE21" s="90">
        <f t="shared" si="1"/>
        <v>30712971</v>
      </c>
      <c r="AF21" s="20"/>
      <c r="AG21" s="88">
        <v>326483</v>
      </c>
      <c r="AH21" s="7"/>
      <c r="AI21" s="88">
        <v>3986097</v>
      </c>
      <c r="AJ21" s="7"/>
      <c r="AK21" s="7"/>
      <c r="AL21" s="7"/>
      <c r="AM21" s="7">
        <v>0</v>
      </c>
    </row>
    <row r="22" spans="1:39" ht="12.75" hidden="1">
      <c r="A22" s="32" t="s">
        <v>23</v>
      </c>
      <c r="B22" s="32"/>
      <c r="C22" s="88">
        <v>0</v>
      </c>
      <c r="D22" s="88"/>
      <c r="E22" s="88">
        <v>0</v>
      </c>
      <c r="F22" s="88"/>
      <c r="G22" s="88">
        <v>0</v>
      </c>
      <c r="H22" s="88"/>
      <c r="I22" s="88">
        <v>0</v>
      </c>
      <c r="J22" s="88"/>
      <c r="K22" s="88">
        <v>0</v>
      </c>
      <c r="L22" s="88"/>
      <c r="M22" s="88">
        <v>0</v>
      </c>
      <c r="N22" s="88"/>
      <c r="O22" s="88">
        <v>0</v>
      </c>
      <c r="P22" s="88"/>
      <c r="Q22" s="88">
        <v>0</v>
      </c>
      <c r="R22" s="88"/>
      <c r="S22" s="88">
        <v>0</v>
      </c>
      <c r="T22" s="88"/>
      <c r="U22" s="88">
        <v>0</v>
      </c>
      <c r="V22" s="88"/>
      <c r="W22" s="88">
        <v>0</v>
      </c>
      <c r="X22" s="88"/>
      <c r="Y22" s="88">
        <v>0</v>
      </c>
      <c r="Z22" s="88"/>
      <c r="AA22" s="88">
        <v>0</v>
      </c>
      <c r="AB22" s="88"/>
      <c r="AC22" s="89">
        <f t="shared" si="0"/>
        <v>0</v>
      </c>
      <c r="AD22" s="89"/>
      <c r="AE22" s="90">
        <f t="shared" si="1"/>
        <v>0</v>
      </c>
      <c r="AF22" s="20"/>
      <c r="AG22" s="88">
        <v>0</v>
      </c>
      <c r="AH22" s="7"/>
      <c r="AI22" s="88">
        <v>0</v>
      </c>
      <c r="AJ22" s="7"/>
      <c r="AK22" s="7"/>
      <c r="AL22" s="7"/>
      <c r="AM22" s="7">
        <v>0</v>
      </c>
    </row>
    <row r="23" spans="1:39" ht="12.75" hidden="1">
      <c r="A23" s="32" t="s">
        <v>24</v>
      </c>
      <c r="B23" s="40"/>
      <c r="C23" s="88">
        <v>0</v>
      </c>
      <c r="D23" s="88"/>
      <c r="E23" s="88">
        <v>0</v>
      </c>
      <c r="F23" s="88"/>
      <c r="G23" s="88">
        <v>0</v>
      </c>
      <c r="H23" s="88"/>
      <c r="I23" s="88">
        <v>0</v>
      </c>
      <c r="J23" s="88"/>
      <c r="K23" s="88">
        <v>0</v>
      </c>
      <c r="L23" s="88"/>
      <c r="M23" s="88">
        <v>0</v>
      </c>
      <c r="N23" s="88"/>
      <c r="O23" s="88">
        <v>0</v>
      </c>
      <c r="P23" s="88"/>
      <c r="Q23" s="88">
        <v>0</v>
      </c>
      <c r="R23" s="88"/>
      <c r="S23" s="88">
        <v>0</v>
      </c>
      <c r="T23" s="88"/>
      <c r="U23" s="88">
        <v>0</v>
      </c>
      <c r="V23" s="88"/>
      <c r="W23" s="88">
        <v>0</v>
      </c>
      <c r="X23" s="88"/>
      <c r="Y23" s="88">
        <v>0</v>
      </c>
      <c r="Z23" s="88"/>
      <c r="AA23" s="88">
        <v>0</v>
      </c>
      <c r="AB23" s="88"/>
      <c r="AC23" s="89">
        <f t="shared" si="0"/>
        <v>0</v>
      </c>
      <c r="AD23" s="89"/>
      <c r="AE23" s="90">
        <f t="shared" si="1"/>
        <v>0</v>
      </c>
      <c r="AF23" s="20"/>
      <c r="AG23" s="88">
        <v>0</v>
      </c>
      <c r="AH23" s="7"/>
      <c r="AI23" s="88">
        <v>0</v>
      </c>
      <c r="AJ23" s="7"/>
      <c r="AK23" s="7"/>
      <c r="AL23" s="7"/>
      <c r="AM23" s="7">
        <v>0</v>
      </c>
    </row>
    <row r="24" spans="1:39" ht="12.75">
      <c r="A24" s="32" t="s">
        <v>186</v>
      </c>
      <c r="B24" s="32"/>
      <c r="C24" s="88">
        <v>3788011</v>
      </c>
      <c r="D24" s="88"/>
      <c r="E24" s="88">
        <v>1965032</v>
      </c>
      <c r="F24" s="88"/>
      <c r="G24" s="88">
        <v>5336695</v>
      </c>
      <c r="H24" s="88"/>
      <c r="I24" s="88">
        <v>4460095</v>
      </c>
      <c r="J24" s="88"/>
      <c r="K24" s="88">
        <v>4365560</v>
      </c>
      <c r="L24" s="88"/>
      <c r="M24" s="88">
        <v>10696274</v>
      </c>
      <c r="N24" s="88"/>
      <c r="O24" s="88">
        <v>0</v>
      </c>
      <c r="P24" s="88"/>
      <c r="Q24" s="88">
        <v>0</v>
      </c>
      <c r="R24" s="88"/>
      <c r="S24" s="88">
        <v>0</v>
      </c>
      <c r="T24" s="88"/>
      <c r="U24" s="88">
        <v>467627</v>
      </c>
      <c r="V24" s="88"/>
      <c r="W24" s="88">
        <v>487385</v>
      </c>
      <c r="X24" s="88"/>
      <c r="Y24" s="88">
        <v>3290000</v>
      </c>
      <c r="Z24" s="88"/>
      <c r="AA24" s="88">
        <f>651159+67599</f>
        <v>718758</v>
      </c>
      <c r="AB24" s="88"/>
      <c r="AC24" s="89">
        <f t="shared" si="0"/>
        <v>35575437</v>
      </c>
      <c r="AD24" s="89"/>
      <c r="AE24" s="90">
        <f t="shared" si="1"/>
        <v>30611667</v>
      </c>
      <c r="AF24" s="20"/>
      <c r="AG24" s="88">
        <v>1397548</v>
      </c>
      <c r="AH24" s="7"/>
      <c r="AI24" s="88">
        <v>11254512</v>
      </c>
      <c r="AJ24" s="7"/>
      <c r="AK24" s="7"/>
      <c r="AL24" s="7"/>
      <c r="AM24" s="7">
        <v>0</v>
      </c>
    </row>
    <row r="25" spans="1:39" ht="12.75">
      <c r="A25" s="32" t="s">
        <v>25</v>
      </c>
      <c r="B25" s="32"/>
      <c r="C25" s="88">
        <v>84122000</v>
      </c>
      <c r="D25" s="88"/>
      <c r="E25" s="88">
        <v>293777000</v>
      </c>
      <c r="F25" s="88"/>
      <c r="G25" s="88">
        <v>207379000</v>
      </c>
      <c r="H25" s="88"/>
      <c r="I25" s="88">
        <v>58381000</v>
      </c>
      <c r="J25" s="88"/>
      <c r="K25" s="88">
        <v>0</v>
      </c>
      <c r="L25" s="88"/>
      <c r="M25" s="88">
        <v>587823000</v>
      </c>
      <c r="N25" s="88"/>
      <c r="O25" s="88">
        <v>32308000</v>
      </c>
      <c r="P25" s="88"/>
      <c r="Q25" s="88">
        <v>0</v>
      </c>
      <c r="R25" s="88"/>
      <c r="S25" s="88">
        <v>0</v>
      </c>
      <c r="T25" s="88"/>
      <c r="U25" s="88">
        <v>38981000</v>
      </c>
      <c r="V25" s="88"/>
      <c r="W25" s="88">
        <v>0</v>
      </c>
      <c r="X25" s="88"/>
      <c r="Y25" s="88">
        <v>22851000</v>
      </c>
      <c r="Z25" s="88"/>
      <c r="AA25" s="88">
        <v>16475000</v>
      </c>
      <c r="AB25" s="88"/>
      <c r="AC25" s="89">
        <f t="shared" si="0"/>
        <v>1342097000</v>
      </c>
      <c r="AD25" s="89"/>
      <c r="AE25" s="90">
        <f t="shared" si="1"/>
        <v>1263790000</v>
      </c>
      <c r="AF25" s="20"/>
      <c r="AG25" s="88">
        <f>5737000+160789000+80020000</f>
        <v>246546000</v>
      </c>
      <c r="AH25" s="7"/>
      <c r="AI25" s="88">
        <v>364138000</v>
      </c>
      <c r="AJ25" s="7"/>
      <c r="AK25" s="7"/>
      <c r="AL25" s="7"/>
      <c r="AM25" s="7">
        <v>0</v>
      </c>
    </row>
    <row r="26" spans="1:39" ht="12.75">
      <c r="A26" s="32" t="s">
        <v>26</v>
      </c>
      <c r="B26" s="32"/>
      <c r="C26" s="88">
        <v>6548444</v>
      </c>
      <c r="D26" s="88"/>
      <c r="E26" s="88">
        <v>0</v>
      </c>
      <c r="F26" s="88"/>
      <c r="G26" s="88">
        <v>3968455</v>
      </c>
      <c r="H26" s="88"/>
      <c r="I26" s="88">
        <v>4983325</v>
      </c>
      <c r="J26" s="88"/>
      <c r="K26" s="88">
        <v>193619</v>
      </c>
      <c r="L26" s="88"/>
      <c r="M26" s="88">
        <v>11376440</v>
      </c>
      <c r="N26" s="88"/>
      <c r="O26" s="88">
        <v>991446</v>
      </c>
      <c r="P26" s="88"/>
      <c r="Q26" s="88">
        <v>0</v>
      </c>
      <c r="R26" s="88"/>
      <c r="S26" s="88">
        <v>0</v>
      </c>
      <c r="T26" s="88"/>
      <c r="U26" s="88">
        <v>1333474</v>
      </c>
      <c r="V26" s="88"/>
      <c r="W26" s="88">
        <v>0</v>
      </c>
      <c r="X26" s="88"/>
      <c r="Y26" s="88">
        <v>118200</v>
      </c>
      <c r="Z26" s="88"/>
      <c r="AA26" s="88">
        <v>333386</v>
      </c>
      <c r="AB26" s="88"/>
      <c r="AC26" s="89">
        <f t="shared" si="0"/>
        <v>29846789</v>
      </c>
      <c r="AD26" s="89"/>
      <c r="AE26" s="90">
        <f t="shared" si="1"/>
        <v>28061729</v>
      </c>
      <c r="AF26" s="20"/>
      <c r="AG26" s="88">
        <v>2962117</v>
      </c>
      <c r="AH26" s="7"/>
      <c r="AI26" s="88">
        <v>10178608</v>
      </c>
      <c r="AJ26" s="7"/>
      <c r="AK26" s="7">
        <v>-10009</v>
      </c>
      <c r="AL26" s="7"/>
      <c r="AM26" s="7">
        <v>0</v>
      </c>
    </row>
    <row r="27" spans="1:39" ht="12.75">
      <c r="A27" s="32" t="s">
        <v>27</v>
      </c>
      <c r="B27" s="40"/>
      <c r="C27" s="88">
        <v>3885779</v>
      </c>
      <c r="D27" s="88"/>
      <c r="E27" s="88">
        <v>1435935</v>
      </c>
      <c r="F27" s="88"/>
      <c r="G27" s="88">
        <v>4341617</v>
      </c>
      <c r="H27" s="88"/>
      <c r="I27" s="88">
        <v>5665304</v>
      </c>
      <c r="J27" s="88"/>
      <c r="K27" s="88">
        <v>4326066</v>
      </c>
      <c r="L27" s="88"/>
      <c r="M27" s="88">
        <v>5803384</v>
      </c>
      <c r="N27" s="88"/>
      <c r="O27" s="88">
        <v>483702</v>
      </c>
      <c r="P27" s="88"/>
      <c r="Q27" s="88">
        <v>0</v>
      </c>
      <c r="R27" s="88"/>
      <c r="S27" s="88">
        <v>1898485</v>
      </c>
      <c r="T27" s="88"/>
      <c r="U27" s="88">
        <v>5529019</v>
      </c>
      <c r="V27" s="88"/>
      <c r="W27" s="88">
        <v>0</v>
      </c>
      <c r="X27" s="88"/>
      <c r="Y27" s="88">
        <v>234236</v>
      </c>
      <c r="Z27" s="88"/>
      <c r="AA27" s="88">
        <v>266729</v>
      </c>
      <c r="AB27" s="88"/>
      <c r="AC27" s="89">
        <f aca="true" t="shared" si="2" ref="AC27:AC73">SUM(C27:AA27)</f>
        <v>33870256</v>
      </c>
      <c r="AD27" s="89"/>
      <c r="AE27" s="90">
        <f aca="true" t="shared" si="3" ref="AE27:AE73">SUM(C27:S27)</f>
        <v>27840272</v>
      </c>
      <c r="AF27" s="20"/>
      <c r="AG27" s="88">
        <v>4621513</v>
      </c>
      <c r="AH27" s="7"/>
      <c r="AI27" s="88">
        <v>22829408</v>
      </c>
      <c r="AJ27" s="7"/>
      <c r="AK27" s="7"/>
      <c r="AL27" s="7"/>
      <c r="AM27" s="7">
        <f>+'Gov Fd Rv'!Q27+'Gov Fd Rv'!S27-'Gov Fnd Exp'!AC27-AG27+'Gov Fd Rv'!U27+AI27+AK27-'Gov Fd BS'!O28</f>
        <v>0</v>
      </c>
    </row>
    <row r="28" spans="1:39" ht="12.75">
      <c r="A28" s="32" t="s">
        <v>28</v>
      </c>
      <c r="B28" s="32"/>
      <c r="C28" s="88">
        <v>21585868</v>
      </c>
      <c r="D28" s="88"/>
      <c r="E28" s="88">
        <v>6226229</v>
      </c>
      <c r="F28" s="88"/>
      <c r="G28" s="88">
        <v>24757562</v>
      </c>
      <c r="H28" s="88"/>
      <c r="I28" s="88">
        <v>20379827</v>
      </c>
      <c r="J28" s="88"/>
      <c r="K28" s="88">
        <v>10300924</v>
      </c>
      <c r="L28" s="88"/>
      <c r="M28" s="88">
        <v>9918541</v>
      </c>
      <c r="N28" s="88"/>
      <c r="O28" s="88">
        <v>0</v>
      </c>
      <c r="P28" s="88"/>
      <c r="Q28" s="88">
        <v>0</v>
      </c>
      <c r="R28" s="88"/>
      <c r="S28" s="88">
        <v>158139</v>
      </c>
      <c r="T28" s="88"/>
      <c r="U28" s="88">
        <v>16084189</v>
      </c>
      <c r="V28" s="88"/>
      <c r="W28" s="88">
        <v>546986</v>
      </c>
      <c r="X28" s="88"/>
      <c r="Y28" s="88">
        <v>2365000</v>
      </c>
      <c r="Z28" s="88"/>
      <c r="AA28" s="88">
        <v>1534607</v>
      </c>
      <c r="AB28" s="88"/>
      <c r="AC28" s="89">
        <f t="shared" si="2"/>
        <v>113857872</v>
      </c>
      <c r="AD28" s="89"/>
      <c r="AE28" s="90">
        <f t="shared" si="3"/>
        <v>93327090</v>
      </c>
      <c r="AF28" s="20"/>
      <c r="AG28" s="88">
        <f>3528433+5964669</f>
        <v>9493102</v>
      </c>
      <c r="AH28" s="7"/>
      <c r="AI28" s="88">
        <v>74217552</v>
      </c>
      <c r="AJ28" s="7"/>
      <c r="AK28" s="7"/>
      <c r="AL28" s="7"/>
      <c r="AM28" s="7">
        <f>+'Gov Fd Rv'!Q28+'Gov Fd Rv'!S28-'Gov Fnd Exp'!AC28-AG28+'Gov Fd Rv'!U28+AI28+AK28-'Gov Fd BS'!O29</f>
        <v>0</v>
      </c>
    </row>
    <row r="29" spans="1:39" ht="12.75">
      <c r="A29" s="32" t="s">
        <v>29</v>
      </c>
      <c r="B29" s="32"/>
      <c r="C29" s="88">
        <v>11112800</v>
      </c>
      <c r="D29" s="88"/>
      <c r="E29" s="88">
        <v>4467467</v>
      </c>
      <c r="F29" s="88"/>
      <c r="G29" s="88">
        <v>11405307</v>
      </c>
      <c r="H29" s="88"/>
      <c r="I29" s="88">
        <v>7840829</v>
      </c>
      <c r="J29" s="88"/>
      <c r="K29" s="88">
        <v>7195669</v>
      </c>
      <c r="L29" s="88"/>
      <c r="M29" s="88">
        <v>13200100</v>
      </c>
      <c r="N29" s="88"/>
      <c r="O29" s="88">
        <v>5109351</v>
      </c>
      <c r="P29" s="88"/>
      <c r="Q29" s="88">
        <v>112977</v>
      </c>
      <c r="R29" s="88"/>
      <c r="S29" s="88">
        <v>665</v>
      </c>
      <c r="T29" s="88"/>
      <c r="U29" s="88">
        <v>2961926</v>
      </c>
      <c r="V29" s="88"/>
      <c r="W29" s="88">
        <v>0</v>
      </c>
      <c r="X29" s="88"/>
      <c r="Y29" s="88">
        <v>14488699</v>
      </c>
      <c r="Z29" s="88"/>
      <c r="AA29" s="88">
        <v>554950</v>
      </c>
      <c r="AB29" s="88"/>
      <c r="AC29" s="89">
        <f t="shared" si="2"/>
        <v>78450740</v>
      </c>
      <c r="AD29" s="89"/>
      <c r="AE29" s="90">
        <f t="shared" si="3"/>
        <v>60445165</v>
      </c>
      <c r="AF29" s="20"/>
      <c r="AG29" s="88">
        <v>4515233</v>
      </c>
      <c r="AH29" s="7"/>
      <c r="AI29" s="88">
        <v>27903597</v>
      </c>
      <c r="AJ29" s="7"/>
      <c r="AK29" s="91">
        <v>2853</v>
      </c>
      <c r="AL29" s="7"/>
      <c r="AM29" s="7">
        <f>+'Gov Fd Rv'!Q29+'Gov Fd Rv'!S29-'Gov Fnd Exp'!AC29-AG29+'Gov Fd Rv'!U29+AI29+AK29-'Gov Fd BS'!O30</f>
        <v>0</v>
      </c>
    </row>
    <row r="30" spans="1:39" ht="12.75">
      <c r="A30" s="32" t="s">
        <v>30</v>
      </c>
      <c r="B30" s="32"/>
      <c r="C30" s="88">
        <v>8336858</v>
      </c>
      <c r="D30" s="88"/>
      <c r="E30" s="88">
        <v>4330643</v>
      </c>
      <c r="F30" s="88"/>
      <c r="G30" s="88">
        <v>11767637</v>
      </c>
      <c r="H30" s="88"/>
      <c r="I30" s="88">
        <v>7389359</v>
      </c>
      <c r="J30" s="88"/>
      <c r="K30" s="88">
        <v>18685165</v>
      </c>
      <c r="L30" s="88"/>
      <c r="M30" s="88">
        <v>17475511</v>
      </c>
      <c r="N30" s="88"/>
      <c r="O30" s="88">
        <v>195456</v>
      </c>
      <c r="P30" s="88"/>
      <c r="Q30" s="88">
        <v>0</v>
      </c>
      <c r="R30" s="88"/>
      <c r="S30" s="88">
        <f>70585+5974</f>
        <v>76559</v>
      </c>
      <c r="T30" s="88"/>
      <c r="U30" s="88">
        <v>6528257</v>
      </c>
      <c r="V30" s="88"/>
      <c r="W30" s="88">
        <v>2050150</v>
      </c>
      <c r="X30" s="88"/>
      <c r="Y30" s="88">
        <v>1710638</v>
      </c>
      <c r="Z30" s="88"/>
      <c r="AA30" s="88">
        <v>1185467</v>
      </c>
      <c r="AB30" s="88"/>
      <c r="AC30" s="89">
        <f t="shared" si="2"/>
        <v>79731700</v>
      </c>
      <c r="AD30" s="89"/>
      <c r="AE30" s="90">
        <f t="shared" si="3"/>
        <v>68257188</v>
      </c>
      <c r="AF30" s="20"/>
      <c r="AG30" s="88">
        <v>5233569</v>
      </c>
      <c r="AH30" s="7"/>
      <c r="AI30" s="88">
        <v>31461332</v>
      </c>
      <c r="AJ30" s="7"/>
      <c r="AK30" s="7"/>
      <c r="AL30" s="7"/>
      <c r="AM30" s="7">
        <f>+'Gov Fd Rv'!Q30+'Gov Fd Rv'!S30-'Gov Fnd Exp'!AC30-AG30+'Gov Fd Rv'!U30+AI30+AK30-'Gov Fd BS'!O31</f>
        <v>0</v>
      </c>
    </row>
    <row r="31" spans="1:39" ht="12.75" hidden="1">
      <c r="A31" s="32" t="s">
        <v>31</v>
      </c>
      <c r="B31" s="32"/>
      <c r="C31" s="88">
        <v>0</v>
      </c>
      <c r="D31" s="88"/>
      <c r="E31" s="88">
        <v>0</v>
      </c>
      <c r="F31" s="88"/>
      <c r="G31" s="88">
        <v>0</v>
      </c>
      <c r="H31" s="88"/>
      <c r="I31" s="88">
        <v>0</v>
      </c>
      <c r="J31" s="88"/>
      <c r="K31" s="88">
        <v>0</v>
      </c>
      <c r="L31" s="88"/>
      <c r="M31" s="88">
        <v>0</v>
      </c>
      <c r="N31" s="88"/>
      <c r="O31" s="88">
        <v>0</v>
      </c>
      <c r="P31" s="88"/>
      <c r="Q31" s="88">
        <v>0</v>
      </c>
      <c r="R31" s="88"/>
      <c r="S31" s="88">
        <v>0</v>
      </c>
      <c r="T31" s="88"/>
      <c r="U31" s="88">
        <v>0</v>
      </c>
      <c r="V31" s="88"/>
      <c r="W31" s="88">
        <v>0</v>
      </c>
      <c r="X31" s="88"/>
      <c r="Y31" s="88">
        <v>0</v>
      </c>
      <c r="Z31" s="88"/>
      <c r="AA31" s="88">
        <v>0</v>
      </c>
      <c r="AB31" s="88"/>
      <c r="AC31" s="89">
        <f t="shared" si="2"/>
        <v>0</v>
      </c>
      <c r="AD31" s="89"/>
      <c r="AE31" s="90">
        <f t="shared" si="3"/>
        <v>0</v>
      </c>
      <c r="AF31" s="20"/>
      <c r="AG31" s="88">
        <v>0</v>
      </c>
      <c r="AH31" s="7"/>
      <c r="AI31" s="88">
        <v>0</v>
      </c>
      <c r="AJ31" s="7"/>
      <c r="AK31" s="7"/>
      <c r="AL31" s="7"/>
      <c r="AM31" s="7">
        <f>+'Gov Fd Rv'!Q31+'Gov Fd Rv'!S31-'Gov Fnd Exp'!AC31-AG31+'Gov Fd Rv'!U31+AI31+AK31-'Gov Fd BS'!O32</f>
        <v>0</v>
      </c>
    </row>
    <row r="32" spans="1:39" ht="12.75">
      <c r="A32" s="32" t="s">
        <v>32</v>
      </c>
      <c r="B32" s="32"/>
      <c r="C32" s="88">
        <v>78583000</v>
      </c>
      <c r="D32" s="88"/>
      <c r="E32" s="88">
        <v>64203000</v>
      </c>
      <c r="F32" s="88"/>
      <c r="G32" s="88">
        <v>119272000</v>
      </c>
      <c r="H32" s="88"/>
      <c r="I32" s="88">
        <v>38691000</v>
      </c>
      <c r="J32" s="88"/>
      <c r="K32" s="88">
        <v>292420000</v>
      </c>
      <c r="L32" s="88"/>
      <c r="M32" s="88">
        <v>318665000</v>
      </c>
      <c r="N32" s="88"/>
      <c r="O32" s="88">
        <v>5510000</v>
      </c>
      <c r="P32" s="88"/>
      <c r="Q32" s="88">
        <v>14278000</v>
      </c>
      <c r="R32" s="88"/>
      <c r="S32" s="88">
        <v>317000</v>
      </c>
      <c r="T32" s="88"/>
      <c r="U32" s="88">
        <v>26102000</v>
      </c>
      <c r="V32" s="88"/>
      <c r="W32" s="88">
        <v>16550000</v>
      </c>
      <c r="X32" s="88"/>
      <c r="Y32" s="88">
        <v>9636000</v>
      </c>
      <c r="Z32" s="88"/>
      <c r="AA32" s="88">
        <v>5852000</v>
      </c>
      <c r="AB32" s="88"/>
      <c r="AC32" s="89">
        <f t="shared" si="2"/>
        <v>990079000</v>
      </c>
      <c r="AD32" s="89"/>
      <c r="AE32" s="90">
        <f t="shared" si="3"/>
        <v>931939000</v>
      </c>
      <c r="AF32" s="20"/>
      <c r="AG32" s="88">
        <f>44757000+26830000</f>
        <v>71587000</v>
      </c>
      <c r="AH32" s="7"/>
      <c r="AI32" s="88">
        <v>336565000</v>
      </c>
      <c r="AJ32" s="7"/>
      <c r="AK32" s="7"/>
      <c r="AL32" s="7"/>
      <c r="AM32" s="7">
        <f>+'Gov Fd Rv'!Q32+'Gov Fd Rv'!S32-'Gov Fnd Exp'!AC32-AG32+'Gov Fd Rv'!U32+AI32+AK32-'Gov Fd BS'!O33</f>
        <v>0</v>
      </c>
    </row>
    <row r="33" spans="1:39" ht="12.75">
      <c r="A33" s="32" t="s">
        <v>33</v>
      </c>
      <c r="B33" s="32"/>
      <c r="C33" s="88">
        <v>4995512</v>
      </c>
      <c r="D33" s="88"/>
      <c r="E33" s="88">
        <v>1419694</v>
      </c>
      <c r="F33" s="88"/>
      <c r="G33" s="88">
        <v>5999850</v>
      </c>
      <c r="H33" s="88"/>
      <c r="I33" s="88">
        <v>4908551</v>
      </c>
      <c r="J33" s="88"/>
      <c r="K33" s="88">
        <v>4670941</v>
      </c>
      <c r="L33" s="88"/>
      <c r="M33" s="88">
        <v>5795613</v>
      </c>
      <c r="N33" s="88"/>
      <c r="O33" s="88">
        <v>947258</v>
      </c>
      <c r="P33" s="88"/>
      <c r="Q33" s="88">
        <v>0</v>
      </c>
      <c r="R33" s="88"/>
      <c r="S33" s="88">
        <v>110400</v>
      </c>
      <c r="T33" s="88"/>
      <c r="U33" s="88">
        <v>621870</v>
      </c>
      <c r="V33" s="88"/>
      <c r="W33" s="88">
        <v>723831</v>
      </c>
      <c r="X33" s="88"/>
      <c r="Y33" s="88">
        <v>208948</v>
      </c>
      <c r="Z33" s="88"/>
      <c r="AA33" s="88">
        <v>84148</v>
      </c>
      <c r="AB33" s="88"/>
      <c r="AC33" s="89">
        <f t="shared" si="2"/>
        <v>30486616</v>
      </c>
      <c r="AD33" s="89"/>
      <c r="AE33" s="90">
        <f t="shared" si="3"/>
        <v>28847819</v>
      </c>
      <c r="AF33" s="20"/>
      <c r="AG33" s="88">
        <v>876511</v>
      </c>
      <c r="AH33" s="7"/>
      <c r="AI33" s="88">
        <v>16412113</v>
      </c>
      <c r="AJ33" s="7"/>
      <c r="AK33" s="7"/>
      <c r="AL33" s="7"/>
      <c r="AM33" s="7">
        <f>+'Gov Fd Rv'!Q33+'Gov Fd Rv'!S33-'Gov Fnd Exp'!AC33-AG33+'Gov Fd Rv'!U33+AI33+AK33-'Gov Fd BS'!O34</f>
        <v>0</v>
      </c>
    </row>
    <row r="34" spans="1:39" ht="12.75">
      <c r="A34" s="32" t="s">
        <v>34</v>
      </c>
      <c r="B34" s="32"/>
      <c r="C34" s="88">
        <v>2890054</v>
      </c>
      <c r="D34" s="88"/>
      <c r="E34" s="88">
        <v>1173496</v>
      </c>
      <c r="F34" s="88"/>
      <c r="G34" s="88">
        <v>4850371</v>
      </c>
      <c r="H34" s="88"/>
      <c r="I34" s="88">
        <v>4844301</v>
      </c>
      <c r="J34" s="88"/>
      <c r="K34" s="88">
        <v>2427748</v>
      </c>
      <c r="L34" s="88"/>
      <c r="M34" s="88">
        <v>9028288</v>
      </c>
      <c r="N34" s="88"/>
      <c r="O34" s="88">
        <v>818000</v>
      </c>
      <c r="P34" s="88"/>
      <c r="Q34" s="88">
        <v>210733</v>
      </c>
      <c r="R34" s="88"/>
      <c r="S34" s="88">
        <v>843589</v>
      </c>
      <c r="T34" s="88"/>
      <c r="U34" s="88">
        <v>1283478</v>
      </c>
      <c r="V34" s="88"/>
      <c r="W34" s="88">
        <v>0</v>
      </c>
      <c r="X34" s="88"/>
      <c r="Y34" s="88">
        <v>158175</v>
      </c>
      <c r="Z34" s="88"/>
      <c r="AA34" s="88">
        <v>34335</v>
      </c>
      <c r="AB34" s="88"/>
      <c r="AC34" s="89">
        <f t="shared" si="2"/>
        <v>28562568</v>
      </c>
      <c r="AD34" s="89"/>
      <c r="AE34" s="90">
        <f t="shared" si="3"/>
        <v>27086580</v>
      </c>
      <c r="AF34" s="20"/>
      <c r="AG34" s="88">
        <v>856906</v>
      </c>
      <c r="AH34" s="7"/>
      <c r="AI34" s="88">
        <v>5733424</v>
      </c>
      <c r="AJ34" s="7"/>
      <c r="AK34" s="7"/>
      <c r="AL34" s="7"/>
      <c r="AM34" s="7">
        <f>+'Gov Fd Rv'!Q34+'Gov Fd Rv'!S34-'Gov Fnd Exp'!AC34-AG34+'Gov Fd Rv'!U34+AI34+AK34-'Gov Fd BS'!O35</f>
        <v>0</v>
      </c>
    </row>
    <row r="35" spans="1:39" ht="12.75">
      <c r="A35" s="32" t="s">
        <v>35</v>
      </c>
      <c r="B35" s="32"/>
      <c r="C35" s="88">
        <v>7864277</v>
      </c>
      <c r="D35" s="88"/>
      <c r="E35" s="88">
        <v>3481964</v>
      </c>
      <c r="F35" s="88"/>
      <c r="G35" s="88">
        <v>10357850</v>
      </c>
      <c r="H35" s="88"/>
      <c r="I35" s="88">
        <v>6702320</v>
      </c>
      <c r="J35" s="88"/>
      <c r="K35" s="88">
        <v>6033085</v>
      </c>
      <c r="L35" s="88"/>
      <c r="M35" s="88">
        <v>26861298</v>
      </c>
      <c r="N35" s="88"/>
      <c r="O35" s="88">
        <v>80926</v>
      </c>
      <c r="P35" s="88"/>
      <c r="Q35" s="88">
        <v>0</v>
      </c>
      <c r="R35" s="88"/>
      <c r="S35" s="88">
        <v>841134</v>
      </c>
      <c r="T35" s="88"/>
      <c r="U35" s="88">
        <v>16980968</v>
      </c>
      <c r="V35" s="88"/>
      <c r="W35" s="88">
        <v>661340</v>
      </c>
      <c r="X35" s="88"/>
      <c r="Y35" s="88">
        <v>449694</v>
      </c>
      <c r="Z35" s="88"/>
      <c r="AA35" s="88">
        <v>532440</v>
      </c>
      <c r="AB35" s="88"/>
      <c r="AC35" s="89">
        <f t="shared" si="2"/>
        <v>80847296</v>
      </c>
      <c r="AD35" s="89"/>
      <c r="AE35" s="90">
        <f t="shared" si="3"/>
        <v>62222854</v>
      </c>
      <c r="AF35" s="20"/>
      <c r="AG35" s="88">
        <v>9083958</v>
      </c>
      <c r="AH35" s="7"/>
      <c r="AI35" s="88">
        <v>20560570</v>
      </c>
      <c r="AJ35" s="7"/>
      <c r="AK35" s="7"/>
      <c r="AL35" s="7"/>
      <c r="AM35" s="7">
        <f>+'Gov Fd Rv'!Q35+'Gov Fd Rv'!S35-'Gov Fnd Exp'!AC35-AG35+'Gov Fd Rv'!U35+AI35+AK35-'Gov Fd BS'!O36</f>
        <v>0</v>
      </c>
    </row>
    <row r="36" spans="1:39" ht="12.75">
      <c r="A36" s="32" t="s">
        <v>189</v>
      </c>
      <c r="B36" s="32"/>
      <c r="C36" s="88">
        <v>15066352</v>
      </c>
      <c r="D36" s="88"/>
      <c r="E36" s="88">
        <v>6513033</v>
      </c>
      <c r="F36" s="88"/>
      <c r="G36" s="88">
        <v>21221779</v>
      </c>
      <c r="H36" s="88"/>
      <c r="I36" s="88">
        <v>8242122</v>
      </c>
      <c r="J36" s="88"/>
      <c r="K36" s="88">
        <v>16301344</v>
      </c>
      <c r="L36" s="88"/>
      <c r="M36" s="88">
        <v>28996623</v>
      </c>
      <c r="N36" s="88"/>
      <c r="O36" s="88">
        <v>6100614</v>
      </c>
      <c r="P36" s="88"/>
      <c r="Q36" s="88">
        <v>2849492</v>
      </c>
      <c r="R36" s="88"/>
      <c r="S36" s="88">
        <v>0</v>
      </c>
      <c r="T36" s="88"/>
      <c r="U36" s="88">
        <v>104252</v>
      </c>
      <c r="V36" s="88"/>
      <c r="W36" s="88">
        <v>0</v>
      </c>
      <c r="X36" s="88"/>
      <c r="Y36" s="88">
        <v>3030000</v>
      </c>
      <c r="Z36" s="88"/>
      <c r="AA36" s="88">
        <v>1013544</v>
      </c>
      <c r="AB36" s="88"/>
      <c r="AC36" s="89">
        <f t="shared" si="2"/>
        <v>109439155</v>
      </c>
      <c r="AD36" s="89"/>
      <c r="AE36" s="90">
        <f t="shared" si="3"/>
        <v>105291359</v>
      </c>
      <c r="AF36" s="20"/>
      <c r="AG36" s="88">
        <f>50800+3378870</f>
        <v>3429670</v>
      </c>
      <c r="AH36" s="7"/>
      <c r="AI36" s="88">
        <v>33929845</v>
      </c>
      <c r="AJ36" s="7"/>
      <c r="AK36" s="7"/>
      <c r="AL36" s="7"/>
      <c r="AM36" s="7">
        <f>+'Gov Fd Rv'!Q36+'Gov Fd Rv'!S36-'Gov Fnd Exp'!AC36-AG36+'Gov Fd Rv'!U36+AI36+AK36-'Gov Fd BS'!O37</f>
        <v>0</v>
      </c>
    </row>
    <row r="37" spans="1:39" ht="12.75" hidden="1">
      <c r="A37" s="32" t="s">
        <v>36</v>
      </c>
      <c r="B37" s="32"/>
      <c r="C37" s="88">
        <v>0</v>
      </c>
      <c r="D37" s="88"/>
      <c r="E37" s="88">
        <v>0</v>
      </c>
      <c r="F37" s="88"/>
      <c r="G37" s="88">
        <v>0</v>
      </c>
      <c r="H37" s="88"/>
      <c r="I37" s="88">
        <v>0</v>
      </c>
      <c r="J37" s="88"/>
      <c r="K37" s="88">
        <v>0</v>
      </c>
      <c r="L37" s="88"/>
      <c r="M37" s="88">
        <v>0</v>
      </c>
      <c r="N37" s="88"/>
      <c r="O37" s="88">
        <v>0</v>
      </c>
      <c r="P37" s="88"/>
      <c r="Q37" s="88">
        <v>0</v>
      </c>
      <c r="R37" s="88"/>
      <c r="S37" s="88">
        <v>0</v>
      </c>
      <c r="T37" s="88"/>
      <c r="U37" s="88">
        <v>0</v>
      </c>
      <c r="V37" s="88"/>
      <c r="W37" s="88">
        <v>0</v>
      </c>
      <c r="X37" s="88"/>
      <c r="Y37" s="88">
        <v>0</v>
      </c>
      <c r="Z37" s="88"/>
      <c r="AA37" s="88">
        <v>0</v>
      </c>
      <c r="AB37" s="88"/>
      <c r="AC37" s="89">
        <f t="shared" si="2"/>
        <v>0</v>
      </c>
      <c r="AD37" s="89"/>
      <c r="AE37" s="90">
        <f t="shared" si="3"/>
        <v>0</v>
      </c>
      <c r="AF37" s="20"/>
      <c r="AG37" s="88">
        <v>0</v>
      </c>
      <c r="AH37" s="7"/>
      <c r="AI37" s="88">
        <v>0</v>
      </c>
      <c r="AJ37" s="7"/>
      <c r="AK37" s="7"/>
      <c r="AL37" s="7"/>
      <c r="AM37" s="7">
        <f>+'Gov Fd Rv'!Q37+'Gov Fd Rv'!S37-'Gov Fnd Exp'!AC37-AG37+'Gov Fd Rv'!U37+AI37+AK37-'Gov Fd BS'!O38</f>
        <v>0</v>
      </c>
    </row>
    <row r="38" spans="1:39" ht="12.75" hidden="1">
      <c r="A38" s="32" t="s">
        <v>37</v>
      </c>
      <c r="B38" s="32"/>
      <c r="C38" s="88">
        <v>0</v>
      </c>
      <c r="D38" s="88"/>
      <c r="E38" s="88">
        <v>0</v>
      </c>
      <c r="F38" s="88"/>
      <c r="G38" s="88">
        <v>0</v>
      </c>
      <c r="H38" s="88"/>
      <c r="I38" s="88">
        <v>0</v>
      </c>
      <c r="J38" s="88"/>
      <c r="K38" s="88">
        <v>0</v>
      </c>
      <c r="L38" s="88"/>
      <c r="M38" s="88">
        <v>0</v>
      </c>
      <c r="N38" s="88"/>
      <c r="O38" s="88">
        <v>0</v>
      </c>
      <c r="P38" s="88"/>
      <c r="Q38" s="88">
        <v>0</v>
      </c>
      <c r="R38" s="88"/>
      <c r="S38" s="88">
        <v>0</v>
      </c>
      <c r="T38" s="88"/>
      <c r="U38" s="88">
        <v>0</v>
      </c>
      <c r="V38" s="88"/>
      <c r="W38" s="88">
        <v>0</v>
      </c>
      <c r="X38" s="88"/>
      <c r="Y38" s="88">
        <v>0</v>
      </c>
      <c r="Z38" s="88"/>
      <c r="AA38" s="88">
        <v>0</v>
      </c>
      <c r="AB38" s="88"/>
      <c r="AC38" s="89">
        <f t="shared" si="2"/>
        <v>0</v>
      </c>
      <c r="AD38" s="89"/>
      <c r="AE38" s="90">
        <f t="shared" si="3"/>
        <v>0</v>
      </c>
      <c r="AF38" s="20"/>
      <c r="AG38" s="88">
        <v>0</v>
      </c>
      <c r="AH38" s="7"/>
      <c r="AI38" s="88">
        <v>0</v>
      </c>
      <c r="AJ38" s="7"/>
      <c r="AK38" s="7"/>
      <c r="AL38" s="7"/>
      <c r="AM38" s="7">
        <f>+'Gov Fd Rv'!Q38+'Gov Fd Rv'!S38-'Gov Fnd Exp'!AC38-AG38+'Gov Fd Rv'!U38+AI38+AK38-'Gov Fd BS'!O39</f>
        <v>0</v>
      </c>
    </row>
    <row r="39" spans="1:39" ht="12.75">
      <c r="A39" s="32" t="s">
        <v>38</v>
      </c>
      <c r="B39" s="32"/>
      <c r="C39" s="88">
        <v>5555092</v>
      </c>
      <c r="D39" s="88"/>
      <c r="E39" s="88">
        <v>3141140</v>
      </c>
      <c r="F39" s="88"/>
      <c r="G39" s="88">
        <v>7478204</v>
      </c>
      <c r="H39" s="88"/>
      <c r="I39" s="88">
        <v>5465132</v>
      </c>
      <c r="J39" s="88"/>
      <c r="K39" s="88">
        <v>15010802</v>
      </c>
      <c r="L39" s="88"/>
      <c r="M39" s="88">
        <v>9141414</v>
      </c>
      <c r="N39" s="88"/>
      <c r="O39" s="88">
        <v>219644</v>
      </c>
      <c r="P39" s="88"/>
      <c r="Q39" s="88">
        <v>0</v>
      </c>
      <c r="R39" s="88"/>
      <c r="S39" s="88">
        <v>0</v>
      </c>
      <c r="T39" s="88"/>
      <c r="U39" s="88">
        <v>4469442</v>
      </c>
      <c r="V39" s="88"/>
      <c r="W39" s="88">
        <v>493286</v>
      </c>
      <c r="X39" s="88"/>
      <c r="Y39" s="88">
        <v>1255135</v>
      </c>
      <c r="Z39" s="88"/>
      <c r="AA39" s="88">
        <v>766555</v>
      </c>
      <c r="AB39" s="88"/>
      <c r="AC39" s="89">
        <f t="shared" si="2"/>
        <v>52995846</v>
      </c>
      <c r="AD39" s="89"/>
      <c r="AE39" s="90">
        <f t="shared" si="3"/>
        <v>46011428</v>
      </c>
      <c r="AF39" s="20"/>
      <c r="AG39" s="88">
        <f>7155511+691521</f>
        <v>7847032</v>
      </c>
      <c r="AH39" s="7"/>
      <c r="AI39" s="88">
        <v>15389335</v>
      </c>
      <c r="AJ39" s="7"/>
      <c r="AK39" s="7"/>
      <c r="AL39" s="7"/>
      <c r="AM39" s="7">
        <f>+'Gov Fd Rv'!Q39+'Gov Fd Rv'!S39-'Gov Fnd Exp'!AC39-AG39+'Gov Fd Rv'!U39+AI39+AK39-'Gov Fd BS'!O40</f>
        <v>0</v>
      </c>
    </row>
    <row r="40" spans="1:39" ht="12.75" hidden="1">
      <c r="A40" s="32" t="s">
        <v>173</v>
      </c>
      <c r="B40" s="32"/>
      <c r="C40" s="88">
        <v>0</v>
      </c>
      <c r="D40" s="88"/>
      <c r="E40" s="88">
        <v>0</v>
      </c>
      <c r="F40" s="88"/>
      <c r="G40" s="88">
        <v>0</v>
      </c>
      <c r="H40" s="88"/>
      <c r="I40" s="88">
        <v>0</v>
      </c>
      <c r="J40" s="88"/>
      <c r="K40" s="88">
        <v>0</v>
      </c>
      <c r="L40" s="88"/>
      <c r="M40" s="88">
        <v>0</v>
      </c>
      <c r="N40" s="88"/>
      <c r="O40" s="88">
        <v>0</v>
      </c>
      <c r="P40" s="88"/>
      <c r="Q40" s="88">
        <v>0</v>
      </c>
      <c r="R40" s="88"/>
      <c r="S40" s="88">
        <v>0</v>
      </c>
      <c r="T40" s="88"/>
      <c r="U40" s="88">
        <v>0</v>
      </c>
      <c r="V40" s="88"/>
      <c r="W40" s="88">
        <v>0</v>
      </c>
      <c r="X40" s="88"/>
      <c r="Y40" s="88">
        <v>0</v>
      </c>
      <c r="Z40" s="88"/>
      <c r="AA40" s="88">
        <v>0</v>
      </c>
      <c r="AB40" s="88"/>
      <c r="AC40" s="89">
        <f t="shared" si="2"/>
        <v>0</v>
      </c>
      <c r="AD40" s="89"/>
      <c r="AE40" s="90">
        <f t="shared" si="3"/>
        <v>0</v>
      </c>
      <c r="AF40" s="20"/>
      <c r="AG40" s="88">
        <v>0</v>
      </c>
      <c r="AH40" s="7"/>
      <c r="AI40" s="88">
        <v>0</v>
      </c>
      <c r="AJ40" s="7"/>
      <c r="AK40" s="7"/>
      <c r="AL40" s="7"/>
      <c r="AM40" s="7">
        <f>+'Gov Fd Rv'!Q40+'Gov Fd Rv'!S40-'Gov Fnd Exp'!AC40-AG40+'Gov Fd Rv'!U40+AI40+AK40-'Gov Fd BS'!O41</f>
        <v>0</v>
      </c>
    </row>
    <row r="41" spans="1:39" ht="12.75" hidden="1">
      <c r="A41" s="32" t="s">
        <v>39</v>
      </c>
      <c r="B41" s="32"/>
      <c r="C41" s="88">
        <v>0</v>
      </c>
      <c r="D41" s="88"/>
      <c r="E41" s="88">
        <v>0</v>
      </c>
      <c r="F41" s="88"/>
      <c r="G41" s="88">
        <v>0</v>
      </c>
      <c r="H41" s="88"/>
      <c r="I41" s="88">
        <v>0</v>
      </c>
      <c r="J41" s="88"/>
      <c r="K41" s="88">
        <v>0</v>
      </c>
      <c r="L41" s="88"/>
      <c r="M41" s="88">
        <v>0</v>
      </c>
      <c r="N41" s="88"/>
      <c r="O41" s="88">
        <v>0</v>
      </c>
      <c r="P41" s="88"/>
      <c r="Q41" s="88">
        <v>0</v>
      </c>
      <c r="R41" s="88"/>
      <c r="S41" s="88">
        <v>0</v>
      </c>
      <c r="T41" s="88"/>
      <c r="U41" s="88">
        <v>0</v>
      </c>
      <c r="V41" s="88"/>
      <c r="W41" s="88">
        <v>0</v>
      </c>
      <c r="X41" s="88"/>
      <c r="Y41" s="88">
        <v>0</v>
      </c>
      <c r="Z41" s="88"/>
      <c r="AA41" s="88">
        <v>0</v>
      </c>
      <c r="AB41" s="88"/>
      <c r="AC41" s="89">
        <f t="shared" si="2"/>
        <v>0</v>
      </c>
      <c r="AD41" s="89"/>
      <c r="AE41" s="90">
        <f t="shared" si="3"/>
        <v>0</v>
      </c>
      <c r="AF41" s="20"/>
      <c r="AG41" s="88">
        <v>0</v>
      </c>
      <c r="AH41" s="7"/>
      <c r="AI41" s="88">
        <v>0</v>
      </c>
      <c r="AJ41" s="7"/>
      <c r="AK41" s="7"/>
      <c r="AL41" s="7"/>
      <c r="AM41" s="7">
        <f>+'Gov Fd Rv'!Q41+'Gov Fd Rv'!S41-'Gov Fnd Exp'!AC41-AG41+'Gov Fd Rv'!U41+AI41+AK41-'Gov Fd BS'!O42</f>
        <v>0</v>
      </c>
    </row>
    <row r="42" spans="1:39" ht="12.75">
      <c r="A42" s="32" t="s">
        <v>40</v>
      </c>
      <c r="B42" s="32"/>
      <c r="C42" s="88">
        <v>2865757</v>
      </c>
      <c r="D42" s="88"/>
      <c r="E42" s="88">
        <v>1137289</v>
      </c>
      <c r="F42" s="88"/>
      <c r="G42" s="88">
        <v>2368840</v>
      </c>
      <c r="H42" s="88"/>
      <c r="I42" s="88">
        <v>4385972</v>
      </c>
      <c r="J42" s="88"/>
      <c r="K42" s="88">
        <v>540980</v>
      </c>
      <c r="L42" s="88"/>
      <c r="M42" s="88">
        <v>12886646</v>
      </c>
      <c r="N42" s="88"/>
      <c r="O42" s="88">
        <v>427009</v>
      </c>
      <c r="P42" s="88"/>
      <c r="Q42" s="88">
        <v>0</v>
      </c>
      <c r="R42" s="88"/>
      <c r="S42" s="88">
        <f>63+788802</f>
        <v>788865</v>
      </c>
      <c r="T42" s="88"/>
      <c r="U42" s="88">
        <v>1285203</v>
      </c>
      <c r="V42" s="88"/>
      <c r="W42" s="88">
        <v>0</v>
      </c>
      <c r="X42" s="88"/>
      <c r="Y42" s="88">
        <v>4673107</v>
      </c>
      <c r="Z42" s="88"/>
      <c r="AA42" s="88">
        <v>216746</v>
      </c>
      <c r="AB42" s="88"/>
      <c r="AC42" s="89">
        <f t="shared" si="2"/>
        <v>31576414</v>
      </c>
      <c r="AD42" s="89"/>
      <c r="AE42" s="90">
        <f t="shared" si="3"/>
        <v>25401358</v>
      </c>
      <c r="AF42" s="20"/>
      <c r="AG42" s="88">
        <v>850769</v>
      </c>
      <c r="AH42" s="7"/>
      <c r="AI42" s="88">
        <v>14138063</v>
      </c>
      <c r="AJ42" s="7"/>
      <c r="AK42" s="7"/>
      <c r="AL42" s="7"/>
      <c r="AM42" s="7">
        <v>0</v>
      </c>
    </row>
    <row r="43" spans="1:39" ht="12.75" hidden="1">
      <c r="A43" s="32" t="s">
        <v>41</v>
      </c>
      <c r="B43" s="32"/>
      <c r="C43" s="88">
        <v>0</v>
      </c>
      <c r="D43" s="88"/>
      <c r="E43" s="88">
        <v>0</v>
      </c>
      <c r="F43" s="88"/>
      <c r="G43" s="88">
        <v>0</v>
      </c>
      <c r="H43" s="88"/>
      <c r="I43" s="88">
        <v>0</v>
      </c>
      <c r="J43" s="88"/>
      <c r="K43" s="88">
        <v>0</v>
      </c>
      <c r="L43" s="88"/>
      <c r="M43" s="88">
        <v>0</v>
      </c>
      <c r="N43" s="88"/>
      <c r="O43" s="88">
        <v>0</v>
      </c>
      <c r="P43" s="88"/>
      <c r="Q43" s="88">
        <v>0</v>
      </c>
      <c r="R43" s="88"/>
      <c r="S43" s="88">
        <v>0</v>
      </c>
      <c r="T43" s="88"/>
      <c r="U43" s="88">
        <v>0</v>
      </c>
      <c r="V43" s="88"/>
      <c r="W43" s="88">
        <v>0</v>
      </c>
      <c r="X43" s="88"/>
      <c r="Y43" s="88">
        <v>0</v>
      </c>
      <c r="Z43" s="88"/>
      <c r="AA43" s="88">
        <v>0</v>
      </c>
      <c r="AB43" s="88"/>
      <c r="AC43" s="89">
        <f t="shared" si="2"/>
        <v>0</v>
      </c>
      <c r="AD43" s="89"/>
      <c r="AE43" s="90">
        <f t="shared" si="3"/>
        <v>0</v>
      </c>
      <c r="AF43" s="20"/>
      <c r="AG43" s="88">
        <v>0</v>
      </c>
      <c r="AH43" s="7"/>
      <c r="AI43" s="88">
        <v>0</v>
      </c>
      <c r="AJ43" s="7"/>
      <c r="AK43" s="7"/>
      <c r="AL43" s="7"/>
      <c r="AM43" s="7">
        <v>0</v>
      </c>
    </row>
    <row r="44" spans="1:39" ht="12.75">
      <c r="A44" s="32" t="s">
        <v>42</v>
      </c>
      <c r="B44" s="32"/>
      <c r="C44" s="88">
        <v>2583054</v>
      </c>
      <c r="D44" s="88"/>
      <c r="E44" s="88">
        <v>1511878</v>
      </c>
      <c r="F44" s="88"/>
      <c r="G44" s="88">
        <v>3278996</v>
      </c>
      <c r="H44" s="88"/>
      <c r="I44" s="88">
        <v>3750168</v>
      </c>
      <c r="J44" s="88"/>
      <c r="K44" s="88">
        <v>3284011</v>
      </c>
      <c r="L44" s="88"/>
      <c r="M44" s="88">
        <v>8098001</v>
      </c>
      <c r="N44" s="88"/>
      <c r="O44" s="88">
        <v>593096</v>
      </c>
      <c r="P44" s="88"/>
      <c r="Q44" s="88">
        <v>215391</v>
      </c>
      <c r="R44" s="88"/>
      <c r="S44" s="88">
        <v>86652</v>
      </c>
      <c r="T44" s="88"/>
      <c r="U44" s="88">
        <v>618898</v>
      </c>
      <c r="V44" s="88"/>
      <c r="W44" s="88">
        <v>12064</v>
      </c>
      <c r="X44" s="88"/>
      <c r="Y44" s="88">
        <v>200100</v>
      </c>
      <c r="Z44" s="88"/>
      <c r="AA44" s="88">
        <v>112928</v>
      </c>
      <c r="AB44" s="88"/>
      <c r="AC44" s="89">
        <f t="shared" si="2"/>
        <v>24345237</v>
      </c>
      <c r="AD44" s="89"/>
      <c r="AE44" s="90">
        <f t="shared" si="3"/>
        <v>23401247</v>
      </c>
      <c r="AF44" s="20"/>
      <c r="AG44" s="88">
        <v>441805</v>
      </c>
      <c r="AH44" s="7"/>
      <c r="AI44" s="88">
        <v>9563736</v>
      </c>
      <c r="AJ44" s="7"/>
      <c r="AK44" s="7"/>
      <c r="AL44" s="7"/>
      <c r="AM44" s="7">
        <v>0</v>
      </c>
    </row>
    <row r="45" spans="1:39" ht="12.75">
      <c r="A45" s="32" t="s">
        <v>43</v>
      </c>
      <c r="B45" s="32"/>
      <c r="C45" s="88">
        <v>4098361</v>
      </c>
      <c r="D45" s="88"/>
      <c r="E45" s="88">
        <v>1936747</v>
      </c>
      <c r="F45" s="88"/>
      <c r="G45" s="88">
        <v>4783569</v>
      </c>
      <c r="H45" s="88"/>
      <c r="I45" s="88">
        <v>5813866</v>
      </c>
      <c r="J45" s="88"/>
      <c r="K45" s="88">
        <v>197542</v>
      </c>
      <c r="L45" s="88"/>
      <c r="M45" s="88">
        <v>12444764</v>
      </c>
      <c r="N45" s="88"/>
      <c r="O45" s="88">
        <v>0</v>
      </c>
      <c r="P45" s="88"/>
      <c r="Q45" s="88">
        <v>282807</v>
      </c>
      <c r="R45" s="88"/>
      <c r="S45" s="88">
        <v>17833</v>
      </c>
      <c r="T45" s="88"/>
      <c r="U45" s="88">
        <v>2132928</v>
      </c>
      <c r="V45" s="88"/>
      <c r="W45" s="88">
        <v>227200</v>
      </c>
      <c r="X45" s="88"/>
      <c r="Y45" s="88">
        <v>310000</v>
      </c>
      <c r="Z45" s="88"/>
      <c r="AA45" s="88">
        <v>277170</v>
      </c>
      <c r="AB45" s="88"/>
      <c r="AC45" s="89">
        <f t="shared" si="2"/>
        <v>32522787</v>
      </c>
      <c r="AD45" s="89"/>
      <c r="AE45" s="90">
        <f t="shared" si="3"/>
        <v>29575489</v>
      </c>
      <c r="AF45" s="20"/>
      <c r="AG45" s="88">
        <v>1035270</v>
      </c>
      <c r="AH45" s="7"/>
      <c r="AI45" s="88">
        <v>11342817</v>
      </c>
      <c r="AJ45" s="7"/>
      <c r="AK45" s="7"/>
      <c r="AL45" s="7"/>
      <c r="AM45" s="7">
        <v>0</v>
      </c>
    </row>
    <row r="46" spans="1:39" ht="12.75">
      <c r="A46" s="32" t="s">
        <v>44</v>
      </c>
      <c r="B46" s="32"/>
      <c r="C46" s="88">
        <v>5947890</v>
      </c>
      <c r="D46" s="88"/>
      <c r="E46" s="88">
        <v>1814729</v>
      </c>
      <c r="F46" s="88"/>
      <c r="G46" s="88">
        <v>5551242</v>
      </c>
      <c r="H46" s="88"/>
      <c r="I46" s="88">
        <v>5417550</v>
      </c>
      <c r="J46" s="88"/>
      <c r="K46" s="88">
        <v>7724904</v>
      </c>
      <c r="L46" s="88"/>
      <c r="M46" s="88">
        <v>13013980</v>
      </c>
      <c r="N46" s="88"/>
      <c r="O46" s="88">
        <v>0</v>
      </c>
      <c r="P46" s="88"/>
      <c r="Q46" s="88">
        <v>38523</v>
      </c>
      <c r="R46" s="88"/>
      <c r="S46" s="88">
        <v>378361</v>
      </c>
      <c r="T46" s="88"/>
      <c r="U46" s="88">
        <v>300910</v>
      </c>
      <c r="V46" s="88"/>
      <c r="W46" s="88">
        <v>0</v>
      </c>
      <c r="X46" s="88"/>
      <c r="Y46" s="88">
        <v>800000</v>
      </c>
      <c r="Z46" s="88"/>
      <c r="AA46" s="88">
        <f>307165+81215</f>
        <v>388380</v>
      </c>
      <c r="AB46" s="88"/>
      <c r="AC46" s="89">
        <f t="shared" si="2"/>
        <v>41376469</v>
      </c>
      <c r="AD46" s="89"/>
      <c r="AE46" s="90">
        <f t="shared" si="3"/>
        <v>39887179</v>
      </c>
      <c r="AF46" s="20"/>
      <c r="AG46" s="88">
        <f>3043785+1615575</f>
        <v>4659360</v>
      </c>
      <c r="AH46" s="7"/>
      <c r="AI46" s="88">
        <v>11691714</v>
      </c>
      <c r="AJ46" s="7"/>
      <c r="AK46" s="7"/>
      <c r="AL46" s="7"/>
      <c r="AM46" s="7">
        <v>0</v>
      </c>
    </row>
    <row r="47" spans="1:39" ht="12.75" hidden="1">
      <c r="A47" s="32" t="s">
        <v>45</v>
      </c>
      <c r="B47" s="32"/>
      <c r="C47" s="88">
        <v>0</v>
      </c>
      <c r="D47" s="88"/>
      <c r="E47" s="88">
        <v>0</v>
      </c>
      <c r="F47" s="88"/>
      <c r="G47" s="88">
        <v>0</v>
      </c>
      <c r="H47" s="88"/>
      <c r="I47" s="88">
        <v>0</v>
      </c>
      <c r="J47" s="88"/>
      <c r="K47" s="88">
        <v>0</v>
      </c>
      <c r="L47" s="88"/>
      <c r="M47" s="88">
        <v>0</v>
      </c>
      <c r="N47" s="88"/>
      <c r="O47" s="88">
        <v>0</v>
      </c>
      <c r="P47" s="88"/>
      <c r="Q47" s="88">
        <v>0</v>
      </c>
      <c r="R47" s="88"/>
      <c r="S47" s="88">
        <v>0</v>
      </c>
      <c r="T47" s="88"/>
      <c r="U47" s="88">
        <v>0</v>
      </c>
      <c r="V47" s="88"/>
      <c r="W47" s="88">
        <v>0</v>
      </c>
      <c r="X47" s="88"/>
      <c r="Y47" s="88">
        <v>0</v>
      </c>
      <c r="Z47" s="88"/>
      <c r="AA47" s="88">
        <v>0</v>
      </c>
      <c r="AB47" s="88"/>
      <c r="AC47" s="89">
        <f t="shared" si="2"/>
        <v>0</v>
      </c>
      <c r="AD47" s="89"/>
      <c r="AE47" s="90">
        <f t="shared" si="3"/>
        <v>0</v>
      </c>
      <c r="AF47" s="20"/>
      <c r="AG47" s="88">
        <v>0</v>
      </c>
      <c r="AH47" s="7"/>
      <c r="AI47" s="88">
        <v>0</v>
      </c>
      <c r="AJ47" s="7"/>
      <c r="AK47" s="7"/>
      <c r="AL47" s="7"/>
      <c r="AM47" s="7">
        <v>0</v>
      </c>
    </row>
    <row r="48" spans="1:39" ht="12.75">
      <c r="A48" s="32" t="s">
        <v>46</v>
      </c>
      <c r="B48" s="32"/>
      <c r="C48" s="88">
        <v>6319387</v>
      </c>
      <c r="D48" s="88"/>
      <c r="E48" s="88">
        <v>3356664</v>
      </c>
      <c r="F48" s="88"/>
      <c r="G48" s="88">
        <v>10262366</v>
      </c>
      <c r="H48" s="88"/>
      <c r="I48" s="88">
        <v>9432182</v>
      </c>
      <c r="J48" s="88"/>
      <c r="K48" s="88">
        <v>16137815</v>
      </c>
      <c r="L48" s="88"/>
      <c r="M48" s="88">
        <v>18924067</v>
      </c>
      <c r="N48" s="88"/>
      <c r="O48" s="88">
        <v>1032238</v>
      </c>
      <c r="P48" s="88"/>
      <c r="Q48" s="88">
        <v>0</v>
      </c>
      <c r="R48" s="88"/>
      <c r="S48" s="88">
        <v>250398</v>
      </c>
      <c r="T48" s="88"/>
      <c r="U48" s="88">
        <v>1630299</v>
      </c>
      <c r="V48" s="88"/>
      <c r="W48" s="88">
        <v>82500</v>
      </c>
      <c r="X48" s="88"/>
      <c r="Y48" s="88">
        <v>2076203</v>
      </c>
      <c r="Z48" s="88"/>
      <c r="AA48" s="88">
        <v>1387642</v>
      </c>
      <c r="AB48" s="88"/>
      <c r="AC48" s="89">
        <f t="shared" si="2"/>
        <v>70891761</v>
      </c>
      <c r="AD48" s="89"/>
      <c r="AE48" s="90">
        <f t="shared" si="3"/>
        <v>65715117</v>
      </c>
      <c r="AF48" s="20"/>
      <c r="AG48" s="88">
        <v>2980473</v>
      </c>
      <c r="AH48" s="7"/>
      <c r="AI48" s="88">
        <v>13532965</v>
      </c>
      <c r="AJ48" s="7"/>
      <c r="AK48" s="7"/>
      <c r="AL48" s="7"/>
      <c r="AM48" s="7">
        <v>0</v>
      </c>
    </row>
    <row r="49" spans="1:39" ht="12.75">
      <c r="A49" s="32" t="s">
        <v>47</v>
      </c>
      <c r="B49" s="40"/>
      <c r="C49" s="88">
        <v>6733588</v>
      </c>
      <c r="D49" s="88"/>
      <c r="E49" s="88">
        <v>2020580</v>
      </c>
      <c r="F49" s="88"/>
      <c r="G49" s="88">
        <v>5549473</v>
      </c>
      <c r="H49" s="88"/>
      <c r="I49" s="88">
        <v>5934571</v>
      </c>
      <c r="J49" s="88"/>
      <c r="K49" s="88">
        <v>329875</v>
      </c>
      <c r="L49" s="88"/>
      <c r="M49" s="88">
        <v>12144183</v>
      </c>
      <c r="N49" s="88"/>
      <c r="O49" s="88">
        <v>0</v>
      </c>
      <c r="P49" s="88"/>
      <c r="Q49" s="88">
        <v>0</v>
      </c>
      <c r="R49" s="88"/>
      <c r="S49" s="88">
        <v>0</v>
      </c>
      <c r="T49" s="88"/>
      <c r="U49" s="88">
        <v>2704731</v>
      </c>
      <c r="V49" s="88"/>
      <c r="W49" s="88">
        <v>0</v>
      </c>
      <c r="X49" s="88"/>
      <c r="Y49" s="88">
        <v>666806</v>
      </c>
      <c r="Z49" s="88"/>
      <c r="AA49" s="88">
        <v>550847</v>
      </c>
      <c r="AB49" s="88"/>
      <c r="AC49" s="89">
        <f t="shared" si="2"/>
        <v>36634654</v>
      </c>
      <c r="AD49" s="89"/>
      <c r="AE49" s="90">
        <f t="shared" si="3"/>
        <v>32712270</v>
      </c>
      <c r="AF49" s="20"/>
      <c r="AG49" s="88">
        <v>2044186</v>
      </c>
      <c r="AH49" s="7"/>
      <c r="AI49" s="88">
        <v>16261331</v>
      </c>
      <c r="AJ49" s="7"/>
      <c r="AK49" s="7">
        <v>-51961</v>
      </c>
      <c r="AL49" s="7"/>
      <c r="AM49" s="7">
        <v>0</v>
      </c>
    </row>
    <row r="50" spans="1:39" ht="12.75">
      <c r="A50" s="32" t="s">
        <v>48</v>
      </c>
      <c r="B50" s="32"/>
      <c r="C50" s="88">
        <v>17670849</v>
      </c>
      <c r="D50" s="88"/>
      <c r="E50" s="88">
        <v>40824005</v>
      </c>
      <c r="F50" s="88"/>
      <c r="G50" s="88">
        <v>0</v>
      </c>
      <c r="H50" s="88"/>
      <c r="I50" s="88">
        <v>13854420</v>
      </c>
      <c r="J50" s="88"/>
      <c r="K50" s="88">
        <v>19583250</v>
      </c>
      <c r="L50" s="88"/>
      <c r="M50" s="88">
        <v>67854481</v>
      </c>
      <c r="N50" s="88"/>
      <c r="O50" s="88">
        <v>3936523</v>
      </c>
      <c r="P50" s="88"/>
      <c r="Q50" s="88">
        <v>0</v>
      </c>
      <c r="R50" s="88"/>
      <c r="S50" s="88">
        <v>0</v>
      </c>
      <c r="T50" s="88"/>
      <c r="U50" s="88">
        <v>4698468</v>
      </c>
      <c r="V50" s="88"/>
      <c r="W50" s="88">
        <v>0</v>
      </c>
      <c r="X50" s="88"/>
      <c r="Y50" s="88">
        <v>2427350</v>
      </c>
      <c r="Z50" s="88"/>
      <c r="AA50" s="88">
        <f>1627005+212225</f>
        <v>1839230</v>
      </c>
      <c r="AB50" s="88"/>
      <c r="AC50" s="89">
        <f t="shared" si="2"/>
        <v>172688576</v>
      </c>
      <c r="AD50" s="89"/>
      <c r="AE50" s="90">
        <f t="shared" si="3"/>
        <v>163723528</v>
      </c>
      <c r="AF50" s="20"/>
      <c r="AG50" s="88">
        <f>2541577+8824441</f>
        <v>11366018</v>
      </c>
      <c r="AH50" s="7"/>
      <c r="AI50" s="88">
        <v>78084842</v>
      </c>
      <c r="AJ50" s="7"/>
      <c r="AK50" s="7">
        <v>41419</v>
      </c>
      <c r="AL50" s="7"/>
      <c r="AM50" s="7">
        <v>0</v>
      </c>
    </row>
    <row r="51" spans="1:39" ht="12.75" hidden="1">
      <c r="A51" s="32" t="s">
        <v>233</v>
      </c>
      <c r="B51" s="32"/>
      <c r="C51" s="88">
        <v>0</v>
      </c>
      <c r="D51" s="88"/>
      <c r="E51" s="88">
        <v>0</v>
      </c>
      <c r="F51" s="88"/>
      <c r="G51" s="88">
        <v>0</v>
      </c>
      <c r="H51" s="88"/>
      <c r="I51" s="88">
        <v>0</v>
      </c>
      <c r="J51" s="88"/>
      <c r="K51" s="88">
        <v>0</v>
      </c>
      <c r="L51" s="88"/>
      <c r="M51" s="88">
        <v>0</v>
      </c>
      <c r="N51" s="88"/>
      <c r="O51" s="88">
        <v>0</v>
      </c>
      <c r="P51" s="88"/>
      <c r="Q51" s="88">
        <v>0</v>
      </c>
      <c r="R51" s="88"/>
      <c r="S51" s="88">
        <v>0</v>
      </c>
      <c r="T51" s="88"/>
      <c r="U51" s="88">
        <v>0</v>
      </c>
      <c r="V51" s="88"/>
      <c r="W51" s="88">
        <v>0</v>
      </c>
      <c r="X51" s="88"/>
      <c r="Y51" s="88">
        <v>0</v>
      </c>
      <c r="Z51" s="88"/>
      <c r="AA51" s="88">
        <v>0</v>
      </c>
      <c r="AB51" s="88"/>
      <c r="AC51" s="89">
        <f t="shared" si="2"/>
        <v>0</v>
      </c>
      <c r="AD51" s="89"/>
      <c r="AE51" s="90">
        <f t="shared" si="3"/>
        <v>0</v>
      </c>
      <c r="AF51" s="20"/>
      <c r="AG51" s="88">
        <v>0</v>
      </c>
      <c r="AH51" s="7"/>
      <c r="AI51" s="88">
        <v>0</v>
      </c>
      <c r="AJ51" s="7"/>
      <c r="AK51" s="7"/>
      <c r="AL51" s="7"/>
      <c r="AM51" s="7">
        <v>0</v>
      </c>
    </row>
    <row r="52" spans="1:39" ht="12.75">
      <c r="A52" s="32" t="s">
        <v>49</v>
      </c>
      <c r="B52" s="32"/>
      <c r="C52" s="88">
        <v>19266943</v>
      </c>
      <c r="D52" s="88"/>
      <c r="E52" s="88">
        <v>0</v>
      </c>
      <c r="F52" s="88"/>
      <c r="G52" s="88">
        <v>18943606</v>
      </c>
      <c r="H52" s="88"/>
      <c r="I52" s="88">
        <v>7417483</v>
      </c>
      <c r="J52" s="88"/>
      <c r="K52" s="88">
        <v>449595</v>
      </c>
      <c r="L52" s="88"/>
      <c r="M52" s="88">
        <v>37737723</v>
      </c>
      <c r="N52" s="88"/>
      <c r="O52" s="88">
        <v>1514814</v>
      </c>
      <c r="P52" s="88"/>
      <c r="Q52" s="88">
        <v>0</v>
      </c>
      <c r="R52" s="88"/>
      <c r="S52" s="88">
        <v>0</v>
      </c>
      <c r="T52" s="88"/>
      <c r="U52" s="88">
        <v>2486917</v>
      </c>
      <c r="V52" s="88"/>
      <c r="W52" s="88">
        <v>2866744</v>
      </c>
      <c r="X52" s="88"/>
      <c r="Y52" s="88">
        <v>1002463</v>
      </c>
      <c r="Z52" s="88"/>
      <c r="AA52" s="88">
        <v>782083</v>
      </c>
      <c r="AB52" s="88"/>
      <c r="AC52" s="89">
        <f t="shared" si="2"/>
        <v>92468371</v>
      </c>
      <c r="AD52" s="89"/>
      <c r="AE52" s="90">
        <f t="shared" si="3"/>
        <v>85330164</v>
      </c>
      <c r="AF52" s="20"/>
      <c r="AG52" s="88">
        <v>6505379</v>
      </c>
      <c r="AH52" s="7"/>
      <c r="AI52" s="88">
        <v>34460112</v>
      </c>
      <c r="AJ52" s="7"/>
      <c r="AK52" s="7">
        <v>28559</v>
      </c>
      <c r="AL52" s="7"/>
      <c r="AM52" s="7">
        <v>0</v>
      </c>
    </row>
    <row r="53" spans="1:39" ht="12.75">
      <c r="A53" s="32" t="s">
        <v>50</v>
      </c>
      <c r="B53" s="32"/>
      <c r="C53" s="88">
        <v>5335537</v>
      </c>
      <c r="D53" s="88"/>
      <c r="E53" s="88">
        <v>2186947</v>
      </c>
      <c r="F53" s="88"/>
      <c r="G53" s="88">
        <v>6257734</v>
      </c>
      <c r="H53" s="88"/>
      <c r="I53" s="88">
        <v>8495190</v>
      </c>
      <c r="J53" s="88"/>
      <c r="K53" s="88">
        <v>1403394</v>
      </c>
      <c r="L53" s="88"/>
      <c r="M53" s="88">
        <v>17281984</v>
      </c>
      <c r="N53" s="88"/>
      <c r="O53" s="88">
        <v>189351</v>
      </c>
      <c r="P53" s="88"/>
      <c r="Q53" s="88">
        <v>405917</v>
      </c>
      <c r="R53" s="88"/>
      <c r="S53" s="88">
        <v>376316</v>
      </c>
      <c r="T53" s="88"/>
      <c r="U53" s="88">
        <v>0</v>
      </c>
      <c r="V53" s="88"/>
      <c r="W53" s="88">
        <v>0</v>
      </c>
      <c r="X53" s="88"/>
      <c r="Y53" s="88">
        <v>421056</v>
      </c>
      <c r="Z53" s="88"/>
      <c r="AA53" s="88">
        <v>598247</v>
      </c>
      <c r="AB53" s="88"/>
      <c r="AC53" s="89">
        <f t="shared" si="2"/>
        <v>42951673</v>
      </c>
      <c r="AD53" s="89"/>
      <c r="AE53" s="90">
        <f t="shared" si="3"/>
        <v>41932370</v>
      </c>
      <c r="AF53" s="20"/>
      <c r="AG53" s="88">
        <v>5170694</v>
      </c>
      <c r="AH53" s="7"/>
      <c r="AI53" s="88">
        <v>16452554</v>
      </c>
      <c r="AJ53" s="7"/>
      <c r="AK53" s="7">
        <v>-20956</v>
      </c>
      <c r="AL53" s="7"/>
      <c r="AM53" s="7">
        <v>0</v>
      </c>
    </row>
    <row r="54" spans="1:39" ht="12.75">
      <c r="A54" s="32" t="s">
        <v>51</v>
      </c>
      <c r="B54" s="32"/>
      <c r="C54" s="88">
        <v>36766980</v>
      </c>
      <c r="D54" s="88"/>
      <c r="E54" s="88">
        <v>15018197</v>
      </c>
      <c r="F54" s="88"/>
      <c r="G54" s="88">
        <v>23538741</v>
      </c>
      <c r="H54" s="88"/>
      <c r="I54" s="88">
        <v>9372357</v>
      </c>
      <c r="J54" s="88"/>
      <c r="K54" s="88">
        <v>43530572</v>
      </c>
      <c r="L54" s="88"/>
      <c r="M54" s="88">
        <v>83549588</v>
      </c>
      <c r="N54" s="88"/>
      <c r="O54" s="88">
        <v>1105103</v>
      </c>
      <c r="P54" s="88"/>
      <c r="Q54" s="88">
        <v>0</v>
      </c>
      <c r="R54" s="88"/>
      <c r="S54" s="88">
        <v>0</v>
      </c>
      <c r="T54" s="88"/>
      <c r="U54" s="88">
        <v>6412684</v>
      </c>
      <c r="V54" s="88"/>
      <c r="W54" s="88">
        <v>588937</v>
      </c>
      <c r="X54" s="88"/>
      <c r="Y54" s="88">
        <v>7120662</v>
      </c>
      <c r="Z54" s="88"/>
      <c r="AA54" s="88">
        <v>1769305</v>
      </c>
      <c r="AB54" s="88"/>
      <c r="AC54" s="89">
        <f t="shared" si="2"/>
        <v>228773126</v>
      </c>
      <c r="AD54" s="89"/>
      <c r="AE54" s="90">
        <f t="shared" si="3"/>
        <v>212881538</v>
      </c>
      <c r="AF54" s="20"/>
      <c r="AG54" s="88">
        <v>5454320</v>
      </c>
      <c r="AH54" s="7"/>
      <c r="AI54" s="88">
        <v>110542329</v>
      </c>
      <c r="AJ54" s="7"/>
      <c r="AK54" s="7">
        <v>49447</v>
      </c>
      <c r="AL54" s="7"/>
      <c r="AM54" s="7">
        <v>0</v>
      </c>
    </row>
    <row r="55" spans="1:39" ht="12.75">
      <c r="A55" s="32" t="s">
        <v>190</v>
      </c>
      <c r="B55" s="32"/>
      <c r="C55" s="88">
        <v>41594000</v>
      </c>
      <c r="D55" s="88"/>
      <c r="E55" s="88">
        <v>57563000</v>
      </c>
      <c r="F55" s="88"/>
      <c r="G55" s="88">
        <v>66032000</v>
      </c>
      <c r="H55" s="88"/>
      <c r="I55" s="88">
        <v>16027000</v>
      </c>
      <c r="J55" s="88"/>
      <c r="K55" s="88">
        <v>103788000</v>
      </c>
      <c r="L55" s="88"/>
      <c r="M55" s="88">
        <v>117751000</v>
      </c>
      <c r="N55" s="88"/>
      <c r="O55" s="88">
        <v>0</v>
      </c>
      <c r="P55" s="88"/>
      <c r="Q55" s="88">
        <v>6524000</v>
      </c>
      <c r="R55" s="88"/>
      <c r="S55" s="88">
        <v>7382000</v>
      </c>
      <c r="T55" s="88"/>
      <c r="U55" s="88">
        <v>14357000</v>
      </c>
      <c r="V55" s="88"/>
      <c r="W55" s="88">
        <v>0</v>
      </c>
      <c r="X55" s="88"/>
      <c r="Y55" s="88">
        <v>10285000</v>
      </c>
      <c r="Z55" s="88"/>
      <c r="AA55" s="88">
        <v>4706000</v>
      </c>
      <c r="AB55" s="88"/>
      <c r="AC55" s="89">
        <f t="shared" si="2"/>
        <v>446009000</v>
      </c>
      <c r="AD55" s="89"/>
      <c r="AE55" s="90">
        <f t="shared" si="3"/>
        <v>416661000</v>
      </c>
      <c r="AF55" s="20"/>
      <c r="AG55" s="88">
        <f>2925000+23676000</f>
        <v>26601000</v>
      </c>
      <c r="AH55" s="7"/>
      <c r="AI55" s="88">
        <v>163698000</v>
      </c>
      <c r="AJ55" s="7"/>
      <c r="AK55" s="7"/>
      <c r="AL55" s="7"/>
      <c r="AM55" s="7">
        <v>0</v>
      </c>
    </row>
    <row r="56" spans="1:39" ht="12.75" hidden="1">
      <c r="A56" s="32" t="s">
        <v>52</v>
      </c>
      <c r="B56" s="32"/>
      <c r="C56" s="88">
        <v>0</v>
      </c>
      <c r="D56" s="88"/>
      <c r="E56" s="88">
        <v>0</v>
      </c>
      <c r="F56" s="88"/>
      <c r="G56" s="88">
        <v>0</v>
      </c>
      <c r="H56" s="88"/>
      <c r="I56" s="88">
        <v>0</v>
      </c>
      <c r="J56" s="88"/>
      <c r="K56" s="88">
        <v>0</v>
      </c>
      <c r="L56" s="88"/>
      <c r="M56" s="88">
        <v>0</v>
      </c>
      <c r="N56" s="88"/>
      <c r="O56" s="88">
        <v>0</v>
      </c>
      <c r="P56" s="88"/>
      <c r="Q56" s="88">
        <v>0</v>
      </c>
      <c r="R56" s="88"/>
      <c r="S56" s="88">
        <v>0</v>
      </c>
      <c r="T56" s="88"/>
      <c r="U56" s="88">
        <v>0</v>
      </c>
      <c r="V56" s="88"/>
      <c r="W56" s="88">
        <v>0</v>
      </c>
      <c r="X56" s="88"/>
      <c r="Y56" s="88">
        <v>0</v>
      </c>
      <c r="Z56" s="88"/>
      <c r="AA56" s="88">
        <v>0</v>
      </c>
      <c r="AB56" s="88"/>
      <c r="AC56" s="89">
        <f t="shared" si="2"/>
        <v>0</v>
      </c>
      <c r="AD56" s="89"/>
      <c r="AE56" s="90">
        <f t="shared" si="3"/>
        <v>0</v>
      </c>
      <c r="AF56" s="20"/>
      <c r="AG56" s="88">
        <v>0</v>
      </c>
      <c r="AH56" s="7"/>
      <c r="AI56" s="88">
        <v>0</v>
      </c>
      <c r="AJ56" s="7"/>
      <c r="AK56" s="7"/>
      <c r="AL56" s="7"/>
      <c r="AM56" s="7">
        <v>0</v>
      </c>
    </row>
    <row r="57" spans="1:39" s="159" customFormat="1" ht="12.75" hidden="1">
      <c r="A57" s="168" t="s">
        <v>53</v>
      </c>
      <c r="B57" s="168"/>
      <c r="C57" s="169">
        <v>0</v>
      </c>
      <c r="D57" s="169"/>
      <c r="E57" s="169">
        <v>0</v>
      </c>
      <c r="F57" s="169"/>
      <c r="G57" s="169">
        <v>0</v>
      </c>
      <c r="H57" s="169"/>
      <c r="I57" s="169">
        <v>0</v>
      </c>
      <c r="J57" s="169"/>
      <c r="K57" s="169">
        <v>0</v>
      </c>
      <c r="L57" s="169"/>
      <c r="M57" s="169">
        <v>0</v>
      </c>
      <c r="N57" s="169"/>
      <c r="O57" s="169">
        <v>0</v>
      </c>
      <c r="P57" s="169"/>
      <c r="Q57" s="169">
        <v>0</v>
      </c>
      <c r="R57" s="169"/>
      <c r="S57" s="169">
        <v>0</v>
      </c>
      <c r="T57" s="169"/>
      <c r="U57" s="169">
        <v>0</v>
      </c>
      <c r="V57" s="169"/>
      <c r="W57" s="169">
        <v>0</v>
      </c>
      <c r="X57" s="169"/>
      <c r="Y57" s="169">
        <v>0</v>
      </c>
      <c r="Z57" s="169"/>
      <c r="AA57" s="169">
        <v>0</v>
      </c>
      <c r="AB57" s="169"/>
      <c r="AC57" s="169">
        <f t="shared" si="2"/>
        <v>0</v>
      </c>
      <c r="AD57" s="169"/>
      <c r="AE57" s="170">
        <f t="shared" si="3"/>
        <v>0</v>
      </c>
      <c r="AF57" s="171"/>
      <c r="AG57" s="169">
        <v>0</v>
      </c>
      <c r="AH57" s="172"/>
      <c r="AI57" s="169">
        <v>0</v>
      </c>
      <c r="AJ57" s="172"/>
      <c r="AK57" s="172"/>
      <c r="AL57" s="172"/>
      <c r="AM57" s="172">
        <v>0</v>
      </c>
    </row>
    <row r="58" spans="1:39" ht="12.75">
      <c r="A58" s="32" t="s">
        <v>54</v>
      </c>
      <c r="B58" s="32"/>
      <c r="C58" s="88">
        <v>5816674</v>
      </c>
      <c r="D58" s="88"/>
      <c r="E58" s="88">
        <v>2056800</v>
      </c>
      <c r="F58" s="88"/>
      <c r="G58" s="88">
        <v>8825098</v>
      </c>
      <c r="H58" s="88"/>
      <c r="I58" s="88">
        <v>4374489</v>
      </c>
      <c r="J58" s="88"/>
      <c r="K58" s="88">
        <v>7088141</v>
      </c>
      <c r="L58" s="88"/>
      <c r="M58" s="88">
        <v>11489016</v>
      </c>
      <c r="N58" s="88"/>
      <c r="O58" s="88">
        <v>0</v>
      </c>
      <c r="P58" s="88"/>
      <c r="Q58" s="88">
        <v>296475</v>
      </c>
      <c r="R58" s="88"/>
      <c r="S58" s="88">
        <v>0</v>
      </c>
      <c r="T58" s="88"/>
      <c r="U58" s="88">
        <v>1548499</v>
      </c>
      <c r="V58" s="88"/>
      <c r="W58" s="88">
        <v>913032</v>
      </c>
      <c r="X58" s="88"/>
      <c r="Y58" s="88">
        <v>503038</v>
      </c>
      <c r="Z58" s="88"/>
      <c r="AA58" s="88">
        <v>500122</v>
      </c>
      <c r="AB58" s="88"/>
      <c r="AC58" s="89">
        <f t="shared" si="2"/>
        <v>43411384</v>
      </c>
      <c r="AD58" s="89"/>
      <c r="AE58" s="90">
        <f t="shared" si="3"/>
        <v>39946693</v>
      </c>
      <c r="AF58" s="20"/>
      <c r="AG58" s="88">
        <v>2583356</v>
      </c>
      <c r="AH58" s="7"/>
      <c r="AI58" s="88">
        <v>19039523</v>
      </c>
      <c r="AJ58" s="7"/>
      <c r="AK58" s="7"/>
      <c r="AL58" s="7"/>
      <c r="AM58" s="7">
        <v>0</v>
      </c>
    </row>
    <row r="59" spans="1:39" ht="12.75">
      <c r="A59" s="32" t="s">
        <v>55</v>
      </c>
      <c r="B59" s="32"/>
      <c r="C59" s="88">
        <v>15349989</v>
      </c>
      <c r="D59" s="88"/>
      <c r="E59" s="88">
        <v>8780945</v>
      </c>
      <c r="F59" s="88"/>
      <c r="G59" s="88">
        <v>18086388</v>
      </c>
      <c r="H59" s="88"/>
      <c r="I59" s="88">
        <v>8676907</v>
      </c>
      <c r="J59" s="88"/>
      <c r="K59" s="88">
        <v>22078298</v>
      </c>
      <c r="L59" s="88"/>
      <c r="M59" s="88">
        <v>18155207</v>
      </c>
      <c r="N59" s="88"/>
      <c r="O59" s="88">
        <v>368935</v>
      </c>
      <c r="P59" s="88"/>
      <c r="Q59" s="88">
        <v>0</v>
      </c>
      <c r="R59" s="88"/>
      <c r="S59" s="88">
        <v>0</v>
      </c>
      <c r="T59" s="88"/>
      <c r="U59" s="88">
        <v>3852346</v>
      </c>
      <c r="V59" s="88"/>
      <c r="W59" s="88">
        <v>818118</v>
      </c>
      <c r="X59" s="88"/>
      <c r="Y59" s="88">
        <v>2334055</v>
      </c>
      <c r="Z59" s="88"/>
      <c r="AA59" s="88">
        <v>770635</v>
      </c>
      <c r="AB59" s="88"/>
      <c r="AC59" s="89">
        <f t="shared" si="2"/>
        <v>99271823</v>
      </c>
      <c r="AD59" s="89"/>
      <c r="AE59" s="90">
        <f t="shared" si="3"/>
        <v>91496669</v>
      </c>
      <c r="AF59" s="20"/>
      <c r="AG59" s="88">
        <v>3262869</v>
      </c>
      <c r="AH59" s="7"/>
      <c r="AI59" s="88">
        <v>43861031</v>
      </c>
      <c r="AJ59" s="7"/>
      <c r="AK59" s="7"/>
      <c r="AL59" s="7"/>
      <c r="AM59" s="7">
        <v>0</v>
      </c>
    </row>
    <row r="60" spans="1:39" ht="12.75" hidden="1">
      <c r="A60" s="32" t="s">
        <v>175</v>
      </c>
      <c r="B60" s="32"/>
      <c r="C60" s="88">
        <v>0</v>
      </c>
      <c r="D60" s="88"/>
      <c r="E60" s="88">
        <v>0</v>
      </c>
      <c r="F60" s="88"/>
      <c r="G60" s="88">
        <v>0</v>
      </c>
      <c r="H60" s="88"/>
      <c r="I60" s="88">
        <v>0</v>
      </c>
      <c r="J60" s="88"/>
      <c r="K60" s="88">
        <v>0</v>
      </c>
      <c r="L60" s="88"/>
      <c r="M60" s="88">
        <v>0</v>
      </c>
      <c r="N60" s="88"/>
      <c r="O60" s="88">
        <v>0</v>
      </c>
      <c r="P60" s="88"/>
      <c r="Q60" s="88">
        <v>0</v>
      </c>
      <c r="R60" s="88"/>
      <c r="S60" s="88">
        <v>0</v>
      </c>
      <c r="T60" s="88"/>
      <c r="U60" s="88">
        <v>0</v>
      </c>
      <c r="V60" s="88"/>
      <c r="W60" s="88">
        <v>0</v>
      </c>
      <c r="X60" s="88"/>
      <c r="Y60" s="88">
        <v>0</v>
      </c>
      <c r="Z60" s="88"/>
      <c r="AA60" s="88">
        <v>0</v>
      </c>
      <c r="AB60" s="88"/>
      <c r="AC60" s="89">
        <f t="shared" si="2"/>
        <v>0</v>
      </c>
      <c r="AD60" s="89"/>
      <c r="AE60" s="90">
        <f t="shared" si="3"/>
        <v>0</v>
      </c>
      <c r="AF60" s="20"/>
      <c r="AG60" s="88">
        <v>0</v>
      </c>
      <c r="AH60" s="7"/>
      <c r="AI60" s="88">
        <v>0</v>
      </c>
      <c r="AJ60" s="7"/>
      <c r="AK60" s="7"/>
      <c r="AL60" s="7"/>
      <c r="AM60" s="7">
        <v>0</v>
      </c>
    </row>
    <row r="61" spans="1:39" ht="12.75" hidden="1">
      <c r="A61" s="32" t="s">
        <v>56</v>
      </c>
      <c r="B61" s="32"/>
      <c r="C61" s="88">
        <v>0</v>
      </c>
      <c r="D61" s="88"/>
      <c r="E61" s="88">
        <v>0</v>
      </c>
      <c r="F61" s="88"/>
      <c r="G61" s="88">
        <v>0</v>
      </c>
      <c r="H61" s="88"/>
      <c r="I61" s="88">
        <v>0</v>
      </c>
      <c r="J61" s="88"/>
      <c r="K61" s="88">
        <v>0</v>
      </c>
      <c r="L61" s="88"/>
      <c r="M61" s="88">
        <v>0</v>
      </c>
      <c r="N61" s="88"/>
      <c r="O61" s="88">
        <v>0</v>
      </c>
      <c r="P61" s="88"/>
      <c r="Q61" s="88">
        <v>0</v>
      </c>
      <c r="R61" s="88"/>
      <c r="S61" s="88">
        <v>0</v>
      </c>
      <c r="T61" s="88"/>
      <c r="U61" s="88">
        <v>0</v>
      </c>
      <c r="V61" s="88"/>
      <c r="W61" s="88">
        <v>0</v>
      </c>
      <c r="X61" s="88"/>
      <c r="Y61" s="88">
        <v>0</v>
      </c>
      <c r="Z61" s="88"/>
      <c r="AA61" s="88">
        <v>0</v>
      </c>
      <c r="AB61" s="88"/>
      <c r="AC61" s="89">
        <f t="shared" si="2"/>
        <v>0</v>
      </c>
      <c r="AD61" s="89"/>
      <c r="AE61" s="90">
        <f t="shared" si="3"/>
        <v>0</v>
      </c>
      <c r="AF61" s="20"/>
      <c r="AG61" s="88">
        <v>0</v>
      </c>
      <c r="AH61" s="7"/>
      <c r="AI61" s="88">
        <v>0</v>
      </c>
      <c r="AJ61" s="7"/>
      <c r="AK61" s="7"/>
      <c r="AL61" s="7"/>
      <c r="AM61" s="7">
        <v>0</v>
      </c>
    </row>
    <row r="62" spans="1:39" ht="12.75">
      <c r="A62" s="32" t="s">
        <v>57</v>
      </c>
      <c r="B62" s="32"/>
      <c r="C62" s="88">
        <v>14572874</v>
      </c>
      <c r="D62" s="88"/>
      <c r="E62" s="88">
        <v>0</v>
      </c>
      <c r="F62" s="88"/>
      <c r="G62" s="88">
        <v>16641367</v>
      </c>
      <c r="H62" s="88"/>
      <c r="I62" s="88">
        <v>9030828</v>
      </c>
      <c r="J62" s="88"/>
      <c r="K62" s="88">
        <v>10887323</v>
      </c>
      <c r="L62" s="88"/>
      <c r="M62" s="88">
        <v>13121151</v>
      </c>
      <c r="N62" s="88"/>
      <c r="O62" s="88">
        <v>0</v>
      </c>
      <c r="P62" s="88"/>
      <c r="Q62" s="88">
        <v>605586</v>
      </c>
      <c r="R62" s="88"/>
      <c r="S62" s="88">
        <v>0</v>
      </c>
      <c r="T62" s="88"/>
      <c r="U62" s="88">
        <v>710288</v>
      </c>
      <c r="V62" s="88"/>
      <c r="W62" s="88">
        <v>0</v>
      </c>
      <c r="X62" s="88"/>
      <c r="Y62" s="88">
        <v>557008</v>
      </c>
      <c r="Z62" s="88"/>
      <c r="AA62" s="88">
        <v>296583</v>
      </c>
      <c r="AB62" s="88"/>
      <c r="AC62" s="89">
        <f t="shared" si="2"/>
        <v>66423008</v>
      </c>
      <c r="AD62" s="89"/>
      <c r="AE62" s="90">
        <f t="shared" si="3"/>
        <v>64859129</v>
      </c>
      <c r="AF62" s="20"/>
      <c r="AG62" s="88">
        <v>932871</v>
      </c>
      <c r="AH62" s="7"/>
      <c r="AI62" s="88">
        <v>42534127</v>
      </c>
      <c r="AJ62" s="7"/>
      <c r="AK62" s="7">
        <v>73143</v>
      </c>
      <c r="AL62" s="7"/>
      <c r="AM62" s="7">
        <v>0</v>
      </c>
    </row>
    <row r="63" spans="1:39" s="82" customFormat="1" ht="12.75">
      <c r="A63" s="122" t="s">
        <v>58</v>
      </c>
      <c r="B63" s="139"/>
      <c r="C63" s="89">
        <v>1560838</v>
      </c>
      <c r="D63" s="89"/>
      <c r="E63" s="89">
        <v>542998</v>
      </c>
      <c r="F63" s="89"/>
      <c r="G63" s="89">
        <v>3578770</v>
      </c>
      <c r="H63" s="89"/>
      <c r="I63" s="89">
        <v>4418327</v>
      </c>
      <c r="J63" s="89"/>
      <c r="K63" s="89">
        <v>1202007</v>
      </c>
      <c r="L63" s="89"/>
      <c r="M63" s="89">
        <v>5140113</v>
      </c>
      <c r="N63" s="89"/>
      <c r="O63" s="89">
        <v>128001</v>
      </c>
      <c r="P63" s="89"/>
      <c r="Q63" s="89">
        <v>0</v>
      </c>
      <c r="R63" s="89"/>
      <c r="S63" s="89">
        <v>125004</v>
      </c>
      <c r="T63" s="89"/>
      <c r="U63" s="89">
        <v>119166</v>
      </c>
      <c r="V63" s="89"/>
      <c r="W63" s="89">
        <v>0</v>
      </c>
      <c r="X63" s="89"/>
      <c r="Y63" s="89">
        <v>10200</v>
      </c>
      <c r="Z63" s="89"/>
      <c r="AA63" s="89">
        <v>22979</v>
      </c>
      <c r="AB63" s="89"/>
      <c r="AC63" s="89">
        <f t="shared" si="2"/>
        <v>16848403</v>
      </c>
      <c r="AD63" s="89"/>
      <c r="AE63" s="123">
        <f t="shared" si="3"/>
        <v>16696058</v>
      </c>
      <c r="AF63" s="124"/>
      <c r="AG63" s="89">
        <v>1323300</v>
      </c>
      <c r="AH63" s="125"/>
      <c r="AI63" s="89">
        <v>4356052</v>
      </c>
      <c r="AJ63" s="125"/>
      <c r="AK63" s="125"/>
      <c r="AL63" s="125"/>
      <c r="AM63" s="125">
        <v>0</v>
      </c>
    </row>
    <row r="64" spans="1:39" ht="12.75">
      <c r="A64" s="32" t="s">
        <v>59</v>
      </c>
      <c r="B64" s="32"/>
      <c r="C64" s="88">
        <v>30697050</v>
      </c>
      <c r="D64" s="88"/>
      <c r="E64" s="88">
        <v>139408050</v>
      </c>
      <c r="F64" s="88"/>
      <c r="G64" s="88">
        <v>0</v>
      </c>
      <c r="H64" s="88"/>
      <c r="I64" s="88">
        <v>19364489</v>
      </c>
      <c r="J64" s="88"/>
      <c r="K64" s="88">
        <v>0</v>
      </c>
      <c r="L64" s="88"/>
      <c r="M64" s="88">
        <v>246931413</v>
      </c>
      <c r="N64" s="88"/>
      <c r="O64" s="88">
        <v>12293903</v>
      </c>
      <c r="P64" s="88"/>
      <c r="Q64" s="88">
        <v>0</v>
      </c>
      <c r="R64" s="88"/>
      <c r="S64" s="88">
        <v>0</v>
      </c>
      <c r="T64" s="88"/>
      <c r="U64" s="88">
        <v>37222004</v>
      </c>
      <c r="V64" s="88"/>
      <c r="W64" s="88">
        <f>53300+15886995+5153556+230280</f>
        <v>21324131</v>
      </c>
      <c r="X64" s="88"/>
      <c r="Y64" s="88">
        <v>3258705</v>
      </c>
      <c r="Z64" s="88"/>
      <c r="AA64" s="88">
        <v>2714922</v>
      </c>
      <c r="AB64" s="88"/>
      <c r="AC64" s="89">
        <f t="shared" si="2"/>
        <v>513214667</v>
      </c>
      <c r="AD64" s="89"/>
      <c r="AE64" s="90">
        <f t="shared" si="3"/>
        <v>448694905</v>
      </c>
      <c r="AF64" s="20"/>
      <c r="AG64" s="88">
        <f>16745000+125200279</f>
        <v>141945279</v>
      </c>
      <c r="AH64" s="7"/>
      <c r="AI64" s="88">
        <v>230854698</v>
      </c>
      <c r="AJ64" s="7"/>
      <c r="AK64" s="7"/>
      <c r="AL64" s="7"/>
      <c r="AM64" s="7">
        <v>0</v>
      </c>
    </row>
    <row r="65" spans="1:39" ht="12.75" hidden="1">
      <c r="A65" s="32" t="s">
        <v>60</v>
      </c>
      <c r="B65" s="32"/>
      <c r="C65" s="88">
        <v>0</v>
      </c>
      <c r="D65" s="88"/>
      <c r="E65" s="88">
        <v>0</v>
      </c>
      <c r="F65" s="88"/>
      <c r="G65" s="88">
        <v>0</v>
      </c>
      <c r="H65" s="88"/>
      <c r="I65" s="88">
        <v>0</v>
      </c>
      <c r="J65" s="88"/>
      <c r="K65" s="88">
        <v>0</v>
      </c>
      <c r="L65" s="88"/>
      <c r="M65" s="88">
        <v>0</v>
      </c>
      <c r="N65" s="88"/>
      <c r="O65" s="88">
        <v>0</v>
      </c>
      <c r="P65" s="88"/>
      <c r="Q65" s="88">
        <v>0</v>
      </c>
      <c r="R65" s="88"/>
      <c r="S65" s="88">
        <v>0</v>
      </c>
      <c r="T65" s="88"/>
      <c r="U65" s="88">
        <v>0</v>
      </c>
      <c r="V65" s="88"/>
      <c r="W65" s="88">
        <v>0</v>
      </c>
      <c r="X65" s="88"/>
      <c r="Y65" s="88">
        <v>0</v>
      </c>
      <c r="Z65" s="88"/>
      <c r="AA65" s="88">
        <v>0</v>
      </c>
      <c r="AB65" s="88"/>
      <c r="AC65" s="89">
        <f t="shared" si="2"/>
        <v>0</v>
      </c>
      <c r="AD65" s="89"/>
      <c r="AE65" s="90">
        <f t="shared" si="3"/>
        <v>0</v>
      </c>
      <c r="AF65" s="20"/>
      <c r="AG65" s="88">
        <v>0</v>
      </c>
      <c r="AH65" s="7"/>
      <c r="AI65" s="88">
        <v>0</v>
      </c>
      <c r="AJ65" s="7"/>
      <c r="AK65" s="7"/>
      <c r="AL65" s="7"/>
      <c r="AM65" s="7">
        <v>0</v>
      </c>
    </row>
    <row r="66" spans="1:39" ht="12.75">
      <c r="A66" s="32" t="s">
        <v>97</v>
      </c>
      <c r="B66" s="32"/>
      <c r="C66" s="88">
        <v>3697675</v>
      </c>
      <c r="D66" s="88"/>
      <c r="E66" s="88">
        <v>1806547</v>
      </c>
      <c r="F66" s="88"/>
      <c r="G66" s="88">
        <v>4697499</v>
      </c>
      <c r="H66" s="88"/>
      <c r="I66" s="88">
        <v>4087352</v>
      </c>
      <c r="J66" s="88"/>
      <c r="K66" s="88">
        <v>2147117</v>
      </c>
      <c r="L66" s="88"/>
      <c r="M66" s="88">
        <v>7069725</v>
      </c>
      <c r="N66" s="88"/>
      <c r="O66" s="88">
        <v>48510</v>
      </c>
      <c r="P66" s="88"/>
      <c r="Q66" s="88">
        <v>0</v>
      </c>
      <c r="R66" s="88"/>
      <c r="S66" s="88">
        <v>540412</v>
      </c>
      <c r="T66" s="88"/>
      <c r="U66" s="88">
        <v>851785</v>
      </c>
      <c r="V66" s="88"/>
      <c r="W66" s="88">
        <v>400227</v>
      </c>
      <c r="X66" s="88"/>
      <c r="Y66" s="88">
        <v>5117548</v>
      </c>
      <c r="Z66" s="88"/>
      <c r="AA66" s="88">
        <v>210826</v>
      </c>
      <c r="AB66" s="88"/>
      <c r="AC66" s="89">
        <f t="shared" si="2"/>
        <v>30675223</v>
      </c>
      <c r="AD66" s="89"/>
      <c r="AE66" s="90">
        <f t="shared" si="3"/>
        <v>24094837</v>
      </c>
      <c r="AF66" s="20"/>
      <c r="AG66" s="88">
        <v>162634</v>
      </c>
      <c r="AH66" s="7"/>
      <c r="AI66" s="88">
        <v>10941686</v>
      </c>
      <c r="AJ66" s="7"/>
      <c r="AK66" s="7"/>
      <c r="AL66" s="7"/>
      <c r="AM66" s="7">
        <v>0</v>
      </c>
    </row>
    <row r="67" spans="1:39" ht="12.75">
      <c r="A67" s="32" t="s">
        <v>61</v>
      </c>
      <c r="B67" s="32"/>
      <c r="C67" s="88">
        <v>10352334</v>
      </c>
      <c r="D67" s="88"/>
      <c r="E67" s="88">
        <v>5002932</v>
      </c>
      <c r="F67" s="88"/>
      <c r="G67" s="88">
        <v>9294114</v>
      </c>
      <c r="H67" s="88"/>
      <c r="I67" s="88">
        <v>8851644</v>
      </c>
      <c r="J67" s="88"/>
      <c r="K67" s="88">
        <v>1223480</v>
      </c>
      <c r="L67" s="88"/>
      <c r="M67" s="88">
        <v>36550271</v>
      </c>
      <c r="N67" s="88"/>
      <c r="O67" s="88">
        <v>0</v>
      </c>
      <c r="P67" s="88"/>
      <c r="Q67" s="88">
        <v>0</v>
      </c>
      <c r="R67" s="88"/>
      <c r="S67" s="88">
        <v>0</v>
      </c>
      <c r="T67" s="88"/>
      <c r="U67" s="88">
        <v>901552</v>
      </c>
      <c r="V67" s="88"/>
      <c r="W67" s="88">
        <v>1502161</v>
      </c>
      <c r="X67" s="88"/>
      <c r="Y67" s="88">
        <v>986730</v>
      </c>
      <c r="Z67" s="88"/>
      <c r="AA67" s="88">
        <v>828180</v>
      </c>
      <c r="AB67" s="88"/>
      <c r="AC67" s="89">
        <f t="shared" si="2"/>
        <v>75493398</v>
      </c>
      <c r="AD67" s="89"/>
      <c r="AE67" s="90">
        <f t="shared" si="3"/>
        <v>71274775</v>
      </c>
      <c r="AF67" s="20"/>
      <c r="AG67" s="88">
        <v>4529313</v>
      </c>
      <c r="AH67" s="7"/>
      <c r="AI67" s="88">
        <v>32219980</v>
      </c>
      <c r="AJ67" s="7"/>
      <c r="AK67" s="7"/>
      <c r="AL67" s="7"/>
      <c r="AM67" s="7">
        <v>0</v>
      </c>
    </row>
    <row r="68" spans="1:39" ht="12.75">
      <c r="A68" s="32" t="s">
        <v>62</v>
      </c>
      <c r="B68" s="32"/>
      <c r="C68" s="88">
        <v>1560871</v>
      </c>
      <c r="D68" s="88"/>
      <c r="E68" s="88">
        <v>346748</v>
      </c>
      <c r="F68" s="88"/>
      <c r="G68" s="88">
        <v>945416</v>
      </c>
      <c r="H68" s="88"/>
      <c r="I68" s="88">
        <v>2883526</v>
      </c>
      <c r="J68" s="88"/>
      <c r="K68" s="88">
        <v>827745</v>
      </c>
      <c r="L68" s="88"/>
      <c r="M68" s="88">
        <v>4831192</v>
      </c>
      <c r="N68" s="88"/>
      <c r="O68" s="88">
        <v>822099</v>
      </c>
      <c r="P68" s="88"/>
      <c r="Q68" s="88">
        <v>0</v>
      </c>
      <c r="R68" s="88"/>
      <c r="S68" s="88">
        <v>37146</v>
      </c>
      <c r="T68" s="88"/>
      <c r="U68" s="88">
        <v>746366</v>
      </c>
      <c r="V68" s="88"/>
      <c r="W68" s="88">
        <v>180000</v>
      </c>
      <c r="X68" s="88"/>
      <c r="Y68" s="88">
        <v>107049</v>
      </c>
      <c r="Z68" s="88"/>
      <c r="AA68" s="88">
        <v>63238</v>
      </c>
      <c r="AB68" s="88"/>
      <c r="AC68" s="89">
        <f t="shared" si="2"/>
        <v>13351396</v>
      </c>
      <c r="AD68" s="89"/>
      <c r="AE68" s="90">
        <f t="shared" si="3"/>
        <v>12254743</v>
      </c>
      <c r="AF68" s="20"/>
      <c r="AG68" s="88">
        <v>315372</v>
      </c>
      <c r="AH68" s="7"/>
      <c r="AI68" s="88">
        <v>4393816</v>
      </c>
      <c r="AJ68" s="7"/>
      <c r="AK68" s="7"/>
      <c r="AL68" s="7"/>
      <c r="AM68" s="7">
        <f>+'Gov Fd Rv'!Q68+'Gov Fd Rv'!S68-'Gov Fnd Exp'!AC68-AG68+'Gov Fd Rv'!U68+AI68+AK68-'Gov Fd BS'!O69</f>
        <v>0</v>
      </c>
    </row>
    <row r="69" spans="1:39" ht="12.75">
      <c r="A69" s="32" t="s">
        <v>63</v>
      </c>
      <c r="B69" s="32"/>
      <c r="C69" s="88">
        <v>4579706</v>
      </c>
      <c r="D69" s="88"/>
      <c r="E69" s="88">
        <v>2806569</v>
      </c>
      <c r="F69" s="88"/>
      <c r="G69" s="88">
        <v>5579070</v>
      </c>
      <c r="H69" s="88"/>
      <c r="I69" s="88">
        <v>6457219</v>
      </c>
      <c r="J69" s="88"/>
      <c r="K69" s="88">
        <v>121004</v>
      </c>
      <c r="L69" s="88"/>
      <c r="M69" s="88">
        <v>13665228</v>
      </c>
      <c r="N69" s="88"/>
      <c r="O69" s="88">
        <v>2703</v>
      </c>
      <c r="P69" s="88"/>
      <c r="Q69" s="88">
        <v>75170</v>
      </c>
      <c r="R69" s="88"/>
      <c r="S69" s="88">
        <v>366936</v>
      </c>
      <c r="T69" s="88"/>
      <c r="U69" s="88">
        <v>1441103</v>
      </c>
      <c r="V69" s="88"/>
      <c r="W69" s="88">
        <v>0</v>
      </c>
      <c r="X69" s="88"/>
      <c r="Y69" s="88">
        <v>1875753</v>
      </c>
      <c r="Z69" s="88"/>
      <c r="AA69" s="88">
        <v>1155171</v>
      </c>
      <c r="AB69" s="88"/>
      <c r="AC69" s="89">
        <f t="shared" si="2"/>
        <v>38125632</v>
      </c>
      <c r="AD69" s="89"/>
      <c r="AE69" s="90">
        <f t="shared" si="3"/>
        <v>33653605</v>
      </c>
      <c r="AF69" s="20"/>
      <c r="AG69" s="88">
        <v>2503604</v>
      </c>
      <c r="AH69" s="7"/>
      <c r="AI69" s="88">
        <v>12967855</v>
      </c>
      <c r="AJ69" s="7"/>
      <c r="AK69" s="7"/>
      <c r="AL69" s="7"/>
      <c r="AM69" s="7">
        <f>+'Gov Fd Rv'!Q69+'Gov Fd Rv'!S69-'Gov Fnd Exp'!AC69-AG69+'Gov Fd Rv'!U69+AI69+AK69-'Gov Fd BS'!O70</f>
        <v>0</v>
      </c>
    </row>
    <row r="70" spans="1:39" ht="15" customHeight="1" hidden="1">
      <c r="A70" s="32" t="s">
        <v>132</v>
      </c>
      <c r="B70" s="32"/>
      <c r="C70" s="88">
        <v>0</v>
      </c>
      <c r="D70" s="88"/>
      <c r="E70" s="88">
        <v>0</v>
      </c>
      <c r="F70" s="88"/>
      <c r="G70" s="88">
        <v>0</v>
      </c>
      <c r="H70" s="88"/>
      <c r="I70" s="88">
        <v>0</v>
      </c>
      <c r="J70" s="88"/>
      <c r="K70" s="88">
        <v>0</v>
      </c>
      <c r="L70" s="88"/>
      <c r="M70" s="88">
        <v>0</v>
      </c>
      <c r="N70" s="88"/>
      <c r="O70" s="88">
        <v>0</v>
      </c>
      <c r="P70" s="88"/>
      <c r="Q70" s="88">
        <v>0</v>
      </c>
      <c r="R70" s="88"/>
      <c r="S70" s="88">
        <v>0</v>
      </c>
      <c r="T70" s="88"/>
      <c r="U70" s="88">
        <v>0</v>
      </c>
      <c r="V70" s="88"/>
      <c r="W70" s="88">
        <v>0</v>
      </c>
      <c r="X70" s="88"/>
      <c r="Y70" s="88">
        <v>0</v>
      </c>
      <c r="Z70" s="88"/>
      <c r="AA70" s="88">
        <v>0</v>
      </c>
      <c r="AB70" s="88"/>
      <c r="AC70" s="89">
        <f t="shared" si="2"/>
        <v>0</v>
      </c>
      <c r="AD70" s="89"/>
      <c r="AE70" s="90">
        <f t="shared" si="3"/>
        <v>0</v>
      </c>
      <c r="AF70" s="20"/>
      <c r="AG70" s="88">
        <v>0</v>
      </c>
      <c r="AH70" s="7"/>
      <c r="AI70" s="88">
        <v>0</v>
      </c>
      <c r="AJ70" s="7"/>
      <c r="AK70" s="7"/>
      <c r="AL70" s="7"/>
      <c r="AM70" s="7">
        <f>+'Gov Fd Rv'!Q70+'Gov Fd Rv'!S70-'Gov Fnd Exp'!AC70-AG70+'Gov Fd Rv'!U70+AI70+AK70-'Gov Fd BS'!O71</f>
        <v>0</v>
      </c>
    </row>
    <row r="71" spans="1:39" ht="12.75" hidden="1">
      <c r="A71" s="32" t="s">
        <v>64</v>
      </c>
      <c r="B71" s="32"/>
      <c r="C71" s="88">
        <v>0</v>
      </c>
      <c r="D71" s="88"/>
      <c r="E71" s="88">
        <v>0</v>
      </c>
      <c r="F71" s="88"/>
      <c r="G71" s="88">
        <v>0</v>
      </c>
      <c r="H71" s="88"/>
      <c r="I71" s="88">
        <v>0</v>
      </c>
      <c r="J71" s="88"/>
      <c r="K71" s="88">
        <v>0</v>
      </c>
      <c r="L71" s="88"/>
      <c r="M71" s="88">
        <v>0</v>
      </c>
      <c r="N71" s="88"/>
      <c r="O71" s="88">
        <v>0</v>
      </c>
      <c r="P71" s="88"/>
      <c r="Q71" s="88">
        <v>0</v>
      </c>
      <c r="R71" s="88"/>
      <c r="S71" s="88">
        <v>0</v>
      </c>
      <c r="T71" s="88"/>
      <c r="U71" s="88">
        <v>0</v>
      </c>
      <c r="V71" s="88"/>
      <c r="W71" s="88">
        <v>0</v>
      </c>
      <c r="X71" s="88"/>
      <c r="Y71" s="88">
        <v>0</v>
      </c>
      <c r="Z71" s="88"/>
      <c r="AA71" s="88">
        <v>0</v>
      </c>
      <c r="AB71" s="88"/>
      <c r="AC71" s="89">
        <f t="shared" si="2"/>
        <v>0</v>
      </c>
      <c r="AD71" s="89"/>
      <c r="AE71" s="90">
        <f t="shared" si="3"/>
        <v>0</v>
      </c>
      <c r="AF71" s="20"/>
      <c r="AG71" s="88">
        <v>0</v>
      </c>
      <c r="AH71" s="7"/>
      <c r="AI71" s="88">
        <v>0</v>
      </c>
      <c r="AJ71" s="7"/>
      <c r="AK71" s="7"/>
      <c r="AL71" s="7"/>
      <c r="AM71" s="7">
        <f>+'Gov Fd Rv'!Q71+'Gov Fd Rv'!S71-'Gov Fnd Exp'!AC71-AG71+'Gov Fd Rv'!U71+AI71+AK71-'Gov Fd BS'!O72</f>
        <v>0</v>
      </c>
    </row>
    <row r="72" spans="1:39" ht="12.75">
      <c r="A72" s="32" t="s">
        <v>65</v>
      </c>
      <c r="B72" s="32"/>
      <c r="C72" s="88">
        <v>4462534</v>
      </c>
      <c r="D72" s="88"/>
      <c r="E72" s="88">
        <v>1708587</v>
      </c>
      <c r="F72" s="88"/>
      <c r="G72" s="88">
        <v>6072948</v>
      </c>
      <c r="H72" s="88"/>
      <c r="I72" s="88">
        <v>4443945</v>
      </c>
      <c r="J72" s="88"/>
      <c r="K72" s="88">
        <v>3984105</v>
      </c>
      <c r="L72" s="88"/>
      <c r="M72" s="88">
        <v>8290849</v>
      </c>
      <c r="N72" s="88"/>
      <c r="O72" s="88">
        <v>1315458</v>
      </c>
      <c r="P72" s="88"/>
      <c r="Q72" s="88">
        <v>380520</v>
      </c>
      <c r="R72" s="88"/>
      <c r="S72" s="88">
        <v>35883</v>
      </c>
      <c r="T72" s="88"/>
      <c r="U72" s="88">
        <v>1334295</v>
      </c>
      <c r="V72" s="88"/>
      <c r="W72" s="88">
        <v>0</v>
      </c>
      <c r="X72" s="88"/>
      <c r="Y72" s="88">
        <v>421731</v>
      </c>
      <c r="Z72" s="88"/>
      <c r="AA72" s="88">
        <v>91520</v>
      </c>
      <c r="AB72" s="88"/>
      <c r="AC72" s="89">
        <f t="shared" si="2"/>
        <v>32542375</v>
      </c>
      <c r="AD72" s="89"/>
      <c r="AE72" s="90">
        <f t="shared" si="3"/>
        <v>30694829</v>
      </c>
      <c r="AF72" s="20"/>
      <c r="AG72" s="88">
        <v>786678</v>
      </c>
      <c r="AH72" s="7"/>
      <c r="AI72" s="88">
        <v>9206391</v>
      </c>
      <c r="AJ72" s="7"/>
      <c r="AK72" s="7"/>
      <c r="AL72" s="7"/>
      <c r="AM72" s="7">
        <f>+'Gov Fd Rv'!Q72+'Gov Fd Rv'!S72-'Gov Fnd Exp'!AC72-AG72+'Gov Fd Rv'!U72+AI72+AK72-'Gov Fd BS'!O74</f>
        <v>0</v>
      </c>
    </row>
    <row r="73" spans="1:39" ht="12.75">
      <c r="A73" s="32" t="s">
        <v>66</v>
      </c>
      <c r="B73" s="32"/>
      <c r="C73" s="88">
        <v>2754353</v>
      </c>
      <c r="D73" s="88"/>
      <c r="E73" s="88">
        <v>1040290</v>
      </c>
      <c r="F73" s="88"/>
      <c r="G73" s="88">
        <v>2732596</v>
      </c>
      <c r="H73" s="88"/>
      <c r="I73" s="88">
        <v>3990321</v>
      </c>
      <c r="J73" s="88"/>
      <c r="K73" s="88">
        <v>2786758</v>
      </c>
      <c r="L73" s="88"/>
      <c r="M73" s="88">
        <v>5420261</v>
      </c>
      <c r="N73" s="88"/>
      <c r="O73" s="88">
        <v>1334301</v>
      </c>
      <c r="P73" s="88"/>
      <c r="Q73" s="88">
        <v>10</v>
      </c>
      <c r="R73" s="88"/>
      <c r="S73" s="88">
        <v>398712</v>
      </c>
      <c r="T73" s="88"/>
      <c r="U73" s="88">
        <v>620014</v>
      </c>
      <c r="V73" s="88"/>
      <c r="W73" s="88">
        <v>0</v>
      </c>
      <c r="X73" s="88"/>
      <c r="Y73" s="88">
        <v>78145</v>
      </c>
      <c r="Z73" s="88"/>
      <c r="AA73" s="88">
        <v>83660</v>
      </c>
      <c r="AB73" s="88"/>
      <c r="AC73" s="89">
        <f t="shared" si="2"/>
        <v>21239421</v>
      </c>
      <c r="AD73" s="89"/>
      <c r="AE73" s="90">
        <f t="shared" si="3"/>
        <v>20457602</v>
      </c>
      <c r="AF73" s="20"/>
      <c r="AG73" s="88">
        <v>222685</v>
      </c>
      <c r="AH73" s="7"/>
      <c r="AI73" s="88">
        <v>6471105</v>
      </c>
      <c r="AJ73" s="7"/>
      <c r="AK73" s="7"/>
      <c r="AL73" s="7"/>
      <c r="AM73" s="7">
        <f>+'Gov Fd Rv'!Q73+'Gov Fd Rv'!S73-'Gov Fnd Exp'!AC73-AG73+'Gov Fd Rv'!U73+AI73+AK73-'Gov Fd BS'!O75</f>
        <v>0</v>
      </c>
    </row>
    <row r="74" spans="1:39" s="82" customFormat="1" ht="12.75">
      <c r="A74" s="122" t="s">
        <v>67</v>
      </c>
      <c r="B74" s="122"/>
      <c r="C74" s="89">
        <v>14592354</v>
      </c>
      <c r="D74" s="89"/>
      <c r="E74" s="89">
        <v>8896020</v>
      </c>
      <c r="F74" s="89"/>
      <c r="G74" s="89">
        <v>14596106</v>
      </c>
      <c r="H74" s="89"/>
      <c r="I74" s="89">
        <v>9364163</v>
      </c>
      <c r="J74" s="89"/>
      <c r="K74" s="89">
        <v>31909387</v>
      </c>
      <c r="L74" s="89"/>
      <c r="M74" s="89">
        <v>22057771</v>
      </c>
      <c r="N74" s="89"/>
      <c r="O74" s="89">
        <v>0</v>
      </c>
      <c r="P74" s="89"/>
      <c r="Q74" s="89">
        <v>0</v>
      </c>
      <c r="R74" s="89"/>
      <c r="S74" s="89">
        <v>0</v>
      </c>
      <c r="T74" s="89"/>
      <c r="U74" s="89">
        <v>2894687</v>
      </c>
      <c r="V74" s="89"/>
      <c r="W74" s="89">
        <v>0</v>
      </c>
      <c r="X74" s="89"/>
      <c r="Y74" s="89">
        <v>862070</v>
      </c>
      <c r="Z74" s="89"/>
      <c r="AA74" s="89">
        <v>991007</v>
      </c>
      <c r="AB74" s="89"/>
      <c r="AC74" s="89">
        <f aca="true" t="shared" si="4" ref="AC74:AC95">SUM(C74:AA74)</f>
        <v>106163565</v>
      </c>
      <c r="AD74" s="89"/>
      <c r="AE74" s="123">
        <f aca="true" t="shared" si="5" ref="AE74:AE95">SUM(C74:S74)</f>
        <v>101415801</v>
      </c>
      <c r="AF74" s="124"/>
      <c r="AG74" s="89">
        <v>149897</v>
      </c>
      <c r="AH74" s="125"/>
      <c r="AI74" s="89">
        <v>40297950</v>
      </c>
      <c r="AJ74" s="125"/>
      <c r="AK74" s="125"/>
      <c r="AL74" s="125"/>
      <c r="AM74" s="125">
        <f>+'Gov Fd Rv'!Q74+'Gov Fd Rv'!S74-'Gov Fnd Exp'!AC74-AG74+'Gov Fd Rv'!U74+AI74+AK74-'Gov Fd BS'!O76</f>
        <v>0</v>
      </c>
    </row>
    <row r="75" spans="1:39" ht="12.75">
      <c r="A75" s="32" t="s">
        <v>68</v>
      </c>
      <c r="B75" s="32"/>
      <c r="C75" s="88">
        <v>3551895</v>
      </c>
      <c r="D75" s="88"/>
      <c r="E75" s="88">
        <v>1884662</v>
      </c>
      <c r="F75" s="88"/>
      <c r="G75" s="88">
        <v>4872201</v>
      </c>
      <c r="H75" s="88"/>
      <c r="I75" s="88">
        <v>4210397</v>
      </c>
      <c r="J75" s="88"/>
      <c r="K75" s="88">
        <v>2640776</v>
      </c>
      <c r="L75" s="88"/>
      <c r="M75" s="88">
        <v>8975708</v>
      </c>
      <c r="N75" s="88"/>
      <c r="O75" s="88">
        <v>617043</v>
      </c>
      <c r="P75" s="88"/>
      <c r="Q75" s="88">
        <v>0</v>
      </c>
      <c r="R75" s="88"/>
      <c r="S75" s="88">
        <v>0</v>
      </c>
      <c r="T75" s="88"/>
      <c r="U75" s="88">
        <v>694100</v>
      </c>
      <c r="V75" s="88"/>
      <c r="W75" s="88">
        <v>262724</v>
      </c>
      <c r="X75" s="88"/>
      <c r="Y75" s="88">
        <v>436866</v>
      </c>
      <c r="Z75" s="88"/>
      <c r="AA75" s="88">
        <f>112403+3104</f>
        <v>115507</v>
      </c>
      <c r="AB75" s="88"/>
      <c r="AC75" s="89">
        <f t="shared" si="4"/>
        <v>28261879</v>
      </c>
      <c r="AD75" s="89"/>
      <c r="AE75" s="90">
        <f t="shared" si="5"/>
        <v>26752682</v>
      </c>
      <c r="AF75" s="20"/>
      <c r="AG75" s="88">
        <f>122214+500584</f>
        <v>622798</v>
      </c>
      <c r="AH75" s="7"/>
      <c r="AI75" s="88">
        <v>8027659</v>
      </c>
      <c r="AJ75" s="7"/>
      <c r="AK75" s="7"/>
      <c r="AL75" s="7"/>
      <c r="AM75" s="7">
        <f>+'Gov Fd Rv'!Q75+'Gov Fd Rv'!S75-'Gov Fnd Exp'!AC75-AG75+'Gov Fd Rv'!U75+AI75+AK75-'Gov Fd BS'!O77</f>
        <v>0</v>
      </c>
    </row>
    <row r="76" spans="1:39" ht="12.75" hidden="1">
      <c r="A76" s="32" t="s">
        <v>180</v>
      </c>
      <c r="B76" s="32"/>
      <c r="C76" s="88">
        <v>0</v>
      </c>
      <c r="D76" s="88"/>
      <c r="E76" s="88">
        <v>0</v>
      </c>
      <c r="F76" s="88"/>
      <c r="G76" s="88">
        <v>0</v>
      </c>
      <c r="H76" s="88"/>
      <c r="I76" s="88">
        <v>0</v>
      </c>
      <c r="J76" s="88"/>
      <c r="K76" s="88">
        <v>0</v>
      </c>
      <c r="L76" s="88"/>
      <c r="M76" s="88">
        <v>0</v>
      </c>
      <c r="N76" s="88"/>
      <c r="O76" s="88">
        <v>0</v>
      </c>
      <c r="P76" s="88"/>
      <c r="Q76" s="88">
        <v>0</v>
      </c>
      <c r="R76" s="88"/>
      <c r="S76" s="88">
        <v>0</v>
      </c>
      <c r="T76" s="88"/>
      <c r="U76" s="88">
        <v>0</v>
      </c>
      <c r="V76" s="88"/>
      <c r="W76" s="88">
        <v>0</v>
      </c>
      <c r="X76" s="88"/>
      <c r="Y76" s="88">
        <v>0</v>
      </c>
      <c r="Z76" s="88"/>
      <c r="AA76" s="88">
        <v>0</v>
      </c>
      <c r="AB76" s="88"/>
      <c r="AC76" s="89">
        <f t="shared" si="4"/>
        <v>0</v>
      </c>
      <c r="AD76" s="89"/>
      <c r="AE76" s="90">
        <f t="shared" si="5"/>
        <v>0</v>
      </c>
      <c r="AF76" s="20"/>
      <c r="AG76" s="88">
        <v>0</v>
      </c>
      <c r="AH76" s="7"/>
      <c r="AI76" s="88">
        <v>0</v>
      </c>
      <c r="AJ76" s="7"/>
      <c r="AK76" s="7"/>
      <c r="AL76" s="7"/>
      <c r="AM76" s="7">
        <f>+'Gov Fd Rv'!Q76+'Gov Fd Rv'!S76-'Gov Fnd Exp'!AC76-AG76+'Gov Fd Rv'!U76+AI76+AK76-'Gov Fd BS'!O78</f>
        <v>0</v>
      </c>
    </row>
    <row r="77" spans="1:39" ht="12.75">
      <c r="A77" s="32" t="s">
        <v>185</v>
      </c>
      <c r="B77" s="32"/>
      <c r="C77" s="88">
        <v>12339617</v>
      </c>
      <c r="D77" s="88"/>
      <c r="E77" s="88">
        <v>6768764</v>
      </c>
      <c r="F77" s="88"/>
      <c r="G77" s="88">
        <v>11875763</v>
      </c>
      <c r="H77" s="88"/>
      <c r="I77" s="88">
        <v>5334659</v>
      </c>
      <c r="J77" s="88"/>
      <c r="K77" s="88">
        <v>31330014</v>
      </c>
      <c r="L77" s="88"/>
      <c r="M77" s="88">
        <v>27429240</v>
      </c>
      <c r="N77" s="88"/>
      <c r="O77" s="88">
        <v>376427</v>
      </c>
      <c r="P77" s="88"/>
      <c r="Q77" s="88">
        <v>181376</v>
      </c>
      <c r="R77" s="88"/>
      <c r="S77" s="88">
        <v>67845</v>
      </c>
      <c r="T77" s="88"/>
      <c r="U77" s="88">
        <v>7680390</v>
      </c>
      <c r="V77" s="88"/>
      <c r="W77" s="88">
        <v>1807321</v>
      </c>
      <c r="X77" s="88"/>
      <c r="Y77" s="88">
        <v>2370298</v>
      </c>
      <c r="Z77" s="88"/>
      <c r="AA77" s="88">
        <v>1444912</v>
      </c>
      <c r="AB77" s="88"/>
      <c r="AC77" s="89">
        <f t="shared" si="4"/>
        <v>109006626</v>
      </c>
      <c r="AD77" s="89"/>
      <c r="AE77" s="90">
        <f t="shared" si="5"/>
        <v>95703705</v>
      </c>
      <c r="AF77" s="20"/>
      <c r="AG77" s="88">
        <v>6165933</v>
      </c>
      <c r="AH77" s="7"/>
      <c r="AI77" s="88">
        <v>34358409</v>
      </c>
      <c r="AJ77" s="7"/>
      <c r="AK77" s="7"/>
      <c r="AL77" s="7"/>
      <c r="AM77" s="7">
        <f>+'Gov Fd Rv'!Q77+'Gov Fd Rv'!S77-'Gov Fnd Exp'!AC77-AG77+'Gov Fd Rv'!U77+AI77+AK77-'Gov Fd BS'!O79</f>
        <v>0</v>
      </c>
    </row>
    <row r="78" spans="1:39" ht="12.75">
      <c r="A78" s="32" t="s">
        <v>69</v>
      </c>
      <c r="B78" s="32"/>
      <c r="C78" s="88">
        <v>6159468</v>
      </c>
      <c r="D78" s="88"/>
      <c r="E78" s="88">
        <v>3159342</v>
      </c>
      <c r="F78" s="88"/>
      <c r="G78" s="88">
        <v>9753621</v>
      </c>
      <c r="H78" s="88"/>
      <c r="I78" s="88">
        <v>5957655</v>
      </c>
      <c r="J78" s="88"/>
      <c r="K78" s="88">
        <v>648540</v>
      </c>
      <c r="L78" s="88"/>
      <c r="M78" s="88">
        <v>21273026</v>
      </c>
      <c r="N78" s="88"/>
      <c r="O78" s="88">
        <v>652563</v>
      </c>
      <c r="P78" s="88"/>
      <c r="Q78" s="88">
        <v>0</v>
      </c>
      <c r="R78" s="88"/>
      <c r="S78" s="88">
        <v>0</v>
      </c>
      <c r="T78" s="88"/>
      <c r="U78" s="88">
        <v>982483</v>
      </c>
      <c r="V78" s="88"/>
      <c r="W78" s="88">
        <v>0</v>
      </c>
      <c r="X78" s="88"/>
      <c r="Y78" s="88">
        <v>2857210</v>
      </c>
      <c r="Z78" s="88"/>
      <c r="AA78" s="88">
        <v>491216</v>
      </c>
      <c r="AB78" s="88"/>
      <c r="AC78" s="89">
        <f t="shared" si="4"/>
        <v>51935124</v>
      </c>
      <c r="AD78" s="89"/>
      <c r="AE78" s="90">
        <f t="shared" si="5"/>
        <v>47604215</v>
      </c>
      <c r="AF78" s="20"/>
      <c r="AG78" s="88">
        <v>7909453</v>
      </c>
      <c r="AH78" s="7"/>
      <c r="AI78" s="88">
        <v>8135259</v>
      </c>
      <c r="AJ78" s="7"/>
      <c r="AK78" s="7"/>
      <c r="AL78" s="7"/>
      <c r="AM78" s="7">
        <f>+'Gov Fd Rv'!Q78+'Gov Fd Rv'!S78-'Gov Fnd Exp'!AC78-AG78+'Gov Fd Rv'!U78+AI78+AK78-'Gov Fd BS'!O80</f>
        <v>0</v>
      </c>
    </row>
    <row r="79" spans="1:39" ht="12.75">
      <c r="A79" s="32" t="s">
        <v>98</v>
      </c>
      <c r="B79" s="32"/>
      <c r="C79" s="88">
        <v>5177614</v>
      </c>
      <c r="D79" s="88"/>
      <c r="E79" s="88">
        <v>3438970</v>
      </c>
      <c r="F79" s="88"/>
      <c r="G79" s="88">
        <v>8234104</v>
      </c>
      <c r="H79" s="88"/>
      <c r="I79" s="88">
        <v>4327627</v>
      </c>
      <c r="J79" s="88"/>
      <c r="K79" s="88">
        <v>286293</v>
      </c>
      <c r="L79" s="88"/>
      <c r="M79" s="88">
        <v>19891020</v>
      </c>
      <c r="N79" s="88"/>
      <c r="O79" s="88">
        <v>1992274</v>
      </c>
      <c r="P79" s="88"/>
      <c r="Q79" s="88">
        <v>0</v>
      </c>
      <c r="R79" s="88"/>
      <c r="S79" s="88">
        <v>416125</v>
      </c>
      <c r="T79" s="88"/>
      <c r="U79" s="88">
        <v>1412288</v>
      </c>
      <c r="V79" s="88"/>
      <c r="W79" s="88">
        <v>188000</v>
      </c>
      <c r="X79" s="88"/>
      <c r="Y79" s="88">
        <v>1008087</v>
      </c>
      <c r="Z79" s="88"/>
      <c r="AA79" s="88">
        <v>309719</v>
      </c>
      <c r="AB79" s="88"/>
      <c r="AC79" s="89">
        <f t="shared" si="4"/>
        <v>46682121</v>
      </c>
      <c r="AD79" s="89"/>
      <c r="AE79" s="90">
        <f t="shared" si="5"/>
        <v>43764027</v>
      </c>
      <c r="AF79" s="20"/>
      <c r="AG79" s="88">
        <v>1533270</v>
      </c>
      <c r="AH79" s="7"/>
      <c r="AI79" s="88">
        <v>20538052</v>
      </c>
      <c r="AJ79" s="7"/>
      <c r="AK79" s="7"/>
      <c r="AL79" s="7"/>
      <c r="AM79" s="7">
        <f>+'Gov Fd Rv'!Q79+'Gov Fd Rv'!S79-'Gov Fnd Exp'!AC79-AG79+'Gov Fd Rv'!U79+AI79+AK79-'Gov Fd BS'!O81</f>
        <v>0</v>
      </c>
    </row>
    <row r="80" spans="1:39" ht="12.75">
      <c r="A80" s="32" t="s">
        <v>70</v>
      </c>
      <c r="B80" s="32"/>
      <c r="C80" s="88">
        <v>7488837</v>
      </c>
      <c r="D80" s="88"/>
      <c r="E80" s="88">
        <v>2192489</v>
      </c>
      <c r="F80" s="88"/>
      <c r="G80" s="88">
        <f>3756209+3037171</f>
        <v>6793380</v>
      </c>
      <c r="H80" s="88"/>
      <c r="I80" s="88">
        <v>4452514</v>
      </c>
      <c r="J80" s="88"/>
      <c r="K80" s="88">
        <v>6825087</v>
      </c>
      <c r="L80" s="88"/>
      <c r="M80" s="88">
        <v>18806412</v>
      </c>
      <c r="N80" s="88"/>
      <c r="O80" s="88">
        <v>1111698</v>
      </c>
      <c r="P80" s="88"/>
      <c r="Q80" s="88">
        <v>273242</v>
      </c>
      <c r="R80" s="88"/>
      <c r="S80" s="88">
        <v>854834</v>
      </c>
      <c r="T80" s="88"/>
      <c r="U80" s="88">
        <v>9509682</v>
      </c>
      <c r="V80" s="88"/>
      <c r="W80" s="88">
        <v>0</v>
      </c>
      <c r="X80" s="88"/>
      <c r="Y80" s="88">
        <f>1591227+10000</f>
        <v>1601227</v>
      </c>
      <c r="Z80" s="88"/>
      <c r="AA80" s="88">
        <v>721178</v>
      </c>
      <c r="AB80" s="88"/>
      <c r="AC80" s="89">
        <f t="shared" si="4"/>
        <v>60630580</v>
      </c>
      <c r="AD80" s="89"/>
      <c r="AE80" s="90">
        <f t="shared" si="5"/>
        <v>48798493</v>
      </c>
      <c r="AF80" s="20"/>
      <c r="AG80" s="88">
        <f>220000+2554548</f>
        <v>2774548</v>
      </c>
      <c r="AH80" s="7"/>
      <c r="AI80" s="88">
        <v>15447287</v>
      </c>
      <c r="AJ80" s="7"/>
      <c r="AK80" s="7"/>
      <c r="AL80" s="7"/>
      <c r="AM80" s="7">
        <f>+'Gov Fd Rv'!Q80+'Gov Fd Rv'!S80-'Gov Fnd Exp'!AC80-AG80+'Gov Fd Rv'!U80+AI80+AK80-'Gov Fd BS'!O82</f>
        <v>0</v>
      </c>
    </row>
    <row r="81" spans="1:39" ht="12.75">
      <c r="A81" s="32" t="s">
        <v>71</v>
      </c>
      <c r="B81" s="32"/>
      <c r="C81" s="88">
        <v>4731423</v>
      </c>
      <c r="D81" s="88"/>
      <c r="E81" s="88">
        <v>2514343</v>
      </c>
      <c r="F81" s="88"/>
      <c r="G81" s="88">
        <v>5661208</v>
      </c>
      <c r="H81" s="88"/>
      <c r="I81" s="88">
        <v>3524144</v>
      </c>
      <c r="J81" s="88"/>
      <c r="K81" s="88">
        <v>7306117</v>
      </c>
      <c r="L81" s="88"/>
      <c r="M81" s="88">
        <v>9630274</v>
      </c>
      <c r="N81" s="88"/>
      <c r="O81" s="88">
        <v>128182</v>
      </c>
      <c r="P81" s="88"/>
      <c r="Q81" s="88">
        <v>895522</v>
      </c>
      <c r="R81" s="88"/>
      <c r="S81" s="88">
        <v>0</v>
      </c>
      <c r="T81" s="88"/>
      <c r="U81" s="88">
        <v>5193067</v>
      </c>
      <c r="V81" s="88"/>
      <c r="W81" s="88">
        <v>0</v>
      </c>
      <c r="X81" s="88"/>
      <c r="Y81" s="88">
        <v>1315314</v>
      </c>
      <c r="Z81" s="88"/>
      <c r="AA81" s="88">
        <v>324614</v>
      </c>
      <c r="AB81" s="88"/>
      <c r="AC81" s="89">
        <f t="shared" si="4"/>
        <v>41224208</v>
      </c>
      <c r="AD81" s="89"/>
      <c r="AE81" s="90">
        <f t="shared" si="5"/>
        <v>34391213</v>
      </c>
      <c r="AF81" s="20"/>
      <c r="AG81" s="88">
        <v>3198272</v>
      </c>
      <c r="AH81" s="7"/>
      <c r="AI81" s="88">
        <v>15514429</v>
      </c>
      <c r="AJ81" s="7"/>
      <c r="AK81" s="7"/>
      <c r="AL81" s="7"/>
      <c r="AM81" s="7">
        <f>+'Gov Fd Rv'!Q81+'Gov Fd Rv'!S81-'Gov Fnd Exp'!AC81-AG81+'Gov Fd Rv'!U81+AI81+AK81-'Gov Fd BS'!O83</f>
        <v>0</v>
      </c>
    </row>
    <row r="82" spans="1:39" ht="12.75">
      <c r="A82" s="32" t="s">
        <v>72</v>
      </c>
      <c r="B82" s="32"/>
      <c r="C82" s="88">
        <v>4547104</v>
      </c>
      <c r="D82" s="88"/>
      <c r="E82" s="88">
        <v>2131569</v>
      </c>
      <c r="F82" s="88"/>
      <c r="G82" s="88">
        <v>4546596</v>
      </c>
      <c r="H82" s="88"/>
      <c r="I82" s="88">
        <v>9378470</v>
      </c>
      <c r="J82" s="88"/>
      <c r="K82" s="88">
        <v>212260</v>
      </c>
      <c r="L82" s="88"/>
      <c r="M82" s="88">
        <v>13815890</v>
      </c>
      <c r="N82" s="88"/>
      <c r="O82" s="88">
        <v>451715</v>
      </c>
      <c r="P82" s="88"/>
      <c r="Q82" s="88">
        <v>0</v>
      </c>
      <c r="R82" s="88"/>
      <c r="S82" s="88">
        <v>0</v>
      </c>
      <c r="T82" s="88"/>
      <c r="U82" s="88">
        <v>1277233</v>
      </c>
      <c r="V82" s="88"/>
      <c r="W82" s="88">
        <v>418713</v>
      </c>
      <c r="X82" s="88"/>
      <c r="Y82" s="88">
        <v>407127</v>
      </c>
      <c r="Z82" s="88"/>
      <c r="AA82" s="88">
        <v>115332</v>
      </c>
      <c r="AB82" s="88"/>
      <c r="AC82" s="89">
        <f t="shared" si="4"/>
        <v>37302009</v>
      </c>
      <c r="AD82" s="89"/>
      <c r="AE82" s="90">
        <f t="shared" si="5"/>
        <v>35083604</v>
      </c>
      <c r="AF82" s="20"/>
      <c r="AG82" s="88">
        <v>607340</v>
      </c>
      <c r="AH82" s="7"/>
      <c r="AI82" s="88">
        <v>12115822</v>
      </c>
      <c r="AJ82" s="7"/>
      <c r="AK82" s="7"/>
      <c r="AL82" s="7"/>
      <c r="AM82" s="7">
        <f>+'Gov Fd Rv'!Q82+'Gov Fd Rv'!S82-'Gov Fnd Exp'!AC82-AG82+'Gov Fd Rv'!U82+AI82+AK82-'Gov Fd BS'!O84</f>
        <v>0</v>
      </c>
    </row>
    <row r="83" spans="1:39" ht="12.75">
      <c r="A83" s="32" t="s">
        <v>73</v>
      </c>
      <c r="B83" s="32"/>
      <c r="C83" s="88">
        <v>22050554</v>
      </c>
      <c r="D83" s="88"/>
      <c r="E83" s="88">
        <v>15499876</v>
      </c>
      <c r="F83" s="88"/>
      <c r="G83" s="88">
        <v>25963813</v>
      </c>
      <c r="H83" s="88"/>
      <c r="I83" s="88">
        <v>24389113</v>
      </c>
      <c r="J83" s="88"/>
      <c r="K83" s="88">
        <v>72047118</v>
      </c>
      <c r="L83" s="88"/>
      <c r="M83" s="88">
        <v>63317341</v>
      </c>
      <c r="N83" s="88"/>
      <c r="O83" s="88">
        <v>0</v>
      </c>
      <c r="P83" s="88"/>
      <c r="Q83" s="88">
        <v>0</v>
      </c>
      <c r="R83" s="88"/>
      <c r="S83" s="88">
        <v>867147</v>
      </c>
      <c r="T83" s="88"/>
      <c r="U83" s="88">
        <v>16623836</v>
      </c>
      <c r="V83" s="88"/>
      <c r="W83" s="88">
        <v>10408714</v>
      </c>
      <c r="X83" s="88"/>
      <c r="Y83" s="88">
        <v>638886</v>
      </c>
      <c r="Z83" s="88"/>
      <c r="AA83" s="88">
        <v>322464</v>
      </c>
      <c r="AB83" s="88"/>
      <c r="AC83" s="89">
        <f t="shared" si="4"/>
        <v>252128862</v>
      </c>
      <c r="AD83" s="89"/>
      <c r="AE83" s="90">
        <f t="shared" si="5"/>
        <v>224134962</v>
      </c>
      <c r="AF83" s="20"/>
      <c r="AG83" s="88">
        <v>315784</v>
      </c>
      <c r="AH83" s="7"/>
      <c r="AI83" s="88">
        <v>75078928</v>
      </c>
      <c r="AJ83" s="7"/>
      <c r="AK83" s="7"/>
      <c r="AL83" s="7"/>
      <c r="AM83" s="7">
        <f>+'Gov Fd Rv'!Q83+'Gov Fd Rv'!S83-'Gov Fnd Exp'!AC83-AG83+'Gov Fd Rv'!U83+AI83+AK83-'Gov Fd BS'!O85</f>
        <v>0</v>
      </c>
    </row>
    <row r="84" spans="1:39" s="82" customFormat="1" ht="12.75">
      <c r="A84" s="122" t="s">
        <v>74</v>
      </c>
      <c r="B84" s="122"/>
      <c r="C84" s="89">
        <v>31550725</v>
      </c>
      <c r="D84" s="89"/>
      <c r="E84" s="89">
        <v>27751370</v>
      </c>
      <c r="F84" s="89"/>
      <c r="G84" s="89">
        <v>67347141</v>
      </c>
      <c r="H84" s="89"/>
      <c r="I84" s="89">
        <v>13944924</v>
      </c>
      <c r="J84" s="89"/>
      <c r="K84" s="89">
        <v>110501239</v>
      </c>
      <c r="L84" s="89"/>
      <c r="M84" s="89">
        <v>122167004</v>
      </c>
      <c r="N84" s="89"/>
      <c r="O84" s="89">
        <v>2880060</v>
      </c>
      <c r="P84" s="89"/>
      <c r="Q84" s="89">
        <v>5616879</v>
      </c>
      <c r="R84" s="89"/>
      <c r="S84" s="89">
        <v>1291357</v>
      </c>
      <c r="T84" s="89"/>
      <c r="U84" s="89">
        <v>16201817</v>
      </c>
      <c r="V84" s="89"/>
      <c r="W84" s="89">
        <v>201888</v>
      </c>
      <c r="X84" s="89"/>
      <c r="Y84" s="89">
        <v>9758973</v>
      </c>
      <c r="Z84" s="89"/>
      <c r="AA84" s="89">
        <v>3991549</v>
      </c>
      <c r="AB84" s="89"/>
      <c r="AC84" s="89">
        <f t="shared" si="4"/>
        <v>413204926</v>
      </c>
      <c r="AD84" s="89"/>
      <c r="AE84" s="123">
        <f t="shared" si="5"/>
        <v>383050699</v>
      </c>
      <c r="AF84" s="124"/>
      <c r="AG84" s="89">
        <v>10221277</v>
      </c>
      <c r="AH84" s="125"/>
      <c r="AI84" s="89">
        <v>177627862</v>
      </c>
      <c r="AJ84" s="125"/>
      <c r="AK84" s="125"/>
      <c r="AL84" s="125"/>
      <c r="AM84" s="125">
        <f>+'Gov Fd Rv'!Q84+'Gov Fd Rv'!S84-'Gov Fnd Exp'!AC84-AG84+'Gov Fd Rv'!U84+AI84+AK84-'Gov Fd BS'!O86</f>
        <v>0</v>
      </c>
    </row>
    <row r="85" spans="1:39" ht="12.75">
      <c r="A85" s="32" t="s">
        <v>75</v>
      </c>
      <c r="B85" s="32"/>
      <c r="C85" s="88">
        <v>17206613</v>
      </c>
      <c r="D85" s="88"/>
      <c r="E85" s="88">
        <v>10945073</v>
      </c>
      <c r="F85" s="88"/>
      <c r="G85" s="88">
        <v>14093174</v>
      </c>
      <c r="H85" s="88"/>
      <c r="I85" s="88">
        <v>11081999</v>
      </c>
      <c r="J85" s="88"/>
      <c r="K85" s="88">
        <v>34905129</v>
      </c>
      <c r="L85" s="88"/>
      <c r="M85" s="88">
        <v>43238358</v>
      </c>
      <c r="N85" s="88"/>
      <c r="O85" s="88">
        <v>134641</v>
      </c>
      <c r="P85" s="88"/>
      <c r="Q85" s="88">
        <v>0</v>
      </c>
      <c r="R85" s="88"/>
      <c r="S85" s="88">
        <v>37884</v>
      </c>
      <c r="T85" s="88"/>
      <c r="U85" s="88">
        <v>6631125</v>
      </c>
      <c r="V85" s="88"/>
      <c r="W85" s="88">
        <v>3375406</v>
      </c>
      <c r="X85" s="88"/>
      <c r="Y85" s="88">
        <v>8288280</v>
      </c>
      <c r="Z85" s="88"/>
      <c r="AA85" s="88">
        <f>1724116+167679</f>
        <v>1891795</v>
      </c>
      <c r="AB85" s="88"/>
      <c r="AC85" s="89">
        <f t="shared" si="4"/>
        <v>151829477</v>
      </c>
      <c r="AD85" s="89"/>
      <c r="AE85" s="90">
        <f t="shared" si="5"/>
        <v>131642871</v>
      </c>
      <c r="AF85" s="20"/>
      <c r="AG85" s="88">
        <f>2972418+5950798</f>
        <v>8923216</v>
      </c>
      <c r="AH85" s="7"/>
      <c r="AI85" s="88">
        <v>48182652</v>
      </c>
      <c r="AJ85" s="7"/>
      <c r="AK85" s="7"/>
      <c r="AL85" s="7"/>
      <c r="AM85" s="7">
        <f>+'Gov Fd Rv'!Q85+'Gov Fd Rv'!S85-'Gov Fnd Exp'!AC85-AG85+'Gov Fd Rv'!U85+AI85+AK85-'Gov Fd BS'!O87</f>
        <v>0</v>
      </c>
    </row>
    <row r="86" spans="1:39" ht="12.75">
      <c r="A86" s="32" t="s">
        <v>76</v>
      </c>
      <c r="B86" s="32"/>
      <c r="C86" s="88">
        <v>5905079</v>
      </c>
      <c r="D86" s="88"/>
      <c r="E86" s="88">
        <v>3770048</v>
      </c>
      <c r="F86" s="88"/>
      <c r="G86" s="88">
        <v>6438168</v>
      </c>
      <c r="H86" s="88"/>
      <c r="I86" s="88">
        <v>7532715</v>
      </c>
      <c r="J86" s="88"/>
      <c r="K86" s="88">
        <v>6814653</v>
      </c>
      <c r="L86" s="88"/>
      <c r="M86" s="88">
        <v>17530954</v>
      </c>
      <c r="N86" s="88"/>
      <c r="O86" s="88">
        <v>0</v>
      </c>
      <c r="P86" s="88"/>
      <c r="Q86" s="88">
        <v>436415</v>
      </c>
      <c r="R86" s="88"/>
      <c r="S86" s="88">
        <v>0</v>
      </c>
      <c r="T86" s="88"/>
      <c r="U86" s="88">
        <v>5793790</v>
      </c>
      <c r="V86" s="88"/>
      <c r="W86" s="88">
        <v>2335524</v>
      </c>
      <c r="X86" s="88"/>
      <c r="Y86" s="88">
        <v>71478</v>
      </c>
      <c r="Z86" s="88"/>
      <c r="AA86" s="88">
        <v>7070</v>
      </c>
      <c r="AB86" s="88"/>
      <c r="AC86" s="89">
        <f t="shared" si="4"/>
        <v>56635894</v>
      </c>
      <c r="AD86" s="89"/>
      <c r="AE86" s="90">
        <f t="shared" si="5"/>
        <v>48428032</v>
      </c>
      <c r="AF86" s="20"/>
      <c r="AG86" s="88">
        <v>7836948</v>
      </c>
      <c r="AH86" s="7"/>
      <c r="AI86" s="88">
        <v>48872621</v>
      </c>
      <c r="AJ86" s="7"/>
      <c r="AK86" s="7"/>
      <c r="AL86" s="7"/>
      <c r="AM86" s="7">
        <f>+'Gov Fd Rv'!Q86+'Gov Fd Rv'!S86-'Gov Fnd Exp'!AC86-AG86+'Gov Fd Rv'!U86+AI86+AK86-'Gov Fd BS'!O88</f>
        <v>0</v>
      </c>
    </row>
    <row r="87" spans="1:39" ht="12.75">
      <c r="A87" s="32"/>
      <c r="B87" s="32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9" t="s">
        <v>242</v>
      </c>
      <c r="AD87" s="89"/>
      <c r="AE87" s="90"/>
      <c r="AF87" s="20"/>
      <c r="AG87" s="88"/>
      <c r="AH87" s="7"/>
      <c r="AI87" s="88"/>
      <c r="AJ87" s="7"/>
      <c r="AK87" s="7"/>
      <c r="AL87" s="7"/>
      <c r="AM87" s="7"/>
    </row>
    <row r="88" spans="1:39" ht="12.75">
      <c r="A88" s="32" t="s">
        <v>77</v>
      </c>
      <c r="B88" s="32"/>
      <c r="C88" s="146">
        <v>10554369</v>
      </c>
      <c r="D88" s="146"/>
      <c r="E88" s="146">
        <v>1930903</v>
      </c>
      <c r="F88" s="146"/>
      <c r="G88" s="146">
        <v>5694979</v>
      </c>
      <c r="H88" s="146"/>
      <c r="I88" s="146">
        <v>4266177</v>
      </c>
      <c r="J88" s="146"/>
      <c r="K88" s="146">
        <v>3292537</v>
      </c>
      <c r="L88" s="146"/>
      <c r="M88" s="146">
        <v>12859327</v>
      </c>
      <c r="N88" s="146"/>
      <c r="O88" s="146">
        <v>248882</v>
      </c>
      <c r="P88" s="146"/>
      <c r="Q88" s="146">
        <v>0</v>
      </c>
      <c r="R88" s="146"/>
      <c r="S88" s="146">
        <v>335732</v>
      </c>
      <c r="T88" s="146"/>
      <c r="U88" s="146">
        <v>861815</v>
      </c>
      <c r="V88" s="146"/>
      <c r="W88" s="146">
        <v>0</v>
      </c>
      <c r="X88" s="146"/>
      <c r="Y88" s="146">
        <v>585557</v>
      </c>
      <c r="Z88" s="146"/>
      <c r="AA88" s="146">
        <v>416828</v>
      </c>
      <c r="AB88" s="146"/>
      <c r="AC88" s="147">
        <f t="shared" si="4"/>
        <v>41047106</v>
      </c>
      <c r="AD88" s="89"/>
      <c r="AE88" s="90">
        <f t="shared" si="5"/>
        <v>39182906</v>
      </c>
      <c r="AF88" s="20"/>
      <c r="AG88" s="146">
        <v>1500530</v>
      </c>
      <c r="AH88" s="7"/>
      <c r="AI88" s="146">
        <v>13835650</v>
      </c>
      <c r="AJ88" s="7"/>
      <c r="AK88" s="7">
        <v>32811</v>
      </c>
      <c r="AL88" s="7"/>
      <c r="AM88" s="7">
        <f>+'Gov Fd Rv'!Q87+'Gov Fd Rv'!S87-'Gov Fnd Exp'!AC88-AG88+'Gov Fd Rv'!U87+AI88+AK88-'Gov Fd BS'!O89</f>
        <v>0</v>
      </c>
    </row>
    <row r="89" spans="1:39" ht="12.75">
      <c r="A89" s="32" t="s">
        <v>78</v>
      </c>
      <c r="B89" s="32"/>
      <c r="C89" s="88">
        <v>4361124</v>
      </c>
      <c r="D89" s="88"/>
      <c r="E89" s="88">
        <v>1292456</v>
      </c>
      <c r="F89" s="88"/>
      <c r="G89" s="88">
        <v>2857038</v>
      </c>
      <c r="H89" s="88"/>
      <c r="I89" s="88">
        <v>3770770</v>
      </c>
      <c r="J89" s="88"/>
      <c r="K89" s="88">
        <v>97902</v>
      </c>
      <c r="L89" s="88"/>
      <c r="M89" s="88">
        <v>8651220</v>
      </c>
      <c r="N89" s="88"/>
      <c r="O89" s="88">
        <v>0</v>
      </c>
      <c r="P89" s="88"/>
      <c r="Q89" s="88">
        <v>686037</v>
      </c>
      <c r="R89" s="88"/>
      <c r="S89" s="88">
        <v>0</v>
      </c>
      <c r="T89" s="88"/>
      <c r="U89" s="88">
        <v>4171917</v>
      </c>
      <c r="V89" s="88"/>
      <c r="W89" s="88">
        <v>274618</v>
      </c>
      <c r="X89" s="88"/>
      <c r="Y89" s="88">
        <v>339019</v>
      </c>
      <c r="Z89" s="88"/>
      <c r="AA89" s="88">
        <v>313758</v>
      </c>
      <c r="AB89" s="88"/>
      <c r="AC89" s="89">
        <f t="shared" si="4"/>
        <v>26815859</v>
      </c>
      <c r="AD89" s="89"/>
      <c r="AE89" s="90">
        <f t="shared" si="5"/>
        <v>21716547</v>
      </c>
      <c r="AF89" s="20"/>
      <c r="AG89" s="88">
        <v>1136949</v>
      </c>
      <c r="AH89" s="7"/>
      <c r="AI89" s="88">
        <v>5802380</v>
      </c>
      <c r="AJ89" s="7"/>
      <c r="AK89" s="7"/>
      <c r="AL89" s="7"/>
      <c r="AM89" s="7">
        <f>+'Gov Fd Rv'!Q88+'Gov Fd Rv'!S88-'Gov Fnd Exp'!AC89-AG89+'Gov Fd Rv'!U88+AI89+AK89-'Gov Fd BS'!O90</f>
        <v>0</v>
      </c>
    </row>
    <row r="90" spans="1:39" ht="12.75">
      <c r="A90" s="32" t="s">
        <v>79</v>
      </c>
      <c r="B90" s="32"/>
      <c r="C90" s="88">
        <v>1275660</v>
      </c>
      <c r="D90" s="88"/>
      <c r="E90" s="88">
        <v>561897</v>
      </c>
      <c r="F90" s="88"/>
      <c r="G90" s="88">
        <v>1182855</v>
      </c>
      <c r="H90" s="88"/>
      <c r="I90" s="88">
        <v>5647236</v>
      </c>
      <c r="J90" s="88"/>
      <c r="K90" s="88">
        <v>1429066</v>
      </c>
      <c r="L90" s="88"/>
      <c r="M90" s="88">
        <v>4275368</v>
      </c>
      <c r="N90" s="88"/>
      <c r="O90" s="88">
        <v>0</v>
      </c>
      <c r="P90" s="88"/>
      <c r="Q90" s="88">
        <v>10729</v>
      </c>
      <c r="R90" s="88"/>
      <c r="S90" s="88">
        <v>463351</v>
      </c>
      <c r="T90" s="88"/>
      <c r="U90" s="88">
        <v>683551</v>
      </c>
      <c r="V90" s="88"/>
      <c r="W90" s="88">
        <v>882689</v>
      </c>
      <c r="X90" s="88"/>
      <c r="Y90" s="88">
        <v>63795</v>
      </c>
      <c r="Z90" s="88"/>
      <c r="AA90" s="88">
        <v>124493</v>
      </c>
      <c r="AB90" s="88"/>
      <c r="AC90" s="89">
        <f t="shared" si="4"/>
        <v>16600690</v>
      </c>
      <c r="AD90" s="89"/>
      <c r="AE90" s="90">
        <f t="shared" si="5"/>
        <v>14846162</v>
      </c>
      <c r="AF90" s="20"/>
      <c r="AG90" s="88">
        <v>154814</v>
      </c>
      <c r="AH90" s="7"/>
      <c r="AI90" s="88">
        <v>3921465</v>
      </c>
      <c r="AJ90" s="7"/>
      <c r="AK90" s="7"/>
      <c r="AL90" s="7"/>
      <c r="AM90" s="7">
        <f>+'Gov Fd Rv'!Q89+'Gov Fd Rv'!S89-'Gov Fnd Exp'!AC90-AG90+'Gov Fd Rv'!U89+AI90+AK90-'Gov Fd BS'!O91</f>
        <v>0</v>
      </c>
    </row>
    <row r="91" spans="1:39" ht="12.75">
      <c r="A91" s="32" t="s">
        <v>80</v>
      </c>
      <c r="B91" s="32"/>
      <c r="C91" s="88">
        <v>20522498</v>
      </c>
      <c r="D91" s="88"/>
      <c r="E91" s="88">
        <v>8957244</v>
      </c>
      <c r="F91" s="88"/>
      <c r="G91" s="88">
        <v>20370614</v>
      </c>
      <c r="H91" s="88"/>
      <c r="I91" s="88">
        <v>6569286</v>
      </c>
      <c r="J91" s="88"/>
      <c r="K91" s="88">
        <v>634847</v>
      </c>
      <c r="L91" s="88"/>
      <c r="M91" s="88">
        <v>37361835</v>
      </c>
      <c r="N91" s="88"/>
      <c r="O91" s="88">
        <v>1020458</v>
      </c>
      <c r="P91" s="88"/>
      <c r="Q91" s="88">
        <v>0</v>
      </c>
      <c r="R91" s="88"/>
      <c r="S91" s="88">
        <v>0</v>
      </c>
      <c r="T91" s="88"/>
      <c r="U91" s="88">
        <v>3047156</v>
      </c>
      <c r="V91" s="88"/>
      <c r="W91" s="88">
        <v>0</v>
      </c>
      <c r="X91" s="88"/>
      <c r="Y91" s="88">
        <v>6616891</v>
      </c>
      <c r="Z91" s="88"/>
      <c r="AA91" s="88">
        <v>1412944</v>
      </c>
      <c r="AB91" s="88"/>
      <c r="AC91" s="89">
        <f t="shared" si="4"/>
        <v>106513773</v>
      </c>
      <c r="AD91" s="89"/>
      <c r="AE91" s="90">
        <f t="shared" si="5"/>
        <v>95436782</v>
      </c>
      <c r="AF91" s="20"/>
      <c r="AG91" s="88">
        <v>14424158</v>
      </c>
      <c r="AH91" s="7"/>
      <c r="AI91" s="88">
        <v>67453202</v>
      </c>
      <c r="AJ91" s="7"/>
      <c r="AK91" s="7">
        <v>85712</v>
      </c>
      <c r="AL91" s="7"/>
      <c r="AM91" s="7">
        <f>+'Gov Fd Rv'!Q90+'Gov Fd Rv'!S90-'Gov Fnd Exp'!AC91-AG91+'Gov Fd Rv'!U90+AI91+AK91-'Gov Fd BS'!O92</f>
        <v>0</v>
      </c>
    </row>
    <row r="92" spans="1:39" ht="12.75">
      <c r="A92" s="32" t="s">
        <v>81</v>
      </c>
      <c r="B92" s="32"/>
      <c r="C92" s="88">
        <v>6477171</v>
      </c>
      <c r="D92" s="88"/>
      <c r="E92" s="88">
        <v>1347571</v>
      </c>
      <c r="F92" s="88"/>
      <c r="G92" s="88">
        <v>7167853</v>
      </c>
      <c r="H92" s="88"/>
      <c r="I92" s="88">
        <v>7857274</v>
      </c>
      <c r="J92" s="88"/>
      <c r="K92" s="88">
        <f>4005125+5906975+2279860+200798</f>
        <v>12392758</v>
      </c>
      <c r="L92" s="88"/>
      <c r="M92" s="88">
        <f>905585+2616011+6362854+1291069</f>
        <v>11175519</v>
      </c>
      <c r="N92" s="88"/>
      <c r="O92" s="88">
        <v>1368052</v>
      </c>
      <c r="P92" s="88"/>
      <c r="Q92" s="88">
        <v>326650</v>
      </c>
      <c r="R92" s="88"/>
      <c r="S92" s="88">
        <v>210000</v>
      </c>
      <c r="T92" s="88"/>
      <c r="U92" s="88">
        <v>0</v>
      </c>
      <c r="V92" s="88"/>
      <c r="W92" s="88">
        <v>0</v>
      </c>
      <c r="X92" s="88"/>
      <c r="Y92" s="88">
        <v>463666</v>
      </c>
      <c r="Z92" s="88"/>
      <c r="AA92" s="88">
        <v>337937</v>
      </c>
      <c r="AB92" s="88"/>
      <c r="AC92" s="89">
        <f t="shared" si="4"/>
        <v>49124451</v>
      </c>
      <c r="AD92" s="89"/>
      <c r="AE92" s="90">
        <f t="shared" si="5"/>
        <v>48322848</v>
      </c>
      <c r="AF92" s="20"/>
      <c r="AG92" s="88">
        <f>88000+2649223</f>
        <v>2737223</v>
      </c>
      <c r="AH92" s="7"/>
      <c r="AI92" s="88">
        <v>19514210</v>
      </c>
      <c r="AJ92" s="7"/>
      <c r="AK92" s="7"/>
      <c r="AL92" s="7"/>
      <c r="AM92" s="7">
        <f>+'Gov Fd Rv'!Q91+'Gov Fd Rv'!S91-'Gov Fnd Exp'!AC92-AG92+'Gov Fd Rv'!U91+AI92+AK92-'Gov Fd BS'!O93</f>
        <v>0</v>
      </c>
    </row>
    <row r="93" spans="1:39" ht="12.75">
      <c r="A93" s="32" t="s">
        <v>82</v>
      </c>
      <c r="B93" s="32"/>
      <c r="C93" s="88">
        <v>10662511</v>
      </c>
      <c r="D93" s="88"/>
      <c r="E93" s="88">
        <v>4605217</v>
      </c>
      <c r="F93" s="88"/>
      <c r="G93" s="88">
        <v>9741246</v>
      </c>
      <c r="H93" s="88"/>
      <c r="I93" s="88">
        <v>7785176</v>
      </c>
      <c r="J93" s="88"/>
      <c r="K93" s="88">
        <v>472896</v>
      </c>
      <c r="L93" s="88"/>
      <c r="M93" s="88">
        <v>32724351</v>
      </c>
      <c r="N93" s="88"/>
      <c r="O93" s="88">
        <v>197450</v>
      </c>
      <c r="P93" s="88"/>
      <c r="Q93" s="88">
        <v>64179</v>
      </c>
      <c r="R93" s="88"/>
      <c r="S93" s="88">
        <f>1029536+219017</f>
        <v>1248553</v>
      </c>
      <c r="T93" s="88"/>
      <c r="U93" s="88">
        <v>2405907</v>
      </c>
      <c r="V93" s="88"/>
      <c r="W93" s="88">
        <v>0</v>
      </c>
      <c r="X93" s="88"/>
      <c r="Y93" s="88">
        <v>558413</v>
      </c>
      <c r="Z93" s="88"/>
      <c r="AA93" s="88">
        <v>529161</v>
      </c>
      <c r="AB93" s="88"/>
      <c r="AC93" s="89">
        <f t="shared" si="4"/>
        <v>70995060</v>
      </c>
      <c r="AD93" s="89"/>
      <c r="AE93" s="90">
        <f t="shared" si="5"/>
        <v>67501579</v>
      </c>
      <c r="AF93" s="20"/>
      <c r="AG93" s="88">
        <v>3455498</v>
      </c>
      <c r="AH93" s="7"/>
      <c r="AI93" s="88">
        <v>33187654</v>
      </c>
      <c r="AJ93" s="7"/>
      <c r="AK93" s="7">
        <v>30949</v>
      </c>
      <c r="AL93" s="7"/>
      <c r="AM93" s="7">
        <f>+'Gov Fd Rv'!Q92+'Gov Fd Rv'!S92-'Gov Fnd Exp'!AC93-AG93+'Gov Fd Rv'!U92+AI93+AK93-'Gov Fd BS'!O94</f>
        <v>0</v>
      </c>
    </row>
    <row r="94" spans="1:39" ht="12.75" hidden="1">
      <c r="A94" s="32" t="s">
        <v>178</v>
      </c>
      <c r="B94" s="32"/>
      <c r="C94" s="88">
        <v>0</v>
      </c>
      <c r="D94" s="88"/>
      <c r="E94" s="88">
        <v>0</v>
      </c>
      <c r="F94" s="88"/>
      <c r="G94" s="88">
        <v>0</v>
      </c>
      <c r="H94" s="88"/>
      <c r="I94" s="88">
        <v>0</v>
      </c>
      <c r="J94" s="88"/>
      <c r="K94" s="88">
        <v>0</v>
      </c>
      <c r="L94" s="88"/>
      <c r="M94" s="88">
        <v>0</v>
      </c>
      <c r="N94" s="88"/>
      <c r="O94" s="88">
        <v>0</v>
      </c>
      <c r="P94" s="88"/>
      <c r="Q94" s="88">
        <v>0</v>
      </c>
      <c r="R94" s="88"/>
      <c r="S94" s="88">
        <v>0</v>
      </c>
      <c r="T94" s="88"/>
      <c r="U94" s="88">
        <v>0</v>
      </c>
      <c r="V94" s="88"/>
      <c r="W94" s="88">
        <v>0</v>
      </c>
      <c r="X94" s="88"/>
      <c r="Y94" s="88">
        <v>0</v>
      </c>
      <c r="Z94" s="88"/>
      <c r="AA94" s="88">
        <v>0</v>
      </c>
      <c r="AB94" s="88"/>
      <c r="AC94" s="89">
        <f t="shared" si="4"/>
        <v>0</v>
      </c>
      <c r="AD94" s="89"/>
      <c r="AE94" s="90">
        <f t="shared" si="5"/>
        <v>0</v>
      </c>
      <c r="AF94" s="20"/>
      <c r="AG94" s="88">
        <v>0</v>
      </c>
      <c r="AH94" s="7"/>
      <c r="AI94" s="88">
        <v>0</v>
      </c>
      <c r="AJ94" s="7"/>
      <c r="AK94" s="7"/>
      <c r="AL94" s="7"/>
      <c r="AM94" s="7">
        <f>+'Gov Fd Rv'!Q93+'Gov Fd Rv'!S93-'Gov Fnd Exp'!AC94-AG94+'Gov Fd Rv'!U93+AI94+AK94-'Gov Fd BS'!O95</f>
        <v>0</v>
      </c>
    </row>
    <row r="95" spans="1:39" s="82" customFormat="1" ht="12.75">
      <c r="A95" s="122" t="s">
        <v>83</v>
      </c>
      <c r="B95" s="122"/>
      <c r="C95" s="89">
        <v>17231779</v>
      </c>
      <c r="D95" s="89"/>
      <c r="E95" s="89">
        <v>7145549</v>
      </c>
      <c r="F95" s="89"/>
      <c r="G95" s="89">
        <v>8623679</v>
      </c>
      <c r="H95" s="89"/>
      <c r="I95" s="89">
        <v>8288532</v>
      </c>
      <c r="J95" s="89"/>
      <c r="K95" s="89">
        <v>12266405</v>
      </c>
      <c r="L95" s="89"/>
      <c r="M95" s="89">
        <v>36741752</v>
      </c>
      <c r="N95" s="89"/>
      <c r="O95" s="89">
        <v>912852</v>
      </c>
      <c r="P95" s="89"/>
      <c r="Q95" s="89">
        <v>240488</v>
      </c>
      <c r="R95" s="89"/>
      <c r="S95" s="89">
        <v>346668</v>
      </c>
      <c r="T95" s="89"/>
      <c r="U95" s="89">
        <v>2655405</v>
      </c>
      <c r="V95" s="89"/>
      <c r="W95" s="89">
        <v>427016</v>
      </c>
      <c r="X95" s="89"/>
      <c r="Y95" s="89">
        <v>2781849</v>
      </c>
      <c r="Z95" s="89"/>
      <c r="AA95" s="89">
        <v>717785</v>
      </c>
      <c r="AB95" s="89"/>
      <c r="AC95" s="89">
        <f t="shared" si="4"/>
        <v>98379759</v>
      </c>
      <c r="AD95" s="89"/>
      <c r="AE95" s="123">
        <f t="shared" si="5"/>
        <v>91797704</v>
      </c>
      <c r="AF95" s="124"/>
      <c r="AG95" s="89">
        <v>3839247</v>
      </c>
      <c r="AH95" s="125"/>
      <c r="AI95" s="89">
        <v>56215776</v>
      </c>
      <c r="AJ95" s="125"/>
      <c r="AK95" s="125"/>
      <c r="AL95" s="125"/>
      <c r="AM95" s="125">
        <f>+'Gov Fd Rv'!Q94+'Gov Fd Rv'!S94-'Gov Fnd Exp'!AC95-AG95+'Gov Fd Rv'!U94+AI95+AK95-'Gov Fd BS'!O96</f>
        <v>0</v>
      </c>
    </row>
    <row r="96" spans="1:39" ht="12.75" hidden="1">
      <c r="A96" s="32" t="s">
        <v>179</v>
      </c>
      <c r="B96" s="32"/>
      <c r="C96" s="56"/>
      <c r="D96" s="56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9"/>
      <c r="AD96" s="89"/>
      <c r="AE96" s="90"/>
      <c r="AF96" s="23"/>
      <c r="AG96" s="6"/>
      <c r="AH96" s="7"/>
      <c r="AI96" s="7"/>
      <c r="AJ96" s="7"/>
      <c r="AK96" s="7"/>
      <c r="AL96" s="7"/>
      <c r="AM96" s="7">
        <f>+'Gov Fd Rv'!Q95+'Gov Fd Rv'!S95-'Gov Fnd Exp'!AC96-AG96+'Gov Fd Rv'!U95+AI96+AK96-'Gov Fd BS'!O97</f>
        <v>0</v>
      </c>
    </row>
    <row r="97" spans="1:39" ht="12.75">
      <c r="A97" s="32"/>
      <c r="B97" s="3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6"/>
      <c r="AH97" s="7"/>
      <c r="AI97" s="7"/>
      <c r="AJ97" s="7"/>
      <c r="AK97" s="7"/>
      <c r="AL97" s="7"/>
      <c r="AM97" s="7"/>
    </row>
    <row r="98" spans="1:39" ht="12.75">
      <c r="A98" s="32"/>
      <c r="B98" s="3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6"/>
      <c r="AH98" s="7"/>
      <c r="AI98" s="7"/>
      <c r="AJ98" s="7"/>
      <c r="AK98" s="7"/>
      <c r="AL98" s="7"/>
      <c r="AM98" s="7"/>
    </row>
    <row r="99" spans="3:39" ht="12.75"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>
        <f>SUM(AC9:AC95)</f>
        <v>7836835828</v>
      </c>
      <c r="AD99" s="91"/>
      <c r="AE99" s="91"/>
      <c r="AF99" s="54"/>
      <c r="AG99" s="6"/>
      <c r="AH99" s="7"/>
      <c r="AI99" s="7"/>
      <c r="AJ99" s="7"/>
      <c r="AK99" s="7"/>
      <c r="AL99" s="7"/>
      <c r="AM99" s="7"/>
    </row>
    <row r="100" spans="3:39" ht="12.75"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54"/>
      <c r="AG100" s="6"/>
      <c r="AH100" s="7"/>
      <c r="AI100" s="7"/>
      <c r="AJ100" s="7"/>
      <c r="AK100" s="7"/>
      <c r="AL100" s="7"/>
      <c r="AM100" s="7"/>
    </row>
    <row r="101" spans="3:39" ht="12.75"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54"/>
      <c r="AG101" s="6"/>
      <c r="AH101" s="7"/>
      <c r="AI101" s="7"/>
      <c r="AJ101" s="7"/>
      <c r="AK101" s="7"/>
      <c r="AL101" s="7"/>
      <c r="AM101" s="7"/>
    </row>
    <row r="102" spans="33:39" ht="12.75">
      <c r="AG102" s="6"/>
      <c r="AH102" s="7"/>
      <c r="AI102" s="7"/>
      <c r="AJ102" s="7"/>
      <c r="AK102" s="7"/>
      <c r="AL102" s="7"/>
      <c r="AM102" s="7"/>
    </row>
    <row r="103" spans="33:39" ht="12.75">
      <c r="AG103" s="6"/>
      <c r="AH103" s="7"/>
      <c r="AI103" s="7"/>
      <c r="AJ103" s="7"/>
      <c r="AK103" s="7"/>
      <c r="AL103" s="7"/>
      <c r="AM103" s="7"/>
    </row>
    <row r="104" spans="33:39" ht="12.75">
      <c r="AG104" s="7"/>
      <c r="AH104" s="7"/>
      <c r="AI104" s="7"/>
      <c r="AJ104" s="7"/>
      <c r="AK104" s="7"/>
      <c r="AL104" s="7"/>
      <c r="AM104" s="7"/>
    </row>
    <row r="105" spans="33:39" ht="12.75">
      <c r="AG105" s="7"/>
      <c r="AH105" s="7"/>
      <c r="AI105" s="7"/>
      <c r="AJ105" s="7"/>
      <c r="AK105" s="7"/>
      <c r="AL105" s="7"/>
      <c r="AM105" s="7"/>
    </row>
    <row r="106" spans="33:39" ht="12.75">
      <c r="AG106" s="7"/>
      <c r="AH106" s="7"/>
      <c r="AI106" s="7"/>
      <c r="AJ106" s="7"/>
      <c r="AK106" s="7"/>
      <c r="AL106" s="7"/>
      <c r="AM106" s="7"/>
    </row>
    <row r="107" spans="33:39" ht="12.75">
      <c r="AG107" s="7"/>
      <c r="AH107" s="7"/>
      <c r="AI107" s="7"/>
      <c r="AJ107" s="7"/>
      <c r="AK107" s="7"/>
      <c r="AL107" s="7"/>
      <c r="AM107" s="7"/>
    </row>
    <row r="108" spans="33:39" ht="12.75">
      <c r="AG108" s="7"/>
      <c r="AH108" s="7"/>
      <c r="AI108" s="7"/>
      <c r="AJ108" s="7"/>
      <c r="AK108" s="7"/>
      <c r="AL108" s="7"/>
      <c r="AM108" s="7"/>
    </row>
    <row r="109" spans="33:39" ht="12.75">
      <c r="AG109" s="7"/>
      <c r="AH109" s="7"/>
      <c r="AI109" s="7"/>
      <c r="AJ109" s="7"/>
      <c r="AK109" s="7"/>
      <c r="AL109" s="7"/>
      <c r="AM109" s="7"/>
    </row>
    <row r="110" spans="33:39" ht="12.75">
      <c r="AG110" s="7"/>
      <c r="AH110" s="7"/>
      <c r="AI110" s="7"/>
      <c r="AJ110" s="7"/>
      <c r="AK110" s="7"/>
      <c r="AL110" s="7"/>
      <c r="AM110" s="7"/>
    </row>
    <row r="111" spans="33:39" ht="12.75">
      <c r="AG111" s="7"/>
      <c r="AH111" s="7"/>
      <c r="AI111" s="7"/>
      <c r="AJ111" s="7"/>
      <c r="AK111" s="7"/>
      <c r="AL111" s="7"/>
      <c r="AM111" s="7"/>
    </row>
    <row r="112" spans="33:39" ht="12.75">
      <c r="AG112" s="7"/>
      <c r="AH112" s="7"/>
      <c r="AI112" s="7"/>
      <c r="AJ112" s="7"/>
      <c r="AK112" s="7"/>
      <c r="AL112" s="7"/>
      <c r="AM112" s="7"/>
    </row>
    <row r="113" spans="33:39" ht="12.75">
      <c r="AG113" s="7"/>
      <c r="AH113" s="7"/>
      <c r="AI113" s="7"/>
      <c r="AJ113" s="7"/>
      <c r="AK113" s="7"/>
      <c r="AL113" s="7"/>
      <c r="AM113" s="7"/>
    </row>
    <row r="114" spans="33:39" ht="12.75">
      <c r="AG114" s="7"/>
      <c r="AH114" s="7"/>
      <c r="AI114" s="7"/>
      <c r="AJ114" s="7"/>
      <c r="AK114" s="7"/>
      <c r="AL114" s="7"/>
      <c r="AM114" s="7"/>
    </row>
    <row r="115" spans="33:39" ht="12.75">
      <c r="AG115" s="7"/>
      <c r="AH115" s="7"/>
      <c r="AI115" s="7"/>
      <c r="AJ115" s="7"/>
      <c r="AK115" s="7"/>
      <c r="AL115" s="7"/>
      <c r="AM115" s="7"/>
    </row>
    <row r="116" spans="33:39" ht="12.75">
      <c r="AG116" s="7"/>
      <c r="AH116" s="7"/>
      <c r="AI116" s="7"/>
      <c r="AJ116" s="7"/>
      <c r="AK116" s="7"/>
      <c r="AL116" s="7"/>
      <c r="AM116" s="7"/>
    </row>
    <row r="117" spans="33:39" ht="12.75">
      <c r="AG117" s="7"/>
      <c r="AH117" s="7"/>
      <c r="AI117" s="7"/>
      <c r="AJ117" s="7"/>
      <c r="AK117" s="7"/>
      <c r="AL117" s="7"/>
      <c r="AM117" s="7"/>
    </row>
    <row r="118" spans="33:39" ht="12.75">
      <c r="AG118" s="7"/>
      <c r="AH118" s="7"/>
      <c r="AI118" s="7"/>
      <c r="AJ118" s="7"/>
      <c r="AK118" s="7"/>
      <c r="AL118" s="7"/>
      <c r="AM118" s="7"/>
    </row>
    <row r="119" spans="33:39" ht="12.75">
      <c r="AG119" s="7"/>
      <c r="AH119" s="7"/>
      <c r="AI119" s="7"/>
      <c r="AJ119" s="7"/>
      <c r="AK119" s="7"/>
      <c r="AL119" s="7"/>
      <c r="AM119" s="7"/>
    </row>
    <row r="120" spans="33:39" ht="12.75">
      <c r="AG120" s="7"/>
      <c r="AH120" s="7"/>
      <c r="AI120" s="7"/>
      <c r="AJ120" s="7"/>
      <c r="AK120" s="7"/>
      <c r="AL120" s="7"/>
      <c r="AM120" s="7"/>
    </row>
    <row r="121" spans="33:39" ht="12.75">
      <c r="AG121" s="7"/>
      <c r="AH121" s="7"/>
      <c r="AI121" s="7"/>
      <c r="AJ121" s="7"/>
      <c r="AK121" s="7"/>
      <c r="AL121" s="7"/>
      <c r="AM121" s="7"/>
    </row>
    <row r="122" spans="33:39" ht="12.75">
      <c r="AG122" s="7"/>
      <c r="AH122" s="7"/>
      <c r="AI122" s="7"/>
      <c r="AJ122" s="7"/>
      <c r="AK122" s="7"/>
      <c r="AL122" s="7"/>
      <c r="AM122" s="7"/>
    </row>
    <row r="123" spans="33:39" ht="12.75">
      <c r="AG123" s="7"/>
      <c r="AH123" s="7"/>
      <c r="AI123" s="7"/>
      <c r="AJ123" s="7"/>
      <c r="AK123" s="7"/>
      <c r="AL123" s="7"/>
      <c r="AM123" s="7"/>
    </row>
    <row r="124" spans="33:39" ht="12.75">
      <c r="AG124" s="7"/>
      <c r="AH124" s="7"/>
      <c r="AI124" s="7"/>
      <c r="AJ124" s="7"/>
      <c r="AK124" s="7"/>
      <c r="AL124" s="7"/>
      <c r="AM124" s="7"/>
    </row>
    <row r="125" spans="33:39" ht="12.75">
      <c r="AG125" s="7"/>
      <c r="AH125" s="7"/>
      <c r="AI125" s="7"/>
      <c r="AJ125" s="7"/>
      <c r="AK125" s="7"/>
      <c r="AL125" s="7"/>
      <c r="AM125" s="7"/>
    </row>
    <row r="126" spans="33:39" ht="12.75">
      <c r="AG126" s="7"/>
      <c r="AH126" s="7"/>
      <c r="AI126" s="7"/>
      <c r="AJ126" s="7"/>
      <c r="AK126" s="7"/>
      <c r="AL126" s="7"/>
      <c r="AM126" s="7"/>
    </row>
    <row r="127" spans="33:39" ht="12.75">
      <c r="AG127" s="7"/>
      <c r="AH127" s="7"/>
      <c r="AI127" s="7"/>
      <c r="AJ127" s="7"/>
      <c r="AK127" s="7"/>
      <c r="AL127" s="7"/>
      <c r="AM127" s="7"/>
    </row>
    <row r="128" spans="33:39" ht="12.75">
      <c r="AG128" s="7"/>
      <c r="AH128" s="7"/>
      <c r="AI128" s="7"/>
      <c r="AJ128" s="7"/>
      <c r="AK128" s="7"/>
      <c r="AL128" s="7"/>
      <c r="AM128" s="7"/>
    </row>
    <row r="129" spans="33:39" ht="12.75">
      <c r="AG129" s="7"/>
      <c r="AH129" s="7"/>
      <c r="AI129" s="7"/>
      <c r="AJ129" s="7"/>
      <c r="AK129" s="7"/>
      <c r="AL129" s="7"/>
      <c r="AM129" s="7"/>
    </row>
    <row r="130" spans="33:39" ht="12.75">
      <c r="AG130" s="7"/>
      <c r="AH130" s="7"/>
      <c r="AI130" s="7"/>
      <c r="AJ130" s="7"/>
      <c r="AK130" s="7"/>
      <c r="AL130" s="7"/>
      <c r="AM130" s="7"/>
    </row>
    <row r="131" spans="33:39" ht="12.75">
      <c r="AG131" s="7"/>
      <c r="AH131" s="7"/>
      <c r="AI131" s="7"/>
      <c r="AJ131" s="7"/>
      <c r="AK131" s="7"/>
      <c r="AL131" s="7"/>
      <c r="AM131" s="7"/>
    </row>
    <row r="132" spans="33:39" ht="12.75">
      <c r="AG132" s="7"/>
      <c r="AH132" s="7"/>
      <c r="AI132" s="7"/>
      <c r="AJ132" s="7"/>
      <c r="AK132" s="7"/>
      <c r="AL132" s="7"/>
      <c r="AM132" s="7"/>
    </row>
    <row r="133" spans="33:39" ht="12.75">
      <c r="AG133" s="7"/>
      <c r="AH133" s="7"/>
      <c r="AI133" s="7"/>
      <c r="AJ133" s="7"/>
      <c r="AK133" s="7"/>
      <c r="AL133" s="7"/>
      <c r="AM133" s="7"/>
    </row>
    <row r="134" spans="33:39" ht="12.75">
      <c r="AG134" s="7"/>
      <c r="AH134" s="7"/>
      <c r="AI134" s="7"/>
      <c r="AJ134" s="7"/>
      <c r="AK134" s="7"/>
      <c r="AL134" s="7"/>
      <c r="AM134" s="7"/>
    </row>
    <row r="135" spans="33:39" ht="12.75">
      <c r="AG135" s="7"/>
      <c r="AH135" s="7"/>
      <c r="AI135" s="7"/>
      <c r="AJ135" s="7"/>
      <c r="AK135" s="7"/>
      <c r="AL135" s="7"/>
      <c r="AM135" s="7"/>
    </row>
    <row r="136" spans="33:39" ht="12.75">
      <c r="AG136" s="7"/>
      <c r="AH136" s="7"/>
      <c r="AI136" s="7"/>
      <c r="AJ136" s="7"/>
      <c r="AK136" s="7"/>
      <c r="AL136" s="7"/>
      <c r="AM136" s="7"/>
    </row>
    <row r="137" spans="33:39" ht="12.75">
      <c r="AG137" s="7"/>
      <c r="AH137" s="7"/>
      <c r="AI137" s="7"/>
      <c r="AJ137" s="7"/>
      <c r="AK137" s="7"/>
      <c r="AL137" s="7"/>
      <c r="AM137" s="7"/>
    </row>
    <row r="138" spans="33:39" ht="12.75">
      <c r="AG138" s="7"/>
      <c r="AH138" s="7"/>
      <c r="AI138" s="7"/>
      <c r="AJ138" s="7"/>
      <c r="AK138" s="7"/>
      <c r="AL138" s="7"/>
      <c r="AM138" s="7"/>
    </row>
    <row r="139" spans="33:39" ht="12.75">
      <c r="AG139" s="7"/>
      <c r="AH139" s="7"/>
      <c r="AI139" s="7"/>
      <c r="AJ139" s="7"/>
      <c r="AK139" s="7"/>
      <c r="AL139" s="7"/>
      <c r="AM139" s="7"/>
    </row>
    <row r="140" spans="33:39" ht="12.75">
      <c r="AG140" s="7"/>
      <c r="AH140" s="7"/>
      <c r="AI140" s="7"/>
      <c r="AJ140" s="7"/>
      <c r="AK140" s="7"/>
      <c r="AL140" s="7"/>
      <c r="AM140" s="7"/>
    </row>
    <row r="141" spans="33:39" ht="12.75">
      <c r="AG141" s="7"/>
      <c r="AH141" s="7"/>
      <c r="AI141" s="7"/>
      <c r="AJ141" s="7"/>
      <c r="AK141" s="7"/>
      <c r="AL141" s="7"/>
      <c r="AM141" s="7"/>
    </row>
    <row r="142" spans="33:39" ht="12.75">
      <c r="AG142" s="7"/>
      <c r="AH142" s="7"/>
      <c r="AI142" s="7"/>
      <c r="AJ142" s="7"/>
      <c r="AK142" s="7"/>
      <c r="AL142" s="7"/>
      <c r="AM142" s="7"/>
    </row>
    <row r="143" spans="33:39" ht="12.75">
      <c r="AG143" s="7"/>
      <c r="AH143" s="7"/>
      <c r="AI143" s="7"/>
      <c r="AJ143" s="7"/>
      <c r="AK143" s="7"/>
      <c r="AL143" s="7"/>
      <c r="AM143" s="7"/>
    </row>
    <row r="144" spans="33:39" ht="12.75">
      <c r="AG144" s="7"/>
      <c r="AH144" s="7"/>
      <c r="AI144" s="7"/>
      <c r="AJ144" s="7"/>
      <c r="AK144" s="7"/>
      <c r="AL144" s="7"/>
      <c r="AM144" s="7"/>
    </row>
    <row r="145" spans="33:39" ht="12.75">
      <c r="AG145" s="7"/>
      <c r="AH145" s="7"/>
      <c r="AI145" s="7"/>
      <c r="AJ145" s="7"/>
      <c r="AK145" s="7"/>
      <c r="AL145" s="7"/>
      <c r="AM145" s="7"/>
    </row>
    <row r="146" spans="33:39" ht="12.75">
      <c r="AG146" s="7"/>
      <c r="AH146" s="7"/>
      <c r="AI146" s="7"/>
      <c r="AJ146" s="7"/>
      <c r="AK146" s="7"/>
      <c r="AL146" s="7"/>
      <c r="AM146" s="7"/>
    </row>
    <row r="147" spans="33:39" ht="12.75">
      <c r="AG147" s="7"/>
      <c r="AH147" s="7"/>
      <c r="AI147" s="7"/>
      <c r="AJ147" s="7"/>
      <c r="AK147" s="7"/>
      <c r="AL147" s="7"/>
      <c r="AM147" s="7"/>
    </row>
    <row r="148" spans="33:39" ht="12.75">
      <c r="AG148" s="7"/>
      <c r="AH148" s="7"/>
      <c r="AI148" s="7"/>
      <c r="AJ148" s="7"/>
      <c r="AK148" s="7"/>
      <c r="AL148" s="7"/>
      <c r="AM148" s="7"/>
    </row>
    <row r="149" spans="33:39" ht="12.75">
      <c r="AG149" s="7"/>
      <c r="AH149" s="7"/>
      <c r="AI149" s="7"/>
      <c r="AJ149" s="7"/>
      <c r="AK149" s="7"/>
      <c r="AL149" s="7"/>
      <c r="AM149" s="7"/>
    </row>
    <row r="150" spans="33:39" ht="12.75">
      <c r="AG150" s="7"/>
      <c r="AH150" s="7"/>
      <c r="AI150" s="7"/>
      <c r="AJ150" s="7"/>
      <c r="AK150" s="7"/>
      <c r="AL150" s="7"/>
      <c r="AM150" s="7"/>
    </row>
    <row r="151" spans="33:39" ht="12.75">
      <c r="AG151" s="7"/>
      <c r="AH151" s="7"/>
      <c r="AI151" s="7"/>
      <c r="AJ151" s="7"/>
      <c r="AK151" s="7"/>
      <c r="AL151" s="7"/>
      <c r="AM151" s="7"/>
    </row>
    <row r="152" spans="33:39" ht="12.75">
      <c r="AG152" s="7"/>
      <c r="AH152" s="7"/>
      <c r="AI152" s="7"/>
      <c r="AJ152" s="7"/>
      <c r="AK152" s="7"/>
      <c r="AL152" s="7"/>
      <c r="AM152" s="7"/>
    </row>
    <row r="153" spans="33:39" ht="12.75">
      <c r="AG153" s="7"/>
      <c r="AH153" s="7"/>
      <c r="AI153" s="7"/>
      <c r="AJ153" s="7"/>
      <c r="AK153" s="7"/>
      <c r="AL153" s="7"/>
      <c r="AM153" s="7"/>
    </row>
    <row r="154" spans="33:39" ht="12.75">
      <c r="AG154" s="7"/>
      <c r="AH154" s="7"/>
      <c r="AI154" s="7"/>
      <c r="AJ154" s="7"/>
      <c r="AK154" s="7"/>
      <c r="AL154" s="7"/>
      <c r="AM154" s="7"/>
    </row>
    <row r="155" spans="33:39" ht="12.75">
      <c r="AG155" s="7"/>
      <c r="AH155" s="7"/>
      <c r="AI155" s="7"/>
      <c r="AJ155" s="7"/>
      <c r="AK155" s="7"/>
      <c r="AL155" s="7"/>
      <c r="AM155" s="7"/>
    </row>
    <row r="156" spans="33:39" ht="12.75">
      <c r="AG156" s="7"/>
      <c r="AH156" s="7"/>
      <c r="AI156" s="7"/>
      <c r="AJ156" s="7"/>
      <c r="AK156" s="7"/>
      <c r="AL156" s="7"/>
      <c r="AM156" s="7"/>
    </row>
    <row r="157" spans="33:39" ht="12.75">
      <c r="AG157" s="7"/>
      <c r="AH157" s="7"/>
      <c r="AI157" s="7"/>
      <c r="AJ157" s="7"/>
      <c r="AK157" s="7"/>
      <c r="AL157" s="7"/>
      <c r="AM157" s="7"/>
    </row>
    <row r="158" spans="33:39" ht="12.75">
      <c r="AG158" s="7"/>
      <c r="AH158" s="7"/>
      <c r="AI158" s="7"/>
      <c r="AJ158" s="7"/>
      <c r="AK158" s="7"/>
      <c r="AL158" s="7"/>
      <c r="AM158" s="7"/>
    </row>
    <row r="159" spans="33:39" ht="12.75">
      <c r="AG159" s="7"/>
      <c r="AH159" s="7"/>
      <c r="AI159" s="7"/>
      <c r="AJ159" s="7"/>
      <c r="AK159" s="7"/>
      <c r="AL159" s="7"/>
      <c r="AM159" s="7"/>
    </row>
    <row r="160" spans="33:39" ht="12.75">
      <c r="AG160" s="7"/>
      <c r="AH160" s="7"/>
      <c r="AI160" s="7"/>
      <c r="AJ160" s="7"/>
      <c r="AK160" s="7"/>
      <c r="AL160" s="7"/>
      <c r="AM160" s="7"/>
    </row>
    <row r="161" spans="33:39" ht="12.75">
      <c r="AG161" s="7"/>
      <c r="AH161" s="7"/>
      <c r="AI161" s="7"/>
      <c r="AJ161" s="7"/>
      <c r="AK161" s="7"/>
      <c r="AL161" s="7"/>
      <c r="AM161" s="7"/>
    </row>
    <row r="162" spans="33:39" ht="12.75">
      <c r="AG162" s="7"/>
      <c r="AH162" s="7"/>
      <c r="AI162" s="7"/>
      <c r="AJ162" s="7"/>
      <c r="AK162" s="7"/>
      <c r="AL162" s="7"/>
      <c r="AM162" s="7"/>
    </row>
    <row r="163" spans="33:39" ht="12.75">
      <c r="AG163" s="7"/>
      <c r="AH163" s="7"/>
      <c r="AI163" s="7"/>
      <c r="AJ163" s="7"/>
      <c r="AK163" s="7"/>
      <c r="AL163" s="7"/>
      <c r="AM163" s="7"/>
    </row>
    <row r="164" spans="33:39" ht="12.75">
      <c r="AG164" s="7"/>
      <c r="AH164" s="7"/>
      <c r="AI164" s="7"/>
      <c r="AJ164" s="7"/>
      <c r="AK164" s="7"/>
      <c r="AL164" s="7"/>
      <c r="AM164" s="7"/>
    </row>
    <row r="165" spans="33:39" ht="12.75">
      <c r="AG165" s="7"/>
      <c r="AH165" s="7"/>
      <c r="AI165" s="7"/>
      <c r="AJ165" s="7"/>
      <c r="AK165" s="7"/>
      <c r="AL165" s="7"/>
      <c r="AM165" s="7"/>
    </row>
    <row r="166" spans="33:39" ht="12.75">
      <c r="AG166" s="7"/>
      <c r="AH166" s="7"/>
      <c r="AI166" s="7"/>
      <c r="AJ166" s="7"/>
      <c r="AK166" s="7"/>
      <c r="AL166" s="7"/>
      <c r="AM166" s="7"/>
    </row>
    <row r="167" spans="33:39" ht="12.75">
      <c r="AG167" s="7"/>
      <c r="AH167" s="7"/>
      <c r="AI167" s="7"/>
      <c r="AJ167" s="7"/>
      <c r="AK167" s="7"/>
      <c r="AL167" s="7"/>
      <c r="AM167" s="7"/>
    </row>
    <row r="168" spans="33:39" ht="12.75">
      <c r="AG168" s="7"/>
      <c r="AH168" s="7"/>
      <c r="AI168" s="7"/>
      <c r="AJ168" s="7"/>
      <c r="AK168" s="7"/>
      <c r="AL168" s="7"/>
      <c r="AM168" s="7"/>
    </row>
    <row r="169" spans="33:39" ht="12.75">
      <c r="AG169" s="7"/>
      <c r="AH169" s="7"/>
      <c r="AI169" s="7"/>
      <c r="AJ169" s="7"/>
      <c r="AK169" s="7"/>
      <c r="AL169" s="7"/>
      <c r="AM169" s="7"/>
    </row>
    <row r="170" spans="33:39" ht="12.75">
      <c r="AG170" s="7"/>
      <c r="AH170" s="7"/>
      <c r="AI170" s="7"/>
      <c r="AJ170" s="7"/>
      <c r="AK170" s="7"/>
      <c r="AL170" s="7"/>
      <c r="AM170" s="7"/>
    </row>
    <row r="171" spans="33:39" ht="12.75">
      <c r="AG171" s="7"/>
      <c r="AH171" s="7"/>
      <c r="AI171" s="7"/>
      <c r="AJ171" s="7"/>
      <c r="AK171" s="7"/>
      <c r="AL171" s="7"/>
      <c r="AM171" s="7"/>
    </row>
    <row r="172" spans="33:39" ht="12.75">
      <c r="AG172" s="7"/>
      <c r="AH172" s="7"/>
      <c r="AI172" s="7"/>
      <c r="AJ172" s="7"/>
      <c r="AK172" s="7"/>
      <c r="AL172" s="7"/>
      <c r="AM172" s="7"/>
    </row>
    <row r="173" spans="33:39" ht="12.75">
      <c r="AG173" s="7"/>
      <c r="AH173" s="7"/>
      <c r="AI173" s="7"/>
      <c r="AJ173" s="7"/>
      <c r="AK173" s="7"/>
      <c r="AL173" s="7"/>
      <c r="AM173" s="7"/>
    </row>
    <row r="174" spans="33:39" ht="12.75">
      <c r="AG174" s="7"/>
      <c r="AH174" s="7"/>
      <c r="AI174" s="7"/>
      <c r="AJ174" s="7"/>
      <c r="AK174" s="7"/>
      <c r="AL174" s="7"/>
      <c r="AM174" s="7"/>
    </row>
    <row r="175" spans="33:39" ht="12.75">
      <c r="AG175" s="7"/>
      <c r="AH175" s="7"/>
      <c r="AI175" s="7"/>
      <c r="AJ175" s="7"/>
      <c r="AK175" s="7"/>
      <c r="AL175" s="7"/>
      <c r="AM175" s="7"/>
    </row>
    <row r="176" spans="33:39" ht="12.75">
      <c r="AG176" s="7"/>
      <c r="AH176" s="7"/>
      <c r="AI176" s="7"/>
      <c r="AJ176" s="7"/>
      <c r="AK176" s="7"/>
      <c r="AL176" s="7"/>
      <c r="AM176" s="7"/>
    </row>
    <row r="177" spans="33:39" ht="12.75">
      <c r="AG177" s="7"/>
      <c r="AH177" s="7"/>
      <c r="AI177" s="7"/>
      <c r="AJ177" s="7"/>
      <c r="AK177" s="7"/>
      <c r="AL177" s="7"/>
      <c r="AM177" s="7"/>
    </row>
    <row r="178" spans="33:39" ht="12.75">
      <c r="AG178" s="7"/>
      <c r="AH178" s="7"/>
      <c r="AI178" s="7"/>
      <c r="AJ178" s="7"/>
      <c r="AK178" s="7"/>
      <c r="AL178" s="7"/>
      <c r="AM178" s="7"/>
    </row>
    <row r="179" spans="33:39" ht="12.75">
      <c r="AG179" s="7"/>
      <c r="AH179" s="7"/>
      <c r="AI179" s="7"/>
      <c r="AJ179" s="7"/>
      <c r="AK179" s="7"/>
      <c r="AL179" s="7"/>
      <c r="AM179" s="7"/>
    </row>
    <row r="180" spans="33:39" ht="12.75">
      <c r="AG180" s="7"/>
      <c r="AH180" s="7"/>
      <c r="AI180" s="7"/>
      <c r="AJ180" s="7"/>
      <c r="AK180" s="7"/>
      <c r="AL180" s="7"/>
      <c r="AM180" s="7"/>
    </row>
    <row r="181" spans="33:39" ht="12.75">
      <c r="AG181" s="7"/>
      <c r="AH181" s="7"/>
      <c r="AI181" s="7"/>
      <c r="AJ181" s="7"/>
      <c r="AK181" s="7"/>
      <c r="AL181" s="7"/>
      <c r="AM181" s="7"/>
    </row>
    <row r="182" spans="33:39" ht="12.75">
      <c r="AG182" s="7"/>
      <c r="AH182" s="7"/>
      <c r="AI182" s="7"/>
      <c r="AJ182" s="7"/>
      <c r="AK182" s="7"/>
      <c r="AL182" s="7"/>
      <c r="AM182" s="7"/>
    </row>
    <row r="183" spans="33:39" ht="12.75">
      <c r="AG183" s="7"/>
      <c r="AH183" s="7"/>
      <c r="AI183" s="7"/>
      <c r="AJ183" s="7"/>
      <c r="AK183" s="7"/>
      <c r="AL183" s="7"/>
      <c r="AM183" s="7"/>
    </row>
    <row r="184" spans="33:39" ht="12.75">
      <c r="AG184" s="7"/>
      <c r="AH184" s="7"/>
      <c r="AI184" s="7"/>
      <c r="AJ184" s="7"/>
      <c r="AK184" s="7"/>
      <c r="AL184" s="7"/>
      <c r="AM184" s="7"/>
    </row>
    <row r="185" spans="33:39" ht="12.75">
      <c r="AG185" s="7"/>
      <c r="AH185" s="7"/>
      <c r="AI185" s="7"/>
      <c r="AJ185" s="7"/>
      <c r="AK185" s="7"/>
      <c r="AL185" s="7"/>
      <c r="AM185" s="7"/>
    </row>
    <row r="186" spans="33:39" ht="12.75">
      <c r="AG186" s="7"/>
      <c r="AH186" s="7"/>
      <c r="AI186" s="7"/>
      <c r="AJ186" s="7"/>
      <c r="AK186" s="7"/>
      <c r="AL186" s="7"/>
      <c r="AM186" s="7"/>
    </row>
    <row r="187" spans="33:39" ht="12.75">
      <c r="AG187" s="7"/>
      <c r="AH187" s="7"/>
      <c r="AI187" s="7"/>
      <c r="AJ187" s="7"/>
      <c r="AK187" s="7"/>
      <c r="AL187" s="7"/>
      <c r="AM187" s="7"/>
    </row>
    <row r="188" spans="33:39" ht="12.75">
      <c r="AG188" s="7"/>
      <c r="AH188" s="7"/>
      <c r="AI188" s="7"/>
      <c r="AJ188" s="7"/>
      <c r="AK188" s="7"/>
      <c r="AL188" s="7"/>
      <c r="AM188" s="7"/>
    </row>
    <row r="189" spans="33:39" ht="12.75">
      <c r="AG189" s="7"/>
      <c r="AH189" s="7"/>
      <c r="AI189" s="7"/>
      <c r="AJ189" s="7"/>
      <c r="AK189" s="7"/>
      <c r="AL189" s="7"/>
      <c r="AM189" s="7"/>
    </row>
    <row r="190" spans="33:39" ht="12.75">
      <c r="AG190" s="7"/>
      <c r="AH190" s="7"/>
      <c r="AI190" s="7"/>
      <c r="AJ190" s="7"/>
      <c r="AK190" s="7"/>
      <c r="AL190" s="7"/>
      <c r="AM190" s="7"/>
    </row>
    <row r="191" spans="33:39" ht="12.75">
      <c r="AG191" s="7"/>
      <c r="AH191" s="7"/>
      <c r="AI191" s="7"/>
      <c r="AJ191" s="7"/>
      <c r="AK191" s="7"/>
      <c r="AL191" s="7"/>
      <c r="AM191" s="7"/>
    </row>
    <row r="192" spans="33:39" ht="12.75">
      <c r="AG192" s="7"/>
      <c r="AH192" s="7"/>
      <c r="AI192" s="7"/>
      <c r="AJ192" s="7"/>
      <c r="AK192" s="7"/>
      <c r="AL192" s="7"/>
      <c r="AM192" s="7"/>
    </row>
    <row r="193" spans="33:39" ht="12.75">
      <c r="AG193" s="7"/>
      <c r="AH193" s="7"/>
      <c r="AI193" s="7"/>
      <c r="AJ193" s="7"/>
      <c r="AK193" s="7"/>
      <c r="AL193" s="7"/>
      <c r="AM193" s="7"/>
    </row>
    <row r="194" spans="33:39" ht="12.75">
      <c r="AG194" s="7"/>
      <c r="AH194" s="7"/>
      <c r="AI194" s="7"/>
      <c r="AJ194" s="7"/>
      <c r="AK194" s="7"/>
      <c r="AL194" s="7"/>
      <c r="AM194" s="7"/>
    </row>
    <row r="195" spans="33:39" ht="12.75">
      <c r="AG195" s="7"/>
      <c r="AH195" s="7"/>
      <c r="AI195" s="7"/>
      <c r="AJ195" s="7"/>
      <c r="AK195" s="7"/>
      <c r="AL195" s="7"/>
      <c r="AM195" s="7"/>
    </row>
    <row r="196" spans="33:39" ht="12.75">
      <c r="AG196" s="7"/>
      <c r="AH196" s="7"/>
      <c r="AI196" s="7"/>
      <c r="AJ196" s="7"/>
      <c r="AK196" s="7"/>
      <c r="AL196" s="7"/>
      <c r="AM196" s="7"/>
    </row>
    <row r="197" spans="33:39" ht="12.75">
      <c r="AG197" s="7"/>
      <c r="AH197" s="7"/>
      <c r="AI197" s="7"/>
      <c r="AJ197" s="7"/>
      <c r="AK197" s="7"/>
      <c r="AL197" s="7"/>
      <c r="AM197" s="7"/>
    </row>
    <row r="198" spans="33:39" ht="12.75">
      <c r="AG198" s="7"/>
      <c r="AH198" s="7"/>
      <c r="AI198" s="7"/>
      <c r="AJ198" s="7"/>
      <c r="AK198" s="7"/>
      <c r="AL198" s="7"/>
      <c r="AM198" s="7"/>
    </row>
    <row r="199" spans="33:39" ht="12.75">
      <c r="AG199" s="7"/>
      <c r="AH199" s="7"/>
      <c r="AI199" s="7"/>
      <c r="AJ199" s="7"/>
      <c r="AK199" s="7"/>
      <c r="AL199" s="7"/>
      <c r="AM199" s="7"/>
    </row>
    <row r="200" spans="33:39" ht="12.75">
      <c r="AG200" s="7"/>
      <c r="AH200" s="7"/>
      <c r="AI200" s="7"/>
      <c r="AJ200" s="7"/>
      <c r="AK200" s="7"/>
      <c r="AL200" s="7"/>
      <c r="AM200" s="7"/>
    </row>
    <row r="201" spans="33:39" ht="12.75">
      <c r="AG201" s="7"/>
      <c r="AH201" s="7"/>
      <c r="AI201" s="7"/>
      <c r="AJ201" s="7"/>
      <c r="AK201" s="7"/>
      <c r="AL201" s="7"/>
      <c r="AM201" s="7"/>
    </row>
    <row r="202" spans="33:39" ht="12.75">
      <c r="AG202" s="7"/>
      <c r="AH202" s="7"/>
      <c r="AI202" s="7"/>
      <c r="AJ202" s="7"/>
      <c r="AK202" s="7"/>
      <c r="AL202" s="7"/>
      <c r="AM202" s="7"/>
    </row>
    <row r="203" spans="33:39" ht="12.75">
      <c r="AG203" s="7"/>
      <c r="AH203" s="7"/>
      <c r="AI203" s="7"/>
      <c r="AJ203" s="7"/>
      <c r="AK203" s="7"/>
      <c r="AL203" s="7"/>
      <c r="AM203" s="7"/>
    </row>
    <row r="204" spans="33:39" ht="12.75">
      <c r="AG204" s="7"/>
      <c r="AH204" s="7"/>
      <c r="AI204" s="7"/>
      <c r="AJ204" s="7"/>
      <c r="AK204" s="7"/>
      <c r="AL204" s="7"/>
      <c r="AM204" s="7"/>
    </row>
    <row r="205" spans="33:39" ht="12.75">
      <c r="AG205" s="7"/>
      <c r="AH205" s="7"/>
      <c r="AI205" s="7"/>
      <c r="AJ205" s="7"/>
      <c r="AK205" s="7"/>
      <c r="AL205" s="7"/>
      <c r="AM205" s="7"/>
    </row>
    <row r="206" spans="33:39" ht="12.75">
      <c r="AG206" s="7"/>
      <c r="AH206" s="7"/>
      <c r="AI206" s="7"/>
      <c r="AJ206" s="7"/>
      <c r="AK206" s="7"/>
      <c r="AL206" s="7"/>
      <c r="AM206" s="7"/>
    </row>
    <row r="207" spans="33:39" ht="12.75">
      <c r="AG207" s="7"/>
      <c r="AH207" s="7"/>
      <c r="AI207" s="7"/>
      <c r="AJ207" s="7"/>
      <c r="AK207" s="7"/>
      <c r="AL207" s="7"/>
      <c r="AM207" s="7"/>
    </row>
    <row r="208" spans="33:39" ht="12.75">
      <c r="AG208" s="7"/>
      <c r="AH208" s="7"/>
      <c r="AI208" s="7"/>
      <c r="AJ208" s="7"/>
      <c r="AK208" s="7"/>
      <c r="AL208" s="7"/>
      <c r="AM208" s="7"/>
    </row>
    <row r="209" spans="33:39" ht="12.75">
      <c r="AG209" s="7"/>
      <c r="AH209" s="7"/>
      <c r="AI209" s="7"/>
      <c r="AJ209" s="7"/>
      <c r="AK209" s="7"/>
      <c r="AL209" s="7"/>
      <c r="AM209" s="7"/>
    </row>
    <row r="210" spans="33:39" ht="12.75">
      <c r="AG210" s="7"/>
      <c r="AH210" s="7"/>
      <c r="AI210" s="7"/>
      <c r="AJ210" s="7"/>
      <c r="AK210" s="7"/>
      <c r="AL210" s="7"/>
      <c r="AM210" s="7"/>
    </row>
    <row r="211" spans="33:39" ht="12.75">
      <c r="AG211" s="7"/>
      <c r="AH211" s="7"/>
      <c r="AI211" s="7"/>
      <c r="AJ211" s="7"/>
      <c r="AK211" s="7"/>
      <c r="AL211" s="7"/>
      <c r="AM211" s="7"/>
    </row>
    <row r="212" spans="33:39" ht="12.75">
      <c r="AG212" s="7"/>
      <c r="AH212" s="7"/>
      <c r="AI212" s="7"/>
      <c r="AJ212" s="7"/>
      <c r="AK212" s="7"/>
      <c r="AL212" s="7"/>
      <c r="AM212" s="7"/>
    </row>
    <row r="213" spans="33:39" ht="12.75">
      <c r="AG213" s="7"/>
      <c r="AH213" s="7"/>
      <c r="AI213" s="7"/>
      <c r="AJ213" s="7"/>
      <c r="AK213" s="7"/>
      <c r="AL213" s="7"/>
      <c r="AM213" s="7"/>
    </row>
    <row r="214" spans="33:39" ht="12.75">
      <c r="AG214" s="7"/>
      <c r="AH214" s="7"/>
      <c r="AI214" s="7"/>
      <c r="AJ214" s="7"/>
      <c r="AK214" s="7"/>
      <c r="AL214" s="7"/>
      <c r="AM214" s="7"/>
    </row>
    <row r="215" spans="33:39" ht="12.75">
      <c r="AG215" s="7"/>
      <c r="AH215" s="7"/>
      <c r="AI215" s="7"/>
      <c r="AJ215" s="7"/>
      <c r="AK215" s="7"/>
      <c r="AL215" s="7"/>
      <c r="AM215" s="7"/>
    </row>
    <row r="216" spans="33:39" ht="12.75">
      <c r="AG216" s="7"/>
      <c r="AH216" s="7"/>
      <c r="AI216" s="7"/>
      <c r="AJ216" s="7"/>
      <c r="AK216" s="7"/>
      <c r="AL216" s="7"/>
      <c r="AM216" s="7"/>
    </row>
    <row r="217" spans="33:39" ht="12.75">
      <c r="AG217" s="7"/>
      <c r="AH217" s="7"/>
      <c r="AI217" s="7"/>
      <c r="AJ217" s="7"/>
      <c r="AK217" s="7"/>
      <c r="AL217" s="7"/>
      <c r="AM217" s="7"/>
    </row>
    <row r="218" spans="33:39" ht="12.75">
      <c r="AG218" s="7"/>
      <c r="AH218" s="7"/>
      <c r="AI218" s="7"/>
      <c r="AJ218" s="7"/>
      <c r="AK218" s="7"/>
      <c r="AL218" s="7"/>
      <c r="AM218" s="7"/>
    </row>
    <row r="219" spans="33:39" ht="12.75">
      <c r="AG219" s="7"/>
      <c r="AH219" s="7"/>
      <c r="AI219" s="7"/>
      <c r="AJ219" s="7"/>
      <c r="AK219" s="7"/>
      <c r="AL219" s="7"/>
      <c r="AM219" s="7"/>
    </row>
    <row r="220" spans="33:39" ht="12.75">
      <c r="AG220" s="7"/>
      <c r="AH220" s="7"/>
      <c r="AI220" s="7"/>
      <c r="AJ220" s="7"/>
      <c r="AK220" s="7"/>
      <c r="AL220" s="7"/>
      <c r="AM220" s="7"/>
    </row>
    <row r="221" spans="33:39" ht="12.75">
      <c r="AG221" s="7"/>
      <c r="AH221" s="7"/>
      <c r="AI221" s="7"/>
      <c r="AJ221" s="7"/>
      <c r="AK221" s="7"/>
      <c r="AL221" s="7"/>
      <c r="AM221" s="7"/>
    </row>
    <row r="222" spans="33:39" ht="12.75">
      <c r="AG222" s="7"/>
      <c r="AH222" s="7"/>
      <c r="AI222" s="7"/>
      <c r="AJ222" s="7"/>
      <c r="AK222" s="7"/>
      <c r="AL222" s="7"/>
      <c r="AM222" s="7"/>
    </row>
    <row r="223" spans="33:39" ht="12.75">
      <c r="AG223" s="7"/>
      <c r="AH223" s="7"/>
      <c r="AI223" s="7"/>
      <c r="AJ223" s="7"/>
      <c r="AK223" s="7"/>
      <c r="AL223" s="7"/>
      <c r="AM223" s="7"/>
    </row>
    <row r="224" spans="33:39" ht="12.75">
      <c r="AG224" s="7"/>
      <c r="AH224" s="7"/>
      <c r="AI224" s="7"/>
      <c r="AJ224" s="7"/>
      <c r="AK224" s="7"/>
      <c r="AL224" s="7"/>
      <c r="AM224" s="7"/>
    </row>
    <row r="225" spans="33:39" ht="12.75">
      <c r="AG225" s="7"/>
      <c r="AH225" s="7"/>
      <c r="AI225" s="7"/>
      <c r="AJ225" s="7"/>
      <c r="AK225" s="7"/>
      <c r="AL225" s="7"/>
      <c r="AM225" s="7"/>
    </row>
    <row r="226" spans="33:39" ht="12.75">
      <c r="AG226" s="7"/>
      <c r="AH226" s="7"/>
      <c r="AI226" s="7"/>
      <c r="AJ226" s="7"/>
      <c r="AK226" s="7"/>
      <c r="AL226" s="7"/>
      <c r="AM226" s="7"/>
    </row>
    <row r="227" spans="33:39" ht="12.75">
      <c r="AG227" s="7"/>
      <c r="AH227" s="7"/>
      <c r="AI227" s="7"/>
      <c r="AJ227" s="7"/>
      <c r="AK227" s="7"/>
      <c r="AL227" s="7"/>
      <c r="AM227" s="7"/>
    </row>
    <row r="228" spans="33:39" ht="12.75">
      <c r="AG228" s="7"/>
      <c r="AH228" s="7"/>
      <c r="AI228" s="7"/>
      <c r="AJ228" s="7"/>
      <c r="AK228" s="7"/>
      <c r="AL228" s="7"/>
      <c r="AM228" s="7"/>
    </row>
    <row r="229" spans="33:39" ht="12.75">
      <c r="AG229" s="7"/>
      <c r="AH229" s="7"/>
      <c r="AI229" s="7"/>
      <c r="AJ229" s="7"/>
      <c r="AK229" s="7"/>
      <c r="AL229" s="7"/>
      <c r="AM229" s="7"/>
    </row>
    <row r="230" spans="33:39" ht="12.75">
      <c r="AG230" s="7"/>
      <c r="AH230" s="7"/>
      <c r="AI230" s="7"/>
      <c r="AJ230" s="7"/>
      <c r="AK230" s="7"/>
      <c r="AL230" s="7"/>
      <c r="AM230" s="7"/>
    </row>
    <row r="231" spans="33:39" ht="12.75">
      <c r="AG231" s="7"/>
      <c r="AH231" s="7"/>
      <c r="AI231" s="7"/>
      <c r="AJ231" s="7"/>
      <c r="AK231" s="7"/>
      <c r="AL231" s="7"/>
      <c r="AM231" s="7"/>
    </row>
    <row r="232" spans="33:39" ht="12.75">
      <c r="AG232" s="7"/>
      <c r="AH232" s="7"/>
      <c r="AI232" s="7"/>
      <c r="AJ232" s="7"/>
      <c r="AK232" s="7"/>
      <c r="AL232" s="7"/>
      <c r="AM232" s="7"/>
    </row>
    <row r="233" spans="33:39" ht="12.75">
      <c r="AG233" s="7"/>
      <c r="AH233" s="7"/>
      <c r="AI233" s="7"/>
      <c r="AJ233" s="7"/>
      <c r="AK233" s="7"/>
      <c r="AL233" s="7"/>
      <c r="AM233" s="7"/>
    </row>
    <row r="234" spans="33:39" ht="12.75">
      <c r="AG234" s="7"/>
      <c r="AH234" s="7"/>
      <c r="AI234" s="7"/>
      <c r="AJ234" s="7"/>
      <c r="AK234" s="7"/>
      <c r="AL234" s="7"/>
      <c r="AM234" s="7"/>
    </row>
    <row r="235" spans="33:39" ht="12.75">
      <c r="AG235" s="7"/>
      <c r="AH235" s="7"/>
      <c r="AI235" s="7"/>
      <c r="AJ235" s="7"/>
      <c r="AK235" s="7"/>
      <c r="AL235" s="7"/>
      <c r="AM235" s="7"/>
    </row>
    <row r="236" spans="33:39" ht="12.75">
      <c r="AG236" s="7"/>
      <c r="AH236" s="7"/>
      <c r="AI236" s="7"/>
      <c r="AJ236" s="7"/>
      <c r="AK236" s="7"/>
      <c r="AL236" s="7"/>
      <c r="AM236" s="7"/>
    </row>
    <row r="237" spans="33:39" ht="12.75">
      <c r="AG237" s="7"/>
      <c r="AH237" s="7"/>
      <c r="AI237" s="7"/>
      <c r="AJ237" s="7"/>
      <c r="AK237" s="7"/>
      <c r="AL237" s="7"/>
      <c r="AM237" s="7"/>
    </row>
    <row r="238" spans="33:39" ht="12.75">
      <c r="AG238" s="7"/>
      <c r="AH238" s="7"/>
      <c r="AI238" s="7"/>
      <c r="AJ238" s="7"/>
      <c r="AK238" s="7"/>
      <c r="AL238" s="7"/>
      <c r="AM238" s="7"/>
    </row>
    <row r="239" spans="33:39" ht="12.75">
      <c r="AG239" s="7"/>
      <c r="AH239" s="7"/>
      <c r="AI239" s="7"/>
      <c r="AJ239" s="7"/>
      <c r="AK239" s="7"/>
      <c r="AL239" s="7"/>
      <c r="AM239" s="7"/>
    </row>
    <row r="240" spans="33:39" ht="12.75">
      <c r="AG240" s="7"/>
      <c r="AH240" s="7"/>
      <c r="AI240" s="7"/>
      <c r="AJ240" s="7"/>
      <c r="AK240" s="7"/>
      <c r="AL240" s="7"/>
      <c r="AM240" s="7"/>
    </row>
    <row r="241" spans="33:39" ht="12.75">
      <c r="AG241" s="7"/>
      <c r="AH241" s="7"/>
      <c r="AI241" s="7"/>
      <c r="AJ241" s="7"/>
      <c r="AK241" s="7"/>
      <c r="AL241" s="7"/>
      <c r="AM241" s="7"/>
    </row>
    <row r="242" spans="33:39" ht="12.75">
      <c r="AG242" s="7"/>
      <c r="AH242" s="7"/>
      <c r="AI242" s="7"/>
      <c r="AJ242" s="7"/>
      <c r="AK242" s="7"/>
      <c r="AL242" s="7"/>
      <c r="AM242" s="7"/>
    </row>
    <row r="243" spans="33:39" ht="12.75">
      <c r="AG243" s="7"/>
      <c r="AH243" s="7"/>
      <c r="AI243" s="7"/>
      <c r="AJ243" s="7"/>
      <c r="AK243" s="7"/>
      <c r="AL243" s="7"/>
      <c r="AM243" s="7"/>
    </row>
    <row r="244" spans="33:39" ht="12.75">
      <c r="AG244" s="7"/>
      <c r="AH244" s="7"/>
      <c r="AI244" s="7"/>
      <c r="AJ244" s="7"/>
      <c r="AK244" s="7"/>
      <c r="AL244" s="7"/>
      <c r="AM244" s="7"/>
    </row>
    <row r="245" spans="33:39" ht="12.75">
      <c r="AG245" s="7"/>
      <c r="AH245" s="7"/>
      <c r="AI245" s="7"/>
      <c r="AJ245" s="7"/>
      <c r="AK245" s="7"/>
      <c r="AL245" s="7"/>
      <c r="AM245" s="7"/>
    </row>
    <row r="246" spans="33:39" ht="12.75">
      <c r="AG246" s="7"/>
      <c r="AH246" s="7"/>
      <c r="AI246" s="7"/>
      <c r="AJ246" s="7"/>
      <c r="AK246" s="7"/>
      <c r="AL246" s="7"/>
      <c r="AM246" s="7"/>
    </row>
    <row r="247" spans="33:39" ht="12.75">
      <c r="AG247" s="7"/>
      <c r="AH247" s="7"/>
      <c r="AI247" s="7"/>
      <c r="AJ247" s="7"/>
      <c r="AK247" s="7"/>
      <c r="AL247" s="7"/>
      <c r="AM247" s="7"/>
    </row>
    <row r="248" spans="33:39" ht="12.75">
      <c r="AG248" s="7"/>
      <c r="AH248" s="7"/>
      <c r="AI248" s="7"/>
      <c r="AJ248" s="7"/>
      <c r="AK248" s="7"/>
      <c r="AL248" s="7"/>
      <c r="AM248" s="7"/>
    </row>
    <row r="249" spans="33:39" ht="12.75">
      <c r="AG249" s="7"/>
      <c r="AH249" s="7"/>
      <c r="AI249" s="7"/>
      <c r="AJ249" s="7"/>
      <c r="AK249" s="7"/>
      <c r="AL249" s="7"/>
      <c r="AM249" s="7"/>
    </row>
    <row r="250" spans="33:39" ht="12.75">
      <c r="AG250" s="7"/>
      <c r="AH250" s="7"/>
      <c r="AI250" s="7"/>
      <c r="AJ250" s="7"/>
      <c r="AK250" s="7"/>
      <c r="AL250" s="7"/>
      <c r="AM250" s="7"/>
    </row>
    <row r="251" spans="33:39" ht="12.75">
      <c r="AG251" s="7"/>
      <c r="AH251" s="7"/>
      <c r="AI251" s="7"/>
      <c r="AJ251" s="7"/>
      <c r="AK251" s="7"/>
      <c r="AL251" s="7"/>
      <c r="AM251" s="7"/>
    </row>
    <row r="252" spans="33:39" ht="12.75">
      <c r="AG252" s="7"/>
      <c r="AH252" s="7"/>
      <c r="AI252" s="7"/>
      <c r="AJ252" s="7"/>
      <c r="AK252" s="7"/>
      <c r="AL252" s="7"/>
      <c r="AM252" s="7"/>
    </row>
    <row r="253" spans="33:39" ht="12.75">
      <c r="AG253" s="7"/>
      <c r="AH253" s="7"/>
      <c r="AI253" s="7"/>
      <c r="AJ253" s="7"/>
      <c r="AK253" s="7"/>
      <c r="AL253" s="7"/>
      <c r="AM253" s="7"/>
    </row>
    <row r="254" spans="33:39" ht="12.75">
      <c r="AG254" s="7"/>
      <c r="AH254" s="7"/>
      <c r="AI254" s="7"/>
      <c r="AJ254" s="7"/>
      <c r="AK254" s="7"/>
      <c r="AL254" s="7"/>
      <c r="AM254" s="7"/>
    </row>
    <row r="255" spans="33:39" ht="12.75">
      <c r="AG255" s="7"/>
      <c r="AH255" s="7"/>
      <c r="AI255" s="7"/>
      <c r="AJ255" s="7"/>
      <c r="AK255" s="7"/>
      <c r="AL255" s="7"/>
      <c r="AM255" s="7"/>
    </row>
    <row r="256" spans="33:39" ht="12.75">
      <c r="AG256" s="7"/>
      <c r="AH256" s="7"/>
      <c r="AI256" s="7"/>
      <c r="AJ256" s="7"/>
      <c r="AK256" s="7"/>
      <c r="AL256" s="7"/>
      <c r="AM256" s="7"/>
    </row>
    <row r="257" spans="33:39" ht="12.75">
      <c r="AG257" s="7"/>
      <c r="AH257" s="7"/>
      <c r="AI257" s="7"/>
      <c r="AJ257" s="7"/>
      <c r="AK257" s="7"/>
      <c r="AL257" s="7"/>
      <c r="AM257" s="7"/>
    </row>
    <row r="258" spans="33:39" ht="12.75">
      <c r="AG258" s="7"/>
      <c r="AH258" s="7"/>
      <c r="AI258" s="7"/>
      <c r="AJ258" s="7"/>
      <c r="AK258" s="7"/>
      <c r="AL258" s="7"/>
      <c r="AM258" s="7"/>
    </row>
    <row r="259" spans="33:39" ht="12.75">
      <c r="AG259" s="7"/>
      <c r="AH259" s="7"/>
      <c r="AI259" s="7"/>
      <c r="AJ259" s="7"/>
      <c r="AK259" s="7"/>
      <c r="AL259" s="7"/>
      <c r="AM259" s="7"/>
    </row>
    <row r="260" spans="33:39" ht="12.75">
      <c r="AG260" s="7"/>
      <c r="AH260" s="7"/>
      <c r="AI260" s="7"/>
      <c r="AJ260" s="7"/>
      <c r="AK260" s="7"/>
      <c r="AL260" s="7"/>
      <c r="AM260" s="7"/>
    </row>
    <row r="261" spans="33:39" ht="12.75">
      <c r="AG261" s="7"/>
      <c r="AH261" s="7"/>
      <c r="AI261" s="7"/>
      <c r="AJ261" s="7"/>
      <c r="AK261" s="7"/>
      <c r="AL261" s="7"/>
      <c r="AM261" s="7"/>
    </row>
    <row r="262" spans="33:39" ht="12.75">
      <c r="AG262" s="7"/>
      <c r="AH262" s="7"/>
      <c r="AI262" s="7"/>
      <c r="AJ262" s="7"/>
      <c r="AK262" s="7"/>
      <c r="AL262" s="7"/>
      <c r="AM262" s="7"/>
    </row>
    <row r="263" spans="33:39" ht="12.75">
      <c r="AG263" s="7"/>
      <c r="AH263" s="7"/>
      <c r="AI263" s="7"/>
      <c r="AJ263" s="7"/>
      <c r="AK263" s="7"/>
      <c r="AL263" s="7"/>
      <c r="AM263" s="7"/>
    </row>
    <row r="264" spans="33:39" ht="12.75">
      <c r="AG264" s="7"/>
      <c r="AH264" s="7"/>
      <c r="AI264" s="7"/>
      <c r="AJ264" s="7"/>
      <c r="AK264" s="7"/>
      <c r="AL264" s="7"/>
      <c r="AM264" s="7"/>
    </row>
    <row r="265" spans="33:39" ht="12.75">
      <c r="AG265" s="7"/>
      <c r="AH265" s="7"/>
      <c r="AI265" s="7"/>
      <c r="AJ265" s="7"/>
      <c r="AK265" s="7"/>
      <c r="AL265" s="7"/>
      <c r="AM265" s="7"/>
    </row>
    <row r="266" spans="33:39" ht="12.75">
      <c r="AG266" s="7"/>
      <c r="AH266" s="7"/>
      <c r="AI266" s="7"/>
      <c r="AJ266" s="7"/>
      <c r="AK266" s="7"/>
      <c r="AL266" s="7"/>
      <c r="AM266" s="7"/>
    </row>
    <row r="267" spans="33:39" ht="12.75">
      <c r="AG267" s="7"/>
      <c r="AH267" s="7"/>
      <c r="AI267" s="7"/>
      <c r="AJ267" s="7"/>
      <c r="AK267" s="7"/>
      <c r="AL267" s="7"/>
      <c r="AM267" s="7"/>
    </row>
    <row r="268" spans="33:39" ht="12.75">
      <c r="AG268" s="7"/>
      <c r="AH268" s="7"/>
      <c r="AI268" s="7"/>
      <c r="AJ268" s="7"/>
      <c r="AK268" s="7"/>
      <c r="AL268" s="7"/>
      <c r="AM268" s="7"/>
    </row>
    <row r="269" spans="33:39" ht="12.75">
      <c r="AG269" s="7"/>
      <c r="AH269" s="7"/>
      <c r="AI269" s="7"/>
      <c r="AJ269" s="7"/>
      <c r="AK269" s="7"/>
      <c r="AL269" s="7"/>
      <c r="AM269" s="7"/>
    </row>
    <row r="270" spans="33:39" ht="12.75">
      <c r="AG270" s="7"/>
      <c r="AH270" s="7"/>
      <c r="AI270" s="7"/>
      <c r="AJ270" s="7"/>
      <c r="AK270" s="7"/>
      <c r="AL270" s="7"/>
      <c r="AM270" s="7"/>
    </row>
    <row r="271" spans="33:39" ht="12.75">
      <c r="AG271" s="7"/>
      <c r="AH271" s="7"/>
      <c r="AI271" s="7"/>
      <c r="AJ271" s="7"/>
      <c r="AK271" s="7"/>
      <c r="AL271" s="7"/>
      <c r="AM271" s="7"/>
    </row>
    <row r="272" spans="33:39" ht="12.75">
      <c r="AG272" s="7"/>
      <c r="AH272" s="7"/>
      <c r="AI272" s="7"/>
      <c r="AJ272" s="7"/>
      <c r="AK272" s="7"/>
      <c r="AL272" s="7"/>
      <c r="AM272" s="7"/>
    </row>
    <row r="273" spans="33:39" ht="12.75">
      <c r="AG273" s="7"/>
      <c r="AH273" s="7"/>
      <c r="AI273" s="7"/>
      <c r="AJ273" s="7"/>
      <c r="AK273" s="7"/>
      <c r="AL273" s="7"/>
      <c r="AM273" s="7"/>
    </row>
    <row r="274" spans="33:39" ht="12.75">
      <c r="AG274" s="7"/>
      <c r="AH274" s="7"/>
      <c r="AI274" s="7"/>
      <c r="AJ274" s="7"/>
      <c r="AK274" s="7"/>
      <c r="AL274" s="7"/>
      <c r="AM274" s="7"/>
    </row>
    <row r="275" spans="33:39" ht="12.75">
      <c r="AG275" s="7"/>
      <c r="AH275" s="7"/>
      <c r="AI275" s="7"/>
      <c r="AJ275" s="7"/>
      <c r="AK275" s="7"/>
      <c r="AL275" s="7"/>
      <c r="AM275" s="7"/>
    </row>
    <row r="276" spans="33:39" ht="12.75">
      <c r="AG276" s="7"/>
      <c r="AH276" s="7"/>
      <c r="AI276" s="7"/>
      <c r="AJ276" s="7"/>
      <c r="AK276" s="7"/>
      <c r="AL276" s="7"/>
      <c r="AM276" s="7"/>
    </row>
    <row r="277" spans="33:39" ht="12.75">
      <c r="AG277" s="7"/>
      <c r="AH277" s="7"/>
      <c r="AI277" s="7"/>
      <c r="AJ277" s="7"/>
      <c r="AK277" s="7"/>
      <c r="AL277" s="7"/>
      <c r="AM277" s="7"/>
    </row>
    <row r="278" spans="33:39" ht="12.75">
      <c r="AG278" s="7"/>
      <c r="AH278" s="7"/>
      <c r="AI278" s="7"/>
      <c r="AJ278" s="7"/>
      <c r="AK278" s="7"/>
      <c r="AL278" s="7"/>
      <c r="AM278" s="7"/>
    </row>
    <row r="279" spans="33:39" ht="12.75">
      <c r="AG279" s="7"/>
      <c r="AH279" s="7"/>
      <c r="AI279" s="7"/>
      <c r="AJ279" s="7"/>
      <c r="AK279" s="7"/>
      <c r="AL279" s="7"/>
      <c r="AM279" s="7"/>
    </row>
    <row r="280" spans="33:39" ht="12.75">
      <c r="AG280" s="7"/>
      <c r="AH280" s="7"/>
      <c r="AI280" s="7"/>
      <c r="AJ280" s="7"/>
      <c r="AK280" s="7"/>
      <c r="AL280" s="7"/>
      <c r="AM280" s="7"/>
    </row>
    <row r="281" spans="33:39" ht="12.75">
      <c r="AG281" s="7"/>
      <c r="AH281" s="7"/>
      <c r="AI281" s="7"/>
      <c r="AJ281" s="7"/>
      <c r="AK281" s="7"/>
      <c r="AL281" s="7"/>
      <c r="AM281" s="7"/>
    </row>
    <row r="282" spans="33:39" ht="12.75">
      <c r="AG282" s="7"/>
      <c r="AH282" s="7"/>
      <c r="AI282" s="7"/>
      <c r="AJ282" s="7"/>
      <c r="AK282" s="7"/>
      <c r="AL282" s="7"/>
      <c r="AM282" s="7"/>
    </row>
    <row r="283" spans="33:39" ht="12.75">
      <c r="AG283" s="7"/>
      <c r="AH283" s="7"/>
      <c r="AI283" s="7"/>
      <c r="AJ283" s="7"/>
      <c r="AK283" s="7"/>
      <c r="AL283" s="7"/>
      <c r="AM283" s="7"/>
    </row>
    <row r="284" spans="33:39" ht="12.75">
      <c r="AG284" s="7"/>
      <c r="AH284" s="7"/>
      <c r="AI284" s="7"/>
      <c r="AJ284" s="7"/>
      <c r="AK284" s="7"/>
      <c r="AL284" s="7"/>
      <c r="AM284" s="7"/>
    </row>
    <row r="285" spans="33:39" ht="12.75">
      <c r="AG285" s="7"/>
      <c r="AH285" s="7"/>
      <c r="AI285" s="7"/>
      <c r="AJ285" s="7"/>
      <c r="AK285" s="7"/>
      <c r="AL285" s="7"/>
      <c r="AM285" s="7"/>
    </row>
    <row r="286" spans="33:39" ht="12.75">
      <c r="AG286" s="7"/>
      <c r="AH286" s="7"/>
      <c r="AI286" s="7"/>
      <c r="AJ286" s="7"/>
      <c r="AK286" s="7"/>
      <c r="AL286" s="7"/>
      <c r="AM286" s="7"/>
    </row>
    <row r="287" spans="33:39" ht="12.75">
      <c r="AG287" s="7"/>
      <c r="AH287" s="7"/>
      <c r="AI287" s="7"/>
      <c r="AJ287" s="7"/>
      <c r="AK287" s="7"/>
      <c r="AL287" s="7"/>
      <c r="AM287" s="7"/>
    </row>
    <row r="288" spans="33:39" ht="12.75">
      <c r="AG288" s="7"/>
      <c r="AH288" s="7"/>
      <c r="AI288" s="7"/>
      <c r="AJ288" s="7"/>
      <c r="AK288" s="7"/>
      <c r="AL288" s="7"/>
      <c r="AM288" s="7"/>
    </row>
    <row r="289" spans="33:39" ht="12.75">
      <c r="AG289" s="7"/>
      <c r="AH289" s="7"/>
      <c r="AI289" s="7"/>
      <c r="AJ289" s="7"/>
      <c r="AK289" s="7"/>
      <c r="AL289" s="7"/>
      <c r="AM289" s="7"/>
    </row>
    <row r="290" spans="33:39" ht="12.75">
      <c r="AG290" s="7"/>
      <c r="AH290" s="7"/>
      <c r="AI290" s="7"/>
      <c r="AJ290" s="7"/>
      <c r="AK290" s="7"/>
      <c r="AL290" s="7"/>
      <c r="AM290" s="7"/>
    </row>
    <row r="291" spans="33:39" ht="12.75">
      <c r="AG291" s="7"/>
      <c r="AH291" s="7"/>
      <c r="AI291" s="7"/>
      <c r="AJ291" s="7"/>
      <c r="AK291" s="7"/>
      <c r="AL291" s="7"/>
      <c r="AM291" s="7"/>
    </row>
    <row r="292" spans="33:39" ht="12.75">
      <c r="AG292" s="7"/>
      <c r="AH292" s="7"/>
      <c r="AI292" s="7"/>
      <c r="AJ292" s="7"/>
      <c r="AK292" s="7"/>
      <c r="AL292" s="7"/>
      <c r="AM292" s="7"/>
    </row>
    <row r="293" spans="33:39" ht="12.75">
      <c r="AG293" s="7"/>
      <c r="AH293" s="7"/>
      <c r="AI293" s="7"/>
      <c r="AJ293" s="7"/>
      <c r="AK293" s="7"/>
      <c r="AL293" s="7"/>
      <c r="AM293" s="7"/>
    </row>
    <row r="294" spans="33:39" ht="12.75">
      <c r="AG294" s="7"/>
      <c r="AH294" s="7"/>
      <c r="AI294" s="7"/>
      <c r="AJ294" s="7"/>
      <c r="AK294" s="7"/>
      <c r="AL294" s="7"/>
      <c r="AM294" s="7"/>
    </row>
    <row r="295" spans="33:39" ht="12.75">
      <c r="AG295" s="7"/>
      <c r="AH295" s="7"/>
      <c r="AI295" s="7"/>
      <c r="AJ295" s="7"/>
      <c r="AK295" s="7"/>
      <c r="AL295" s="7"/>
      <c r="AM295" s="7"/>
    </row>
    <row r="296" spans="33:39" ht="12.75">
      <c r="AG296" s="7"/>
      <c r="AH296" s="7"/>
      <c r="AI296" s="7"/>
      <c r="AJ296" s="7"/>
      <c r="AK296" s="7"/>
      <c r="AL296" s="7"/>
      <c r="AM296" s="7"/>
    </row>
    <row r="297" spans="33:39" ht="12.75">
      <c r="AG297" s="7"/>
      <c r="AH297" s="7"/>
      <c r="AI297" s="7"/>
      <c r="AJ297" s="7"/>
      <c r="AK297" s="7"/>
      <c r="AL297" s="7"/>
      <c r="AM297" s="7"/>
    </row>
    <row r="298" spans="33:39" ht="12.75">
      <c r="AG298" s="7"/>
      <c r="AH298" s="7"/>
      <c r="AI298" s="7"/>
      <c r="AJ298" s="7"/>
      <c r="AK298" s="7"/>
      <c r="AL298" s="7"/>
      <c r="AM298" s="7"/>
    </row>
    <row r="299" spans="33:39" ht="12.75">
      <c r="AG299" s="7"/>
      <c r="AH299" s="7"/>
      <c r="AI299" s="7"/>
      <c r="AJ299" s="7"/>
      <c r="AK299" s="7"/>
      <c r="AL299" s="7"/>
      <c r="AM299" s="7"/>
    </row>
    <row r="300" spans="33:39" ht="12.75">
      <c r="AG300" s="7"/>
      <c r="AH300" s="7"/>
      <c r="AI300" s="7"/>
      <c r="AJ300" s="7"/>
      <c r="AK300" s="7"/>
      <c r="AL300" s="7"/>
      <c r="AM300" s="7"/>
    </row>
    <row r="301" spans="33:39" ht="12.75">
      <c r="AG301" s="7"/>
      <c r="AH301" s="7"/>
      <c r="AI301" s="7"/>
      <c r="AJ301" s="7"/>
      <c r="AK301" s="7"/>
      <c r="AL301" s="7"/>
      <c r="AM301" s="7"/>
    </row>
    <row r="302" spans="33:39" ht="12.75">
      <c r="AG302" s="7"/>
      <c r="AH302" s="7"/>
      <c r="AI302" s="7"/>
      <c r="AJ302" s="7"/>
      <c r="AK302" s="7"/>
      <c r="AL302" s="7"/>
      <c r="AM302" s="7"/>
    </row>
    <row r="303" spans="33:39" ht="12.75">
      <c r="AG303" s="7"/>
      <c r="AH303" s="7"/>
      <c r="AI303" s="7"/>
      <c r="AJ303" s="7"/>
      <c r="AK303" s="7"/>
      <c r="AL303" s="7"/>
      <c r="AM303" s="7"/>
    </row>
    <row r="304" spans="33:39" ht="12.75">
      <c r="AG304" s="7"/>
      <c r="AH304" s="7"/>
      <c r="AI304" s="7"/>
      <c r="AJ304" s="7"/>
      <c r="AK304" s="7"/>
      <c r="AL304" s="7"/>
      <c r="AM304" s="7"/>
    </row>
    <row r="305" spans="33:39" ht="12.75">
      <c r="AG305" s="7"/>
      <c r="AH305" s="7"/>
      <c r="AI305" s="7"/>
      <c r="AJ305" s="7"/>
      <c r="AK305" s="7"/>
      <c r="AL305" s="7"/>
      <c r="AM305" s="7"/>
    </row>
    <row r="306" spans="33:39" ht="12.75">
      <c r="AG306" s="7"/>
      <c r="AH306" s="7"/>
      <c r="AI306" s="7"/>
      <c r="AJ306" s="7"/>
      <c r="AK306" s="7"/>
      <c r="AL306" s="7"/>
      <c r="AM306" s="7"/>
    </row>
    <row r="307" spans="33:39" ht="12.75">
      <c r="AG307" s="7"/>
      <c r="AH307" s="7"/>
      <c r="AI307" s="7"/>
      <c r="AJ307" s="7"/>
      <c r="AK307" s="7"/>
      <c r="AL307" s="7"/>
      <c r="AM307" s="7"/>
    </row>
    <row r="308" spans="33:39" ht="12.75">
      <c r="AG308" s="7"/>
      <c r="AH308" s="7"/>
      <c r="AI308" s="7"/>
      <c r="AJ308" s="7"/>
      <c r="AK308" s="7"/>
      <c r="AL308" s="7"/>
      <c r="AM308" s="7"/>
    </row>
    <row r="309" spans="33:39" ht="12.75">
      <c r="AG309" s="7"/>
      <c r="AH309" s="7"/>
      <c r="AI309" s="7"/>
      <c r="AJ309" s="7"/>
      <c r="AK309" s="7"/>
      <c r="AL309" s="7"/>
      <c r="AM309" s="7"/>
    </row>
    <row r="310" spans="33:39" ht="12.75">
      <c r="AG310" s="7"/>
      <c r="AH310" s="7"/>
      <c r="AI310" s="7"/>
      <c r="AJ310" s="7"/>
      <c r="AK310" s="7"/>
      <c r="AL310" s="7"/>
      <c r="AM310" s="7"/>
    </row>
    <row r="311" spans="33:39" ht="12.75">
      <c r="AG311" s="7"/>
      <c r="AH311" s="7"/>
      <c r="AI311" s="7"/>
      <c r="AJ311" s="7"/>
      <c r="AK311" s="7"/>
      <c r="AL311" s="7"/>
      <c r="AM311" s="7"/>
    </row>
    <row r="312" spans="33:39" ht="12.75">
      <c r="AG312" s="7"/>
      <c r="AH312" s="7"/>
      <c r="AI312" s="7"/>
      <c r="AJ312" s="7"/>
      <c r="AK312" s="7"/>
      <c r="AL312" s="7"/>
      <c r="AM312" s="7"/>
    </row>
    <row r="313" spans="33:39" ht="12.75">
      <c r="AG313" s="7"/>
      <c r="AH313" s="7"/>
      <c r="AI313" s="7"/>
      <c r="AJ313" s="7"/>
      <c r="AK313" s="7"/>
      <c r="AL313" s="7"/>
      <c r="AM313" s="7"/>
    </row>
    <row r="314" spans="33:39" ht="12.75">
      <c r="AG314" s="7"/>
      <c r="AH314" s="7"/>
      <c r="AI314" s="7"/>
      <c r="AJ314" s="7"/>
      <c r="AK314" s="7"/>
      <c r="AL314" s="7"/>
      <c r="AM314" s="7"/>
    </row>
    <row r="315" spans="33:39" ht="12.75">
      <c r="AG315" s="7"/>
      <c r="AH315" s="7"/>
      <c r="AI315" s="7"/>
      <c r="AJ315" s="7"/>
      <c r="AK315" s="7"/>
      <c r="AL315" s="7"/>
      <c r="AM315" s="7"/>
    </row>
    <row r="316" spans="33:39" ht="12.75">
      <c r="AG316" s="7"/>
      <c r="AH316" s="7"/>
      <c r="AI316" s="7"/>
      <c r="AJ316" s="7"/>
      <c r="AK316" s="7"/>
      <c r="AL316" s="7"/>
      <c r="AM316" s="7"/>
    </row>
    <row r="317" spans="33:39" ht="12.75">
      <c r="AG317" s="7"/>
      <c r="AH317" s="7"/>
      <c r="AI317" s="7"/>
      <c r="AJ317" s="7"/>
      <c r="AK317" s="7"/>
      <c r="AL317" s="7"/>
      <c r="AM317" s="7"/>
    </row>
    <row r="318" spans="33:39" ht="12.75">
      <c r="AG318" s="7"/>
      <c r="AH318" s="7"/>
      <c r="AI318" s="7"/>
      <c r="AJ318" s="7"/>
      <c r="AK318" s="7"/>
      <c r="AL318" s="7"/>
      <c r="AM318" s="7"/>
    </row>
    <row r="319" spans="33:39" ht="12.75">
      <c r="AG319" s="7"/>
      <c r="AH319" s="7"/>
      <c r="AI319" s="7"/>
      <c r="AJ319" s="7"/>
      <c r="AK319" s="7"/>
      <c r="AL319" s="7"/>
      <c r="AM319" s="7"/>
    </row>
    <row r="320" spans="33:39" ht="12.75">
      <c r="AG320" s="7"/>
      <c r="AH320" s="7"/>
      <c r="AI320" s="7"/>
      <c r="AJ320" s="7"/>
      <c r="AK320" s="7"/>
      <c r="AL320" s="7"/>
      <c r="AM320" s="7"/>
    </row>
    <row r="321" spans="33:39" ht="12.75">
      <c r="AG321" s="7"/>
      <c r="AH321" s="7"/>
      <c r="AI321" s="7"/>
      <c r="AJ321" s="7"/>
      <c r="AK321" s="7"/>
      <c r="AL321" s="7"/>
      <c r="AM321" s="7"/>
    </row>
    <row r="322" spans="33:39" ht="12.75">
      <c r="AG322" s="7"/>
      <c r="AH322" s="7"/>
      <c r="AI322" s="7"/>
      <c r="AJ322" s="7"/>
      <c r="AK322" s="7"/>
      <c r="AL322" s="7"/>
      <c r="AM322" s="7"/>
    </row>
    <row r="323" spans="33:39" ht="12.75">
      <c r="AG323" s="7"/>
      <c r="AH323" s="7"/>
      <c r="AI323" s="7"/>
      <c r="AJ323" s="7"/>
      <c r="AK323" s="7"/>
      <c r="AL323" s="7"/>
      <c r="AM323" s="7"/>
    </row>
    <row r="324" spans="33:39" ht="12.75">
      <c r="AG324" s="7"/>
      <c r="AH324" s="7"/>
      <c r="AI324" s="7"/>
      <c r="AJ324" s="7"/>
      <c r="AK324" s="7"/>
      <c r="AL324" s="7"/>
      <c r="AM324" s="7"/>
    </row>
    <row r="325" spans="33:39" ht="12.75">
      <c r="AG325" s="7"/>
      <c r="AH325" s="7"/>
      <c r="AI325" s="7"/>
      <c r="AJ325" s="7"/>
      <c r="AK325" s="7"/>
      <c r="AL325" s="7"/>
      <c r="AM325" s="7"/>
    </row>
    <row r="326" spans="33:39" ht="12.75">
      <c r="AG326" s="7"/>
      <c r="AH326" s="7"/>
      <c r="AI326" s="7"/>
      <c r="AJ326" s="7"/>
      <c r="AK326" s="7"/>
      <c r="AL326" s="7"/>
      <c r="AM326" s="7"/>
    </row>
    <row r="327" spans="33:39" ht="12.75">
      <c r="AG327" s="7"/>
      <c r="AH327" s="7"/>
      <c r="AI327" s="7"/>
      <c r="AJ327" s="7"/>
      <c r="AK327" s="7"/>
      <c r="AL327" s="7"/>
      <c r="AM327" s="7"/>
    </row>
    <row r="328" spans="33:39" ht="12.75">
      <c r="AG328" s="7"/>
      <c r="AH328" s="7"/>
      <c r="AI328" s="7"/>
      <c r="AJ328" s="7"/>
      <c r="AK328" s="7"/>
      <c r="AL328" s="7"/>
      <c r="AM328" s="7"/>
    </row>
    <row r="329" spans="33:39" ht="12.75">
      <c r="AG329" s="7"/>
      <c r="AH329" s="7"/>
      <c r="AI329" s="7"/>
      <c r="AJ329" s="7"/>
      <c r="AK329" s="7"/>
      <c r="AL329" s="7"/>
      <c r="AM329" s="7"/>
    </row>
    <row r="330" spans="33:39" ht="12.75">
      <c r="AG330" s="7"/>
      <c r="AH330" s="7"/>
      <c r="AI330" s="7"/>
      <c r="AJ330" s="7"/>
      <c r="AK330" s="7"/>
      <c r="AL330" s="7"/>
      <c r="AM330" s="7"/>
    </row>
    <row r="331" spans="33:39" ht="12.75">
      <c r="AG331" s="7"/>
      <c r="AH331" s="7"/>
      <c r="AI331" s="7"/>
      <c r="AJ331" s="7"/>
      <c r="AK331" s="7"/>
      <c r="AL331" s="7"/>
      <c r="AM331" s="7"/>
    </row>
    <row r="332" spans="33:39" ht="12.75">
      <c r="AG332" s="7"/>
      <c r="AH332" s="7"/>
      <c r="AI332" s="7"/>
      <c r="AJ332" s="7"/>
      <c r="AK332" s="7"/>
      <c r="AL332" s="7"/>
      <c r="AM332" s="7"/>
    </row>
    <row r="333" spans="33:39" ht="12.75">
      <c r="AG333" s="7"/>
      <c r="AH333" s="7"/>
      <c r="AI333" s="7"/>
      <c r="AJ333" s="7"/>
      <c r="AK333" s="7"/>
      <c r="AL333" s="7"/>
      <c r="AM333" s="7"/>
    </row>
    <row r="334" spans="33:39" ht="12.75">
      <c r="AG334" s="7"/>
      <c r="AH334" s="7"/>
      <c r="AI334" s="7"/>
      <c r="AJ334" s="7"/>
      <c r="AK334" s="7"/>
      <c r="AL334" s="7"/>
      <c r="AM334" s="7"/>
    </row>
    <row r="335" spans="33:39" ht="12.75">
      <c r="AG335" s="7"/>
      <c r="AH335" s="7"/>
      <c r="AI335" s="7"/>
      <c r="AJ335" s="7"/>
      <c r="AK335" s="7"/>
      <c r="AL335" s="7"/>
      <c r="AM335" s="7"/>
    </row>
    <row r="336" spans="33:39" ht="12.75">
      <c r="AG336" s="7"/>
      <c r="AH336" s="7"/>
      <c r="AI336" s="7"/>
      <c r="AJ336" s="7"/>
      <c r="AK336" s="7"/>
      <c r="AL336" s="7"/>
      <c r="AM336" s="7"/>
    </row>
    <row r="337" spans="33:39" ht="12.75">
      <c r="AG337" s="7"/>
      <c r="AH337" s="7"/>
      <c r="AI337" s="7"/>
      <c r="AJ337" s="7"/>
      <c r="AK337" s="7"/>
      <c r="AL337" s="7"/>
      <c r="AM337" s="7"/>
    </row>
    <row r="338" spans="33:39" ht="12.75">
      <c r="AG338" s="7"/>
      <c r="AH338" s="7"/>
      <c r="AI338" s="7"/>
      <c r="AJ338" s="7"/>
      <c r="AK338" s="7"/>
      <c r="AL338" s="7"/>
      <c r="AM338" s="7"/>
    </row>
    <row r="339" spans="33:39" ht="12.75">
      <c r="AG339" s="7"/>
      <c r="AH339" s="7"/>
      <c r="AI339" s="7"/>
      <c r="AJ339" s="7"/>
      <c r="AK339" s="7"/>
      <c r="AL339" s="7"/>
      <c r="AM339" s="7"/>
    </row>
    <row r="340" spans="33:39" ht="12.75">
      <c r="AG340" s="7"/>
      <c r="AH340" s="7"/>
      <c r="AI340" s="7"/>
      <c r="AJ340" s="7"/>
      <c r="AK340" s="7"/>
      <c r="AL340" s="7"/>
      <c r="AM340" s="7"/>
    </row>
    <row r="341" spans="33:39" ht="12.75">
      <c r="AG341" s="7"/>
      <c r="AH341" s="7"/>
      <c r="AI341" s="7"/>
      <c r="AJ341" s="7"/>
      <c r="AK341" s="7"/>
      <c r="AL341" s="7"/>
      <c r="AM341" s="7"/>
    </row>
    <row r="342" spans="33:39" ht="12.75">
      <c r="AG342" s="7"/>
      <c r="AH342" s="7"/>
      <c r="AI342" s="7"/>
      <c r="AJ342" s="7"/>
      <c r="AK342" s="7"/>
      <c r="AL342" s="7"/>
      <c r="AM342" s="7"/>
    </row>
    <row r="343" spans="33:39" ht="12.75">
      <c r="AG343" s="7"/>
      <c r="AH343" s="7"/>
      <c r="AI343" s="7"/>
      <c r="AJ343" s="7"/>
      <c r="AK343" s="7"/>
      <c r="AL343" s="7"/>
      <c r="AM343" s="7"/>
    </row>
    <row r="344" spans="33:39" ht="12.75">
      <c r="AG344" s="7"/>
      <c r="AH344" s="7"/>
      <c r="AI344" s="7"/>
      <c r="AJ344" s="7"/>
      <c r="AK344" s="7"/>
      <c r="AL344" s="7"/>
      <c r="AM344" s="7"/>
    </row>
    <row r="345" spans="33:39" ht="12.75">
      <c r="AG345" s="7"/>
      <c r="AH345" s="7"/>
      <c r="AI345" s="7"/>
      <c r="AJ345" s="7"/>
      <c r="AK345" s="7"/>
      <c r="AL345" s="7"/>
      <c r="AM345" s="7"/>
    </row>
    <row r="346" spans="33:39" ht="12.75">
      <c r="AG346" s="7"/>
      <c r="AH346" s="7"/>
      <c r="AI346" s="7"/>
      <c r="AJ346" s="7"/>
      <c r="AK346" s="7"/>
      <c r="AL346" s="7"/>
      <c r="AM346" s="7"/>
    </row>
    <row r="347" spans="33:39" ht="12.75">
      <c r="AG347" s="7"/>
      <c r="AH347" s="7"/>
      <c r="AI347" s="7"/>
      <c r="AJ347" s="7"/>
      <c r="AK347" s="7"/>
      <c r="AL347" s="7"/>
      <c r="AM347" s="7"/>
    </row>
    <row r="348" spans="33:39" ht="12.75">
      <c r="AG348" s="7"/>
      <c r="AH348" s="7"/>
      <c r="AI348" s="7"/>
      <c r="AJ348" s="7"/>
      <c r="AK348" s="7"/>
      <c r="AL348" s="7"/>
      <c r="AM348" s="7"/>
    </row>
    <row r="349" spans="33:39" ht="12.75">
      <c r="AG349" s="7"/>
      <c r="AH349" s="7"/>
      <c r="AI349" s="7"/>
      <c r="AJ349" s="7"/>
      <c r="AK349" s="7"/>
      <c r="AL349" s="7"/>
      <c r="AM349" s="7"/>
    </row>
    <row r="350" spans="33:39" ht="12.75">
      <c r="AG350" s="7"/>
      <c r="AH350" s="7"/>
      <c r="AI350" s="7"/>
      <c r="AJ350" s="7"/>
      <c r="AK350" s="7"/>
      <c r="AL350" s="7"/>
      <c r="AM350" s="7"/>
    </row>
    <row r="351" spans="33:39" ht="12.75">
      <c r="AG351" s="7"/>
      <c r="AH351" s="7"/>
      <c r="AI351" s="7"/>
      <c r="AJ351" s="7"/>
      <c r="AK351" s="7"/>
      <c r="AL351" s="7"/>
      <c r="AM351" s="7"/>
    </row>
    <row r="352" spans="33:39" ht="12.75">
      <c r="AG352" s="7"/>
      <c r="AH352" s="7"/>
      <c r="AI352" s="7"/>
      <c r="AJ352" s="7"/>
      <c r="AK352" s="7"/>
      <c r="AL352" s="7"/>
      <c r="AM352" s="7"/>
    </row>
    <row r="353" spans="33:39" ht="12.75">
      <c r="AG353" s="7"/>
      <c r="AH353" s="7"/>
      <c r="AI353" s="7"/>
      <c r="AJ353" s="7"/>
      <c r="AK353" s="7"/>
      <c r="AL353" s="7"/>
      <c r="AM353" s="7"/>
    </row>
    <row r="354" spans="33:39" ht="12.75">
      <c r="AG354" s="7"/>
      <c r="AH354" s="7"/>
      <c r="AI354" s="7"/>
      <c r="AJ354" s="7"/>
      <c r="AK354" s="7"/>
      <c r="AL354" s="7"/>
      <c r="AM354" s="7"/>
    </row>
    <row r="355" spans="33:39" ht="12.75">
      <c r="AG355" s="7"/>
      <c r="AH355" s="7"/>
      <c r="AI355" s="7"/>
      <c r="AJ355" s="7"/>
      <c r="AK355" s="7"/>
      <c r="AL355" s="7"/>
      <c r="AM355" s="7"/>
    </row>
    <row r="356" spans="33:39" ht="12.75">
      <c r="AG356" s="7"/>
      <c r="AH356" s="7"/>
      <c r="AI356" s="7"/>
      <c r="AJ356" s="7"/>
      <c r="AK356" s="7"/>
      <c r="AL356" s="7"/>
      <c r="AM356" s="7"/>
    </row>
    <row r="357" spans="33:39" ht="12.75">
      <c r="AG357" s="7"/>
      <c r="AH357" s="7"/>
      <c r="AI357" s="7"/>
      <c r="AJ357" s="7"/>
      <c r="AK357" s="7"/>
      <c r="AL357" s="7"/>
      <c r="AM357" s="7"/>
    </row>
    <row r="358" spans="33:39" ht="12.75">
      <c r="AG358" s="7"/>
      <c r="AH358" s="7"/>
      <c r="AI358" s="7"/>
      <c r="AJ358" s="7"/>
      <c r="AK358" s="7"/>
      <c r="AL358" s="7"/>
      <c r="AM358" s="7"/>
    </row>
    <row r="359" spans="33:39" ht="12.75">
      <c r="AG359" s="7"/>
      <c r="AH359" s="7"/>
      <c r="AI359" s="7"/>
      <c r="AJ359" s="7"/>
      <c r="AK359" s="7"/>
      <c r="AL359" s="7"/>
      <c r="AM359" s="7"/>
    </row>
    <row r="360" spans="33:39" ht="12.75">
      <c r="AG360" s="7"/>
      <c r="AH360" s="7"/>
      <c r="AI360" s="7"/>
      <c r="AJ360" s="7"/>
      <c r="AK360" s="7"/>
      <c r="AL360" s="7"/>
      <c r="AM360" s="7"/>
    </row>
    <row r="361" spans="33:39" ht="12.75">
      <c r="AG361" s="7"/>
      <c r="AH361" s="7"/>
      <c r="AI361" s="7"/>
      <c r="AJ361" s="7"/>
      <c r="AK361" s="7"/>
      <c r="AL361" s="7"/>
      <c r="AM361" s="7"/>
    </row>
    <row r="362" spans="33:39" ht="12.75">
      <c r="AG362" s="7"/>
      <c r="AH362" s="7"/>
      <c r="AI362" s="7"/>
      <c r="AJ362" s="7"/>
      <c r="AK362" s="7"/>
      <c r="AL362" s="7"/>
      <c r="AM362" s="7"/>
    </row>
    <row r="363" spans="33:39" ht="12.75">
      <c r="AG363" s="7"/>
      <c r="AH363" s="7"/>
      <c r="AI363" s="7"/>
      <c r="AJ363" s="7"/>
      <c r="AK363" s="7"/>
      <c r="AL363" s="7"/>
      <c r="AM363" s="7"/>
    </row>
    <row r="364" spans="33:39" ht="12.75">
      <c r="AG364" s="7"/>
      <c r="AH364" s="7"/>
      <c r="AI364" s="7"/>
      <c r="AJ364" s="7"/>
      <c r="AK364" s="7"/>
      <c r="AL364" s="7"/>
      <c r="AM364" s="7"/>
    </row>
    <row r="365" spans="33:39" ht="12.75">
      <c r="AG365" s="7"/>
      <c r="AH365" s="7"/>
      <c r="AI365" s="7"/>
      <c r="AJ365" s="7"/>
      <c r="AK365" s="7"/>
      <c r="AL365" s="7"/>
      <c r="AM365" s="7"/>
    </row>
    <row r="366" spans="33:39" ht="12.75">
      <c r="AG366" s="7"/>
      <c r="AH366" s="7"/>
      <c r="AI366" s="7"/>
      <c r="AJ366" s="7"/>
      <c r="AK366" s="7"/>
      <c r="AL366" s="7"/>
      <c r="AM366" s="7"/>
    </row>
    <row r="367" spans="33:39" ht="12.75">
      <c r="AG367" s="7"/>
      <c r="AH367" s="7"/>
      <c r="AI367" s="7"/>
      <c r="AJ367" s="7"/>
      <c r="AK367" s="7"/>
      <c r="AL367" s="7"/>
      <c r="AM367" s="7"/>
    </row>
    <row r="368" spans="33:39" ht="12.75">
      <c r="AG368" s="7"/>
      <c r="AH368" s="7"/>
      <c r="AI368" s="7"/>
      <c r="AJ368" s="7"/>
      <c r="AK368" s="7"/>
      <c r="AL368" s="7"/>
      <c r="AM368" s="7"/>
    </row>
    <row r="369" spans="33:39" ht="12.75">
      <c r="AG369" s="7"/>
      <c r="AH369" s="7"/>
      <c r="AI369" s="7"/>
      <c r="AJ369" s="7"/>
      <c r="AK369" s="7"/>
      <c r="AL369" s="7"/>
      <c r="AM369" s="7"/>
    </row>
    <row r="370" spans="33:39" ht="12.75">
      <c r="AG370" s="7"/>
      <c r="AH370" s="7"/>
      <c r="AI370" s="7"/>
      <c r="AJ370" s="7"/>
      <c r="AK370" s="7"/>
      <c r="AL370" s="7"/>
      <c r="AM370" s="7"/>
    </row>
    <row r="371" spans="33:39" ht="12.75">
      <c r="AG371" s="7"/>
      <c r="AH371" s="7"/>
      <c r="AI371" s="7"/>
      <c r="AJ371" s="7"/>
      <c r="AK371" s="7"/>
      <c r="AL371" s="7"/>
      <c r="AM371" s="7"/>
    </row>
    <row r="372" spans="33:39" ht="12.75">
      <c r="AG372" s="7"/>
      <c r="AH372" s="7"/>
      <c r="AI372" s="7"/>
      <c r="AJ372" s="7"/>
      <c r="AK372" s="7"/>
      <c r="AL372" s="7"/>
      <c r="AM372" s="7"/>
    </row>
    <row r="373" spans="33:39" ht="12.75">
      <c r="AG373" s="7"/>
      <c r="AH373" s="7"/>
      <c r="AI373" s="7"/>
      <c r="AJ373" s="7"/>
      <c r="AK373" s="7"/>
      <c r="AL373" s="7"/>
      <c r="AM373" s="7"/>
    </row>
    <row r="374" spans="33:39" ht="12.75">
      <c r="AG374" s="7"/>
      <c r="AH374" s="7"/>
      <c r="AI374" s="7"/>
      <c r="AJ374" s="7"/>
      <c r="AK374" s="7"/>
      <c r="AL374" s="7"/>
      <c r="AM374" s="7"/>
    </row>
    <row r="375" spans="33:39" ht="12.75">
      <c r="AG375" s="7"/>
      <c r="AH375" s="7"/>
      <c r="AI375" s="7"/>
      <c r="AJ375" s="7"/>
      <c r="AK375" s="7"/>
      <c r="AL375" s="7"/>
      <c r="AM375" s="7"/>
    </row>
    <row r="376" spans="33:39" ht="12.75">
      <c r="AG376" s="7"/>
      <c r="AH376" s="7"/>
      <c r="AI376" s="7"/>
      <c r="AJ376" s="7"/>
      <c r="AK376" s="7"/>
      <c r="AL376" s="7"/>
      <c r="AM376" s="7"/>
    </row>
    <row r="377" spans="33:39" ht="12.75">
      <c r="AG377" s="7"/>
      <c r="AH377" s="7"/>
      <c r="AI377" s="7"/>
      <c r="AJ377" s="7"/>
      <c r="AK377" s="7"/>
      <c r="AL377" s="7"/>
      <c r="AM377" s="7"/>
    </row>
    <row r="378" spans="33:39" ht="12.75">
      <c r="AG378" s="7"/>
      <c r="AH378" s="7"/>
      <c r="AI378" s="7"/>
      <c r="AJ378" s="7"/>
      <c r="AK378" s="7"/>
      <c r="AL378" s="7"/>
      <c r="AM378" s="7"/>
    </row>
    <row r="379" spans="33:39" ht="12.75">
      <c r="AG379" s="7"/>
      <c r="AH379" s="7"/>
      <c r="AI379" s="7"/>
      <c r="AJ379" s="7"/>
      <c r="AK379" s="7"/>
      <c r="AL379" s="7"/>
      <c r="AM379" s="7"/>
    </row>
    <row r="380" spans="33:39" ht="12.75">
      <c r="AG380" s="7"/>
      <c r="AH380" s="7"/>
      <c r="AI380" s="7"/>
      <c r="AJ380" s="7"/>
      <c r="AK380" s="7"/>
      <c r="AL380" s="7"/>
      <c r="AM380" s="7"/>
    </row>
    <row r="381" spans="33:39" ht="12.75">
      <c r="AG381" s="7"/>
      <c r="AH381" s="7"/>
      <c r="AI381" s="7"/>
      <c r="AJ381" s="7"/>
      <c r="AK381" s="7"/>
      <c r="AL381" s="7"/>
      <c r="AM381" s="7"/>
    </row>
    <row r="382" spans="33:39" ht="12.75">
      <c r="AG382" s="7"/>
      <c r="AH382" s="7"/>
      <c r="AI382" s="7"/>
      <c r="AJ382" s="7"/>
      <c r="AK382" s="7"/>
      <c r="AL382" s="7"/>
      <c r="AM382" s="7"/>
    </row>
    <row r="383" spans="33:39" ht="12.75">
      <c r="AG383" s="7"/>
      <c r="AH383" s="7"/>
      <c r="AI383" s="7"/>
      <c r="AJ383" s="7"/>
      <c r="AK383" s="7"/>
      <c r="AL383" s="7"/>
      <c r="AM383" s="7"/>
    </row>
    <row r="384" spans="33:39" ht="12.75">
      <c r="AG384" s="7"/>
      <c r="AH384" s="7"/>
      <c r="AI384" s="7"/>
      <c r="AJ384" s="7"/>
      <c r="AK384" s="7"/>
      <c r="AL384" s="7"/>
      <c r="AM384" s="7"/>
    </row>
    <row r="385" spans="33:39" ht="12.75">
      <c r="AG385" s="7"/>
      <c r="AH385" s="7"/>
      <c r="AI385" s="7"/>
      <c r="AJ385" s="7"/>
      <c r="AK385" s="7"/>
      <c r="AL385" s="7"/>
      <c r="AM385" s="7"/>
    </row>
    <row r="386" spans="33:39" ht="12.75">
      <c r="AG386" s="7"/>
      <c r="AH386" s="7"/>
      <c r="AI386" s="7"/>
      <c r="AJ386" s="7"/>
      <c r="AK386" s="7"/>
      <c r="AL386" s="7"/>
      <c r="AM386" s="7"/>
    </row>
    <row r="387" spans="33:39" ht="12.75">
      <c r="AG387" s="7"/>
      <c r="AH387" s="7"/>
      <c r="AI387" s="7"/>
      <c r="AJ387" s="7"/>
      <c r="AK387" s="7"/>
      <c r="AL387" s="7"/>
      <c r="AM387" s="7"/>
    </row>
    <row r="388" spans="33:39" ht="12.75">
      <c r="AG388" s="7"/>
      <c r="AH388" s="7"/>
      <c r="AI388" s="7"/>
      <c r="AJ388" s="7"/>
      <c r="AK388" s="7"/>
      <c r="AL388" s="7"/>
      <c r="AM388" s="7"/>
    </row>
    <row r="389" spans="33:39" ht="12.75">
      <c r="AG389" s="7"/>
      <c r="AH389" s="7"/>
      <c r="AI389" s="7"/>
      <c r="AJ389" s="7"/>
      <c r="AK389" s="7"/>
      <c r="AL389" s="7"/>
      <c r="AM389" s="7"/>
    </row>
    <row r="390" spans="33:39" ht="12.75">
      <c r="AG390" s="7"/>
      <c r="AH390" s="7"/>
      <c r="AI390" s="7"/>
      <c r="AJ390" s="7"/>
      <c r="AK390" s="7"/>
      <c r="AL390" s="7"/>
      <c r="AM390" s="7"/>
    </row>
    <row r="391" spans="33:39" ht="12.75">
      <c r="AG391" s="7"/>
      <c r="AH391" s="7"/>
      <c r="AI391" s="7"/>
      <c r="AJ391" s="7"/>
      <c r="AK391" s="7"/>
      <c r="AL391" s="7"/>
      <c r="AM391" s="7"/>
    </row>
    <row r="392" spans="33:39" ht="12.75">
      <c r="AG392" s="7"/>
      <c r="AH392" s="7"/>
      <c r="AI392" s="7"/>
      <c r="AJ392" s="7"/>
      <c r="AK392" s="7"/>
      <c r="AL392" s="7"/>
      <c r="AM392" s="7"/>
    </row>
    <row r="393" spans="33:39" ht="12.75">
      <c r="AG393" s="7"/>
      <c r="AH393" s="7"/>
      <c r="AI393" s="7"/>
      <c r="AJ393" s="7"/>
      <c r="AK393" s="7"/>
      <c r="AL393" s="7"/>
      <c r="AM393" s="7"/>
    </row>
    <row r="394" spans="33:39" ht="12.75">
      <c r="AG394" s="7"/>
      <c r="AH394" s="7"/>
      <c r="AI394" s="7"/>
      <c r="AJ394" s="7"/>
      <c r="AK394" s="7"/>
      <c r="AL394" s="7"/>
      <c r="AM394" s="7"/>
    </row>
    <row r="395" spans="33:39" ht="12.75">
      <c r="AG395" s="7"/>
      <c r="AH395" s="7"/>
      <c r="AI395" s="7"/>
      <c r="AJ395" s="7"/>
      <c r="AK395" s="7"/>
      <c r="AL395" s="7"/>
      <c r="AM395" s="7"/>
    </row>
    <row r="396" spans="33:39" ht="12.75">
      <c r="AG396" s="7"/>
      <c r="AH396" s="7"/>
      <c r="AI396" s="7"/>
      <c r="AJ396" s="7"/>
      <c r="AK396" s="7"/>
      <c r="AL396" s="7"/>
      <c r="AM396" s="7"/>
    </row>
    <row r="397" spans="33:39" ht="12.75">
      <c r="AG397" s="7"/>
      <c r="AH397" s="7"/>
      <c r="AI397" s="7"/>
      <c r="AJ397" s="7"/>
      <c r="AK397" s="7"/>
      <c r="AL397" s="7"/>
      <c r="AM397" s="7"/>
    </row>
    <row r="398" spans="33:39" ht="12.75">
      <c r="AG398" s="7"/>
      <c r="AH398" s="7"/>
      <c r="AI398" s="7"/>
      <c r="AJ398" s="7"/>
      <c r="AK398" s="7"/>
      <c r="AL398" s="7"/>
      <c r="AM398" s="7"/>
    </row>
    <row r="399" spans="33:39" ht="12.75">
      <c r="AG399" s="7"/>
      <c r="AH399" s="7"/>
      <c r="AI399" s="7"/>
      <c r="AJ399" s="7"/>
      <c r="AK399" s="7"/>
      <c r="AL399" s="7"/>
      <c r="AM399" s="7"/>
    </row>
    <row r="400" spans="33:39" ht="12.75">
      <c r="AG400" s="7"/>
      <c r="AH400" s="7"/>
      <c r="AI400" s="7"/>
      <c r="AJ400" s="7"/>
      <c r="AK400" s="7"/>
      <c r="AL400" s="7"/>
      <c r="AM400" s="7"/>
    </row>
    <row r="401" spans="33:39" ht="12.75">
      <c r="AG401" s="7"/>
      <c r="AH401" s="7"/>
      <c r="AI401" s="7"/>
      <c r="AJ401" s="7"/>
      <c r="AK401" s="7"/>
      <c r="AL401" s="7"/>
      <c r="AM401" s="7"/>
    </row>
    <row r="402" spans="33:39" ht="12.75">
      <c r="AG402" s="7"/>
      <c r="AH402" s="7"/>
      <c r="AI402" s="7"/>
      <c r="AJ402" s="7"/>
      <c r="AK402" s="7"/>
      <c r="AL402" s="7"/>
      <c r="AM402" s="7"/>
    </row>
    <row r="403" spans="33:39" ht="12.75">
      <c r="AG403" s="7"/>
      <c r="AH403" s="7"/>
      <c r="AI403" s="7"/>
      <c r="AJ403" s="7"/>
      <c r="AK403" s="7"/>
      <c r="AL403" s="7"/>
      <c r="AM403" s="7"/>
    </row>
    <row r="404" spans="33:39" ht="12.75">
      <c r="AG404" s="7"/>
      <c r="AH404" s="7"/>
      <c r="AI404" s="7"/>
      <c r="AJ404" s="7"/>
      <c r="AK404" s="7"/>
      <c r="AL404" s="7"/>
      <c r="AM404" s="7"/>
    </row>
    <row r="405" spans="33:39" ht="12.75">
      <c r="AG405" s="7"/>
      <c r="AH405" s="7"/>
      <c r="AI405" s="7"/>
      <c r="AJ405" s="7"/>
      <c r="AK405" s="7"/>
      <c r="AL405" s="7"/>
      <c r="AM405" s="7"/>
    </row>
    <row r="406" spans="33:39" ht="12.75">
      <c r="AG406" s="7"/>
      <c r="AH406" s="7"/>
      <c r="AI406" s="7"/>
      <c r="AJ406" s="7"/>
      <c r="AK406" s="7"/>
      <c r="AL406" s="7"/>
      <c r="AM406" s="7"/>
    </row>
    <row r="407" spans="33:39" ht="12.75">
      <c r="AG407" s="7"/>
      <c r="AH407" s="7"/>
      <c r="AI407" s="7"/>
      <c r="AJ407" s="7"/>
      <c r="AK407" s="7"/>
      <c r="AL407" s="7"/>
      <c r="AM407" s="7"/>
    </row>
    <row r="408" spans="33:39" ht="12.75">
      <c r="AG408" s="7"/>
      <c r="AH408" s="7"/>
      <c r="AI408" s="7"/>
      <c r="AJ408" s="7"/>
      <c r="AK408" s="7"/>
      <c r="AL408" s="7"/>
      <c r="AM408" s="7"/>
    </row>
    <row r="409" spans="33:39" ht="12.75">
      <c r="AG409" s="7"/>
      <c r="AH409" s="7"/>
      <c r="AI409" s="7"/>
      <c r="AJ409" s="7"/>
      <c r="AK409" s="7"/>
      <c r="AL409" s="7"/>
      <c r="AM409" s="7"/>
    </row>
    <row r="410" spans="33:39" ht="12.75">
      <c r="AG410" s="7"/>
      <c r="AH410" s="7"/>
      <c r="AI410" s="7"/>
      <c r="AJ410" s="7"/>
      <c r="AK410" s="7"/>
      <c r="AL410" s="7"/>
      <c r="AM410" s="7"/>
    </row>
    <row r="411" spans="33:39" ht="12.75">
      <c r="AG411" s="7"/>
      <c r="AH411" s="7"/>
      <c r="AI411" s="7"/>
      <c r="AJ411" s="7"/>
      <c r="AK411" s="7"/>
      <c r="AL411" s="7"/>
      <c r="AM411" s="7"/>
    </row>
    <row r="412" spans="33:39" ht="12.75">
      <c r="AG412" s="7"/>
      <c r="AH412" s="7"/>
      <c r="AI412" s="7"/>
      <c r="AJ412" s="7"/>
      <c r="AK412" s="7"/>
      <c r="AL412" s="7"/>
      <c r="AM412" s="7"/>
    </row>
    <row r="413" spans="33:39" ht="12.75">
      <c r="AG413" s="7"/>
      <c r="AH413" s="7"/>
      <c r="AI413" s="7"/>
      <c r="AJ413" s="7"/>
      <c r="AK413" s="7"/>
      <c r="AL413" s="7"/>
      <c r="AM413" s="7"/>
    </row>
    <row r="414" spans="33:39" ht="12.75">
      <c r="AG414" s="7"/>
      <c r="AH414" s="7"/>
      <c r="AI414" s="7"/>
      <c r="AJ414" s="7"/>
      <c r="AK414" s="7"/>
      <c r="AL414" s="7"/>
      <c r="AM414" s="7"/>
    </row>
    <row r="415" spans="33:39" ht="12.75">
      <c r="AG415" s="7"/>
      <c r="AH415" s="7"/>
      <c r="AI415" s="7"/>
      <c r="AJ415" s="7"/>
      <c r="AK415" s="7"/>
      <c r="AL415" s="7"/>
      <c r="AM415" s="7"/>
    </row>
    <row r="416" spans="33:39" ht="12.75">
      <c r="AG416" s="7"/>
      <c r="AH416" s="7"/>
      <c r="AI416" s="7"/>
      <c r="AJ416" s="7"/>
      <c r="AK416" s="7"/>
      <c r="AL416" s="7"/>
      <c r="AM416" s="7"/>
    </row>
    <row r="417" spans="33:39" ht="12.75">
      <c r="AG417" s="7"/>
      <c r="AH417" s="7"/>
      <c r="AI417" s="7"/>
      <c r="AJ417" s="7"/>
      <c r="AK417" s="7"/>
      <c r="AL417" s="7"/>
      <c r="AM417" s="7"/>
    </row>
    <row r="418" spans="33:39" ht="12.75">
      <c r="AG418" s="7"/>
      <c r="AH418" s="7"/>
      <c r="AI418" s="7"/>
      <c r="AJ418" s="7"/>
      <c r="AK418" s="7"/>
      <c r="AL418" s="7"/>
      <c r="AM418" s="7"/>
    </row>
    <row r="419" spans="33:39" ht="12.75">
      <c r="AG419" s="7"/>
      <c r="AH419" s="7"/>
      <c r="AI419" s="7"/>
      <c r="AJ419" s="7"/>
      <c r="AK419" s="7"/>
      <c r="AL419" s="7"/>
      <c r="AM419" s="7"/>
    </row>
    <row r="420" spans="33:39" ht="12.75">
      <c r="AG420" s="7"/>
      <c r="AH420" s="7"/>
      <c r="AI420" s="7"/>
      <c r="AJ420" s="7"/>
      <c r="AK420" s="7"/>
      <c r="AL420" s="7"/>
      <c r="AM420" s="7"/>
    </row>
    <row r="421" spans="33:39" ht="12.75">
      <c r="AG421" s="7"/>
      <c r="AH421" s="7"/>
      <c r="AI421" s="7"/>
      <c r="AJ421" s="7"/>
      <c r="AK421" s="7"/>
      <c r="AL421" s="7"/>
      <c r="AM421" s="7"/>
    </row>
    <row r="422" spans="33:39" ht="12.75">
      <c r="AG422" s="7"/>
      <c r="AH422" s="7"/>
      <c r="AI422" s="7"/>
      <c r="AJ422" s="7"/>
      <c r="AK422" s="7"/>
      <c r="AL422" s="7"/>
      <c r="AM422" s="7"/>
    </row>
    <row r="423" spans="33:39" ht="12.75">
      <c r="AG423" s="7"/>
      <c r="AH423" s="7"/>
      <c r="AI423" s="7"/>
      <c r="AJ423" s="7"/>
      <c r="AK423" s="7"/>
      <c r="AL423" s="7"/>
      <c r="AM423" s="7"/>
    </row>
    <row r="424" spans="33:39" ht="12.75">
      <c r="AG424" s="7"/>
      <c r="AH424" s="7"/>
      <c r="AI424" s="7"/>
      <c r="AJ424" s="7"/>
      <c r="AK424" s="7"/>
      <c r="AL424" s="7"/>
      <c r="AM424" s="7"/>
    </row>
    <row r="425" spans="33:39" ht="12.75">
      <c r="AG425" s="7"/>
      <c r="AH425" s="7"/>
      <c r="AI425" s="7"/>
      <c r="AJ425" s="7"/>
      <c r="AK425" s="7"/>
      <c r="AL425" s="7"/>
      <c r="AM425" s="7"/>
    </row>
    <row r="426" spans="33:39" ht="12.75">
      <c r="AG426" s="7"/>
      <c r="AH426" s="7"/>
      <c r="AI426" s="7"/>
      <c r="AJ426" s="7"/>
      <c r="AK426" s="7"/>
      <c r="AL426" s="7"/>
      <c r="AM426" s="7"/>
    </row>
    <row r="427" spans="33:39" ht="12.75">
      <c r="AG427" s="7"/>
      <c r="AH427" s="7"/>
      <c r="AI427" s="7"/>
      <c r="AJ427" s="7"/>
      <c r="AK427" s="7"/>
      <c r="AL427" s="7"/>
      <c r="AM427" s="7"/>
    </row>
    <row r="428" spans="33:39" ht="12.75">
      <c r="AG428" s="7"/>
      <c r="AH428" s="7"/>
      <c r="AI428" s="7"/>
      <c r="AJ428" s="7"/>
      <c r="AK428" s="7"/>
      <c r="AL428" s="7"/>
      <c r="AM428" s="7"/>
    </row>
    <row r="429" spans="33:39" ht="12.75">
      <c r="AG429" s="7"/>
      <c r="AH429" s="7"/>
      <c r="AI429" s="7"/>
      <c r="AJ429" s="7"/>
      <c r="AK429" s="7"/>
      <c r="AL429" s="7"/>
      <c r="AM429" s="7"/>
    </row>
    <row r="430" spans="33:39" ht="12.75">
      <c r="AG430" s="7"/>
      <c r="AH430" s="7"/>
      <c r="AI430" s="7"/>
      <c r="AJ430" s="7"/>
      <c r="AK430" s="7"/>
      <c r="AL430" s="7"/>
      <c r="AM430" s="7"/>
    </row>
    <row r="431" spans="33:39" ht="12.75">
      <c r="AG431" s="7"/>
      <c r="AH431" s="7"/>
      <c r="AI431" s="7"/>
      <c r="AJ431" s="7"/>
      <c r="AK431" s="7"/>
      <c r="AL431" s="7"/>
      <c r="AM431" s="7"/>
    </row>
    <row r="432" spans="33:39" ht="12.75">
      <c r="AG432" s="7"/>
      <c r="AH432" s="7"/>
      <c r="AI432" s="7"/>
      <c r="AJ432" s="7"/>
      <c r="AK432" s="7"/>
      <c r="AL432" s="7"/>
      <c r="AM432" s="7"/>
    </row>
    <row r="433" spans="33:39" ht="12.75">
      <c r="AG433" s="7"/>
      <c r="AH433" s="7"/>
      <c r="AI433" s="7"/>
      <c r="AJ433" s="7"/>
      <c r="AK433" s="7"/>
      <c r="AL433" s="7"/>
      <c r="AM433" s="7"/>
    </row>
    <row r="434" spans="33:39" ht="12.75">
      <c r="AG434" s="7"/>
      <c r="AH434" s="7"/>
      <c r="AI434" s="7"/>
      <c r="AJ434" s="7"/>
      <c r="AK434" s="7"/>
      <c r="AL434" s="7"/>
      <c r="AM434" s="7"/>
    </row>
    <row r="435" spans="33:39" ht="12.75">
      <c r="AG435" s="7"/>
      <c r="AH435" s="7"/>
      <c r="AI435" s="7"/>
      <c r="AJ435" s="7"/>
      <c r="AK435" s="7"/>
      <c r="AL435" s="7"/>
      <c r="AM435" s="7"/>
    </row>
    <row r="436" spans="33:39" ht="12.75">
      <c r="AG436" s="7"/>
      <c r="AH436" s="7"/>
      <c r="AI436" s="7"/>
      <c r="AJ436" s="7"/>
      <c r="AK436" s="7"/>
      <c r="AL436" s="7"/>
      <c r="AM436" s="7"/>
    </row>
    <row r="437" spans="33:39" ht="12.75">
      <c r="AG437" s="7"/>
      <c r="AH437" s="7"/>
      <c r="AI437" s="7"/>
      <c r="AJ437" s="7"/>
      <c r="AK437" s="7"/>
      <c r="AL437" s="7"/>
      <c r="AM437" s="7"/>
    </row>
    <row r="438" spans="33:39" ht="12.75">
      <c r="AG438" s="7"/>
      <c r="AH438" s="7"/>
      <c r="AI438" s="7"/>
      <c r="AJ438" s="7"/>
      <c r="AK438" s="7"/>
      <c r="AL438" s="7"/>
      <c r="AM438" s="7"/>
    </row>
    <row r="439" spans="33:39" ht="12.75">
      <c r="AG439" s="7"/>
      <c r="AH439" s="7"/>
      <c r="AI439" s="7"/>
      <c r="AJ439" s="7"/>
      <c r="AK439" s="7"/>
      <c r="AL439" s="7"/>
      <c r="AM439" s="7"/>
    </row>
    <row r="440" spans="33:39" ht="12.75">
      <c r="AG440" s="7"/>
      <c r="AH440" s="7"/>
      <c r="AI440" s="7"/>
      <c r="AJ440" s="7"/>
      <c r="AK440" s="7"/>
      <c r="AL440" s="7"/>
      <c r="AM440" s="7"/>
    </row>
    <row r="441" spans="33:39" ht="12.75">
      <c r="AG441" s="7"/>
      <c r="AH441" s="7"/>
      <c r="AI441" s="7"/>
      <c r="AJ441" s="7"/>
      <c r="AK441" s="7"/>
      <c r="AL441" s="7"/>
      <c r="AM441" s="7"/>
    </row>
    <row r="442" spans="33:39" ht="12.75">
      <c r="AG442" s="7"/>
      <c r="AH442" s="7"/>
      <c r="AI442" s="7"/>
      <c r="AJ442" s="7"/>
      <c r="AK442" s="7"/>
      <c r="AL442" s="7"/>
      <c r="AM442" s="7"/>
    </row>
    <row r="443" spans="33:39" ht="12.75">
      <c r="AG443" s="7"/>
      <c r="AH443" s="7"/>
      <c r="AI443" s="7"/>
      <c r="AJ443" s="7"/>
      <c r="AK443" s="7"/>
      <c r="AL443" s="7"/>
      <c r="AM443" s="7"/>
    </row>
    <row r="444" spans="33:39" ht="12.75">
      <c r="AG444" s="7"/>
      <c r="AH444" s="7"/>
      <c r="AI444" s="7"/>
      <c r="AJ444" s="7"/>
      <c r="AK444" s="7"/>
      <c r="AL444" s="7"/>
      <c r="AM444" s="7"/>
    </row>
    <row r="445" spans="33:39" ht="12.75">
      <c r="AG445" s="7"/>
      <c r="AH445" s="7"/>
      <c r="AI445" s="7"/>
      <c r="AJ445" s="7"/>
      <c r="AK445" s="7"/>
      <c r="AL445" s="7"/>
      <c r="AM445" s="7"/>
    </row>
    <row r="446" spans="33:39" ht="12.75">
      <c r="AG446" s="7"/>
      <c r="AH446" s="7"/>
      <c r="AI446" s="7"/>
      <c r="AJ446" s="7"/>
      <c r="AK446" s="7"/>
      <c r="AL446" s="7"/>
      <c r="AM446" s="7"/>
    </row>
    <row r="447" spans="33:39" ht="12.75">
      <c r="AG447" s="7"/>
      <c r="AH447" s="7"/>
      <c r="AI447" s="7"/>
      <c r="AJ447" s="7"/>
      <c r="AK447" s="7"/>
      <c r="AL447" s="7"/>
      <c r="AM447" s="7"/>
    </row>
    <row r="448" spans="33:39" ht="12.75">
      <c r="AG448" s="7"/>
      <c r="AH448" s="7"/>
      <c r="AI448" s="7"/>
      <c r="AJ448" s="7"/>
      <c r="AK448" s="7"/>
      <c r="AL448" s="7"/>
      <c r="AM448" s="7"/>
    </row>
    <row r="449" spans="33:39" ht="12.75">
      <c r="AG449" s="7"/>
      <c r="AH449" s="7"/>
      <c r="AI449" s="7"/>
      <c r="AJ449" s="7"/>
      <c r="AK449" s="7"/>
      <c r="AL449" s="7"/>
      <c r="AM449" s="7"/>
    </row>
    <row r="450" spans="33:39" ht="12.75">
      <c r="AG450" s="7"/>
      <c r="AH450" s="7"/>
      <c r="AI450" s="7"/>
      <c r="AJ450" s="7"/>
      <c r="AK450" s="7"/>
      <c r="AL450" s="7"/>
      <c r="AM450" s="7"/>
    </row>
    <row r="451" spans="33:39" ht="12.75">
      <c r="AG451" s="7"/>
      <c r="AH451" s="7"/>
      <c r="AI451" s="7"/>
      <c r="AJ451" s="7"/>
      <c r="AK451" s="7"/>
      <c r="AL451" s="7"/>
      <c r="AM451" s="7"/>
    </row>
    <row r="452" spans="33:39" ht="12.75">
      <c r="AG452" s="7"/>
      <c r="AH452" s="7"/>
      <c r="AI452" s="7"/>
      <c r="AJ452" s="7"/>
      <c r="AK452" s="7"/>
      <c r="AL452" s="7"/>
      <c r="AM452" s="7"/>
    </row>
    <row r="453" spans="33:39" ht="12.75">
      <c r="AG453" s="7"/>
      <c r="AH453" s="7"/>
      <c r="AI453" s="7"/>
      <c r="AJ453" s="7"/>
      <c r="AK453" s="7"/>
      <c r="AL453" s="7"/>
      <c r="AM453" s="7"/>
    </row>
    <row r="454" spans="33:39" ht="12.75">
      <c r="AG454" s="7"/>
      <c r="AH454" s="7"/>
      <c r="AI454" s="7"/>
      <c r="AJ454" s="7"/>
      <c r="AK454" s="7"/>
      <c r="AL454" s="7"/>
      <c r="AM454" s="7"/>
    </row>
    <row r="455" spans="33:39" ht="12.75">
      <c r="AG455" s="7"/>
      <c r="AH455" s="7"/>
      <c r="AI455" s="7"/>
      <c r="AJ455" s="7"/>
      <c r="AK455" s="7"/>
      <c r="AL455" s="7"/>
      <c r="AM455" s="7"/>
    </row>
    <row r="456" spans="33:39" ht="12.75">
      <c r="AG456" s="7"/>
      <c r="AH456" s="7"/>
      <c r="AI456" s="7"/>
      <c r="AJ456" s="7"/>
      <c r="AK456" s="7"/>
      <c r="AL456" s="7"/>
      <c r="AM456" s="7"/>
    </row>
    <row r="457" spans="33:39" ht="12.75">
      <c r="AG457" s="7"/>
      <c r="AH457" s="7"/>
      <c r="AI457" s="7"/>
      <c r="AJ457" s="7"/>
      <c r="AK457" s="7"/>
      <c r="AL457" s="7"/>
      <c r="AM457" s="7"/>
    </row>
    <row r="458" spans="33:39" ht="12.75">
      <c r="AG458" s="7"/>
      <c r="AH458" s="7"/>
      <c r="AI458" s="7"/>
      <c r="AJ458" s="7"/>
      <c r="AK458" s="7"/>
      <c r="AL458" s="7"/>
      <c r="AM458" s="7"/>
    </row>
    <row r="459" spans="33:39" ht="12.75">
      <c r="AG459" s="7"/>
      <c r="AH459" s="7"/>
      <c r="AI459" s="7"/>
      <c r="AJ459" s="7"/>
      <c r="AK459" s="7"/>
      <c r="AL459" s="7"/>
      <c r="AM459" s="7"/>
    </row>
    <row r="460" spans="33:39" ht="12.75">
      <c r="AG460" s="7"/>
      <c r="AH460" s="7"/>
      <c r="AI460" s="7"/>
      <c r="AJ460" s="7"/>
      <c r="AK460" s="7"/>
      <c r="AL460" s="7"/>
      <c r="AM460" s="7"/>
    </row>
    <row r="461" spans="33:39" ht="12.75">
      <c r="AG461" s="7"/>
      <c r="AH461" s="7"/>
      <c r="AI461" s="7"/>
      <c r="AJ461" s="7"/>
      <c r="AK461" s="7"/>
      <c r="AL461" s="7"/>
      <c r="AM461" s="7"/>
    </row>
    <row r="462" spans="33:39" ht="12.75">
      <c r="AG462" s="7"/>
      <c r="AH462" s="7"/>
      <c r="AI462" s="7"/>
      <c r="AJ462" s="7"/>
      <c r="AK462" s="7"/>
      <c r="AL462" s="7"/>
      <c r="AM462" s="7"/>
    </row>
    <row r="463" spans="33:39" ht="12.75">
      <c r="AG463" s="7"/>
      <c r="AH463" s="7"/>
      <c r="AI463" s="7"/>
      <c r="AJ463" s="7"/>
      <c r="AK463" s="7"/>
      <c r="AL463" s="7"/>
      <c r="AM463" s="7"/>
    </row>
    <row r="464" spans="33:39" ht="12.75">
      <c r="AG464" s="7"/>
      <c r="AH464" s="7"/>
      <c r="AI464" s="7"/>
      <c r="AJ464" s="7"/>
      <c r="AK464" s="7"/>
      <c r="AL464" s="7"/>
      <c r="AM464" s="7"/>
    </row>
    <row r="465" spans="33:39" ht="12.75">
      <c r="AG465" s="7"/>
      <c r="AH465" s="7"/>
      <c r="AI465" s="7"/>
      <c r="AJ465" s="7"/>
      <c r="AK465" s="7"/>
      <c r="AL465" s="7"/>
      <c r="AM465" s="7"/>
    </row>
    <row r="466" spans="33:39" ht="12.75">
      <c r="AG466" s="7"/>
      <c r="AH466" s="7"/>
      <c r="AI466" s="7"/>
      <c r="AJ466" s="7"/>
      <c r="AK466" s="7"/>
      <c r="AL466" s="7"/>
      <c r="AM466" s="7"/>
    </row>
    <row r="467" spans="33:39" ht="12.75">
      <c r="AG467" s="7"/>
      <c r="AH467" s="7"/>
      <c r="AI467" s="7"/>
      <c r="AJ467" s="7"/>
      <c r="AK467" s="7"/>
      <c r="AL467" s="7"/>
      <c r="AM467" s="7"/>
    </row>
    <row r="468" spans="33:39" ht="12.75">
      <c r="AG468" s="7"/>
      <c r="AH468" s="7"/>
      <c r="AI468" s="7"/>
      <c r="AJ468" s="7"/>
      <c r="AK468" s="7"/>
      <c r="AL468" s="7"/>
      <c r="AM468" s="7"/>
    </row>
    <row r="469" spans="33:39" ht="12.75">
      <c r="AG469" s="7"/>
      <c r="AH469" s="7"/>
      <c r="AI469" s="7"/>
      <c r="AJ469" s="7"/>
      <c r="AK469" s="7"/>
      <c r="AL469" s="7"/>
      <c r="AM469" s="7"/>
    </row>
    <row r="470" spans="33:39" ht="12.75">
      <c r="AG470" s="7"/>
      <c r="AH470" s="7"/>
      <c r="AI470" s="7"/>
      <c r="AJ470" s="7"/>
      <c r="AK470" s="7"/>
      <c r="AL470" s="7"/>
      <c r="AM470" s="7"/>
    </row>
    <row r="471" spans="33:39" ht="12.75">
      <c r="AG471" s="7"/>
      <c r="AH471" s="7"/>
      <c r="AI471" s="7"/>
      <c r="AJ471" s="7"/>
      <c r="AK471" s="7"/>
      <c r="AL471" s="7"/>
      <c r="AM471" s="7"/>
    </row>
    <row r="472" spans="33:39" ht="12.75">
      <c r="AG472" s="7"/>
      <c r="AH472" s="7"/>
      <c r="AI472" s="7"/>
      <c r="AJ472" s="7"/>
      <c r="AK472" s="7"/>
      <c r="AL472" s="7"/>
      <c r="AM472" s="7"/>
    </row>
    <row r="473" spans="33:39" ht="12.75">
      <c r="AG473" s="7"/>
      <c r="AH473" s="7"/>
      <c r="AI473" s="7"/>
      <c r="AJ473" s="7"/>
      <c r="AK473" s="7"/>
      <c r="AL473" s="7"/>
      <c r="AM473" s="7"/>
    </row>
    <row r="474" spans="33:39" ht="12.75">
      <c r="AG474" s="7"/>
      <c r="AH474" s="7"/>
      <c r="AI474" s="7"/>
      <c r="AJ474" s="7"/>
      <c r="AK474" s="7"/>
      <c r="AL474" s="7"/>
      <c r="AM474" s="7"/>
    </row>
    <row r="475" spans="33:39" ht="12.75">
      <c r="AG475" s="7"/>
      <c r="AH475" s="7"/>
      <c r="AI475" s="7"/>
      <c r="AJ475" s="7"/>
      <c r="AK475" s="7"/>
      <c r="AL475" s="7"/>
      <c r="AM475" s="7"/>
    </row>
    <row r="476" spans="33:39" ht="12.75">
      <c r="AG476" s="7"/>
      <c r="AH476" s="7"/>
      <c r="AI476" s="7"/>
      <c r="AJ476" s="7"/>
      <c r="AK476" s="7"/>
      <c r="AL476" s="7"/>
      <c r="AM476" s="7"/>
    </row>
    <row r="477" spans="33:39" ht="12.75">
      <c r="AG477" s="7"/>
      <c r="AH477" s="7"/>
      <c r="AI477" s="7"/>
      <c r="AJ477" s="7"/>
      <c r="AK477" s="7"/>
      <c r="AL477" s="7"/>
      <c r="AM477" s="7"/>
    </row>
    <row r="478" spans="33:39" ht="12.75">
      <c r="AG478" s="7"/>
      <c r="AH478" s="7"/>
      <c r="AI478" s="7"/>
      <c r="AJ478" s="7"/>
      <c r="AK478" s="7"/>
      <c r="AL478" s="7"/>
      <c r="AM478" s="7"/>
    </row>
    <row r="479" spans="33:39" ht="12.75">
      <c r="AG479" s="7"/>
      <c r="AH479" s="7"/>
      <c r="AI479" s="7"/>
      <c r="AJ479" s="7"/>
      <c r="AK479" s="7"/>
      <c r="AL479" s="7"/>
      <c r="AM479" s="7"/>
    </row>
    <row r="480" spans="33:39" ht="12.75">
      <c r="AG480" s="7"/>
      <c r="AH480" s="7"/>
      <c r="AI480" s="7"/>
      <c r="AJ480" s="7"/>
      <c r="AK480" s="7"/>
      <c r="AL480" s="7"/>
      <c r="AM480" s="7"/>
    </row>
    <row r="481" spans="33:39" ht="12.75">
      <c r="AG481" s="7"/>
      <c r="AH481" s="7"/>
      <c r="AI481" s="7"/>
      <c r="AJ481" s="7"/>
      <c r="AK481" s="7"/>
      <c r="AL481" s="7"/>
      <c r="AM481" s="7"/>
    </row>
    <row r="482" spans="33:39" ht="12.75">
      <c r="AG482" s="7"/>
      <c r="AH482" s="7"/>
      <c r="AI482" s="7"/>
      <c r="AJ482" s="7"/>
      <c r="AK482" s="7"/>
      <c r="AL482" s="7"/>
      <c r="AM482" s="7"/>
    </row>
    <row r="483" spans="33:39" ht="12.75">
      <c r="AG483" s="7"/>
      <c r="AH483" s="7"/>
      <c r="AI483" s="7"/>
      <c r="AJ483" s="7"/>
      <c r="AK483" s="7"/>
      <c r="AL483" s="7"/>
      <c r="AM483" s="7"/>
    </row>
    <row r="484" spans="33:39" ht="12.75">
      <c r="AG484" s="7"/>
      <c r="AH484" s="7"/>
      <c r="AI484" s="7"/>
      <c r="AJ484" s="7"/>
      <c r="AK484" s="7"/>
      <c r="AL484" s="7"/>
      <c r="AM484" s="7"/>
    </row>
    <row r="485" spans="33:39" ht="12.75">
      <c r="AG485" s="7"/>
      <c r="AH485" s="7"/>
      <c r="AI485" s="7"/>
      <c r="AJ485" s="7"/>
      <c r="AK485" s="7"/>
      <c r="AL485" s="7"/>
      <c r="AM485" s="7"/>
    </row>
    <row r="486" spans="33:39" ht="12.75">
      <c r="AG486" s="7"/>
      <c r="AH486" s="7"/>
      <c r="AI486" s="7"/>
      <c r="AJ486" s="7"/>
      <c r="AK486" s="7"/>
      <c r="AL486" s="7"/>
      <c r="AM486" s="7"/>
    </row>
    <row r="487" spans="33:39" ht="12.75">
      <c r="AG487" s="7"/>
      <c r="AH487" s="7"/>
      <c r="AI487" s="7"/>
      <c r="AJ487" s="7"/>
      <c r="AK487" s="7"/>
      <c r="AL487" s="7"/>
      <c r="AM487" s="7"/>
    </row>
    <row r="488" spans="33:39" ht="12.75">
      <c r="AG488" s="7"/>
      <c r="AH488" s="7"/>
      <c r="AI488" s="7"/>
      <c r="AJ488" s="7"/>
      <c r="AK488" s="7"/>
      <c r="AL488" s="7"/>
      <c r="AM488" s="7"/>
    </row>
    <row r="489" spans="33:39" ht="12.75">
      <c r="AG489" s="7"/>
      <c r="AH489" s="7"/>
      <c r="AI489" s="7"/>
      <c r="AJ489" s="7"/>
      <c r="AK489" s="7"/>
      <c r="AL489" s="7"/>
      <c r="AM489" s="7"/>
    </row>
    <row r="490" spans="33:39" ht="12.75">
      <c r="AG490" s="7"/>
      <c r="AH490" s="7"/>
      <c r="AI490" s="7"/>
      <c r="AJ490" s="7"/>
      <c r="AK490" s="7"/>
      <c r="AL490" s="7"/>
      <c r="AM490" s="7"/>
    </row>
    <row r="491" spans="33:39" ht="12.75">
      <c r="AG491" s="7"/>
      <c r="AH491" s="7"/>
      <c r="AI491" s="7"/>
      <c r="AJ491" s="7"/>
      <c r="AK491" s="7"/>
      <c r="AL491" s="7"/>
      <c r="AM491" s="7"/>
    </row>
    <row r="492" spans="33:39" ht="12.75">
      <c r="AG492" s="7"/>
      <c r="AH492" s="7"/>
      <c r="AI492" s="7"/>
      <c r="AJ492" s="7"/>
      <c r="AK492" s="7"/>
      <c r="AL492" s="7"/>
      <c r="AM492" s="7"/>
    </row>
    <row r="493" spans="33:39" ht="12.75">
      <c r="AG493" s="7"/>
      <c r="AH493" s="7"/>
      <c r="AI493" s="7"/>
      <c r="AJ493" s="7"/>
      <c r="AK493" s="7"/>
      <c r="AL493" s="7"/>
      <c r="AM493" s="7"/>
    </row>
    <row r="494" spans="33:39" ht="12.75">
      <c r="AG494" s="7"/>
      <c r="AH494" s="7"/>
      <c r="AI494" s="7"/>
      <c r="AJ494" s="7"/>
      <c r="AK494" s="7"/>
      <c r="AL494" s="7"/>
      <c r="AM494" s="7"/>
    </row>
    <row r="495" spans="33:39" ht="12.75">
      <c r="AG495" s="7"/>
      <c r="AH495" s="7"/>
      <c r="AI495" s="7"/>
      <c r="AJ495" s="7"/>
      <c r="AK495" s="7"/>
      <c r="AL495" s="7"/>
      <c r="AM495" s="7"/>
    </row>
    <row r="496" spans="33:39" ht="12.75">
      <c r="AG496" s="7"/>
      <c r="AH496" s="7"/>
      <c r="AI496" s="7"/>
      <c r="AJ496" s="7"/>
      <c r="AK496" s="7"/>
      <c r="AL496" s="7"/>
      <c r="AM496" s="7"/>
    </row>
    <row r="497" spans="33:39" ht="12.75">
      <c r="AG497" s="7"/>
      <c r="AH497" s="7"/>
      <c r="AI497" s="7"/>
      <c r="AJ497" s="7"/>
      <c r="AK497" s="7"/>
      <c r="AL497" s="7"/>
      <c r="AM497" s="7"/>
    </row>
    <row r="498" spans="33:39" ht="12.75">
      <c r="AG498" s="7"/>
      <c r="AH498" s="7"/>
      <c r="AI498" s="7"/>
      <c r="AJ498" s="7"/>
      <c r="AK498" s="7"/>
      <c r="AL498" s="7"/>
      <c r="AM498" s="7"/>
    </row>
    <row r="499" spans="33:39" ht="12.75">
      <c r="AG499" s="7"/>
      <c r="AH499" s="7"/>
      <c r="AI499" s="7"/>
      <c r="AJ499" s="7"/>
      <c r="AK499" s="7"/>
      <c r="AL499" s="7"/>
      <c r="AM499" s="7"/>
    </row>
    <row r="500" spans="33:39" ht="12.75">
      <c r="AG500" s="7"/>
      <c r="AH500" s="7"/>
      <c r="AI500" s="7"/>
      <c r="AJ500" s="7"/>
      <c r="AK500" s="7"/>
      <c r="AL500" s="7"/>
      <c r="AM500" s="7"/>
    </row>
    <row r="501" spans="33:39" ht="12.75">
      <c r="AG501" s="7"/>
      <c r="AH501" s="7"/>
      <c r="AI501" s="7"/>
      <c r="AJ501" s="7"/>
      <c r="AK501" s="7"/>
      <c r="AL501" s="7"/>
      <c r="AM501" s="7"/>
    </row>
    <row r="502" spans="33:39" ht="12.75">
      <c r="AG502" s="7"/>
      <c r="AH502" s="7"/>
      <c r="AI502" s="7"/>
      <c r="AJ502" s="7"/>
      <c r="AK502" s="7"/>
      <c r="AL502" s="7"/>
      <c r="AM502" s="7"/>
    </row>
    <row r="503" spans="33:39" ht="12.75">
      <c r="AG503" s="7"/>
      <c r="AH503" s="7"/>
      <c r="AI503" s="7"/>
      <c r="AJ503" s="7"/>
      <c r="AK503" s="7"/>
      <c r="AL503" s="7"/>
      <c r="AM503" s="7"/>
    </row>
    <row r="504" spans="33:39" ht="12.75">
      <c r="AG504" s="7"/>
      <c r="AH504" s="7"/>
      <c r="AI504" s="7"/>
      <c r="AJ504" s="7"/>
      <c r="AK504" s="7"/>
      <c r="AL504" s="7"/>
      <c r="AM504" s="7"/>
    </row>
    <row r="505" spans="33:39" ht="12.75">
      <c r="AG505" s="7"/>
      <c r="AH505" s="7"/>
      <c r="AI505" s="7"/>
      <c r="AJ505" s="7"/>
      <c r="AK505" s="7"/>
      <c r="AL505" s="7"/>
      <c r="AM505" s="7"/>
    </row>
    <row r="506" spans="33:39" ht="12.75">
      <c r="AG506" s="7"/>
      <c r="AH506" s="7"/>
      <c r="AI506" s="7"/>
      <c r="AJ506" s="7"/>
      <c r="AK506" s="7"/>
      <c r="AL506" s="7"/>
      <c r="AM506" s="7"/>
    </row>
    <row r="507" spans="33:39" ht="12.75">
      <c r="AG507" s="7"/>
      <c r="AH507" s="7"/>
      <c r="AI507" s="7"/>
      <c r="AJ507" s="7"/>
      <c r="AK507" s="7"/>
      <c r="AL507" s="7"/>
      <c r="AM507" s="7"/>
    </row>
    <row r="508" spans="33:39" ht="12.75">
      <c r="AG508" s="7"/>
      <c r="AH508" s="7"/>
      <c r="AI508" s="7"/>
      <c r="AJ508" s="7"/>
      <c r="AK508" s="7"/>
      <c r="AL508" s="7"/>
      <c r="AM508" s="7"/>
    </row>
    <row r="509" spans="33:39" ht="12.75">
      <c r="AG509" s="7"/>
      <c r="AH509" s="7"/>
      <c r="AI509" s="7"/>
      <c r="AJ509" s="7"/>
      <c r="AK509" s="7"/>
      <c r="AL509" s="7"/>
      <c r="AM509" s="7"/>
    </row>
    <row r="510" spans="33:39" ht="12.75">
      <c r="AG510" s="7"/>
      <c r="AH510" s="7"/>
      <c r="AI510" s="7"/>
      <c r="AJ510" s="7"/>
      <c r="AK510" s="7"/>
      <c r="AL510" s="7"/>
      <c r="AM510" s="7"/>
    </row>
    <row r="511" spans="33:39" ht="12.75">
      <c r="AG511" s="7"/>
      <c r="AH511" s="7"/>
      <c r="AI511" s="7"/>
      <c r="AJ511" s="7"/>
      <c r="AK511" s="7"/>
      <c r="AL511" s="7"/>
      <c r="AM511" s="7"/>
    </row>
    <row r="512" spans="33:39" ht="12.75">
      <c r="AG512" s="7"/>
      <c r="AH512" s="7"/>
      <c r="AI512" s="7"/>
      <c r="AJ512" s="7"/>
      <c r="AK512" s="7"/>
      <c r="AL512" s="7"/>
      <c r="AM512" s="7"/>
    </row>
    <row r="513" spans="33:39" ht="12.75">
      <c r="AG513" s="7"/>
      <c r="AH513" s="7"/>
      <c r="AI513" s="7"/>
      <c r="AJ513" s="7"/>
      <c r="AK513" s="7"/>
      <c r="AL513" s="7"/>
      <c r="AM513" s="7"/>
    </row>
    <row r="514" spans="33:39" ht="12.75">
      <c r="AG514" s="7"/>
      <c r="AH514" s="7"/>
      <c r="AI514" s="7"/>
      <c r="AJ514" s="7"/>
      <c r="AK514" s="7"/>
      <c r="AL514" s="7"/>
      <c r="AM514" s="7"/>
    </row>
    <row r="515" spans="33:39" ht="12.75">
      <c r="AG515" s="7"/>
      <c r="AH515" s="7"/>
      <c r="AI515" s="7"/>
      <c r="AJ515" s="7"/>
      <c r="AK515" s="7"/>
      <c r="AL515" s="7"/>
      <c r="AM515" s="7"/>
    </row>
    <row r="516" spans="33:39" ht="12.75">
      <c r="AG516" s="7"/>
      <c r="AH516" s="7"/>
      <c r="AI516" s="7"/>
      <c r="AJ516" s="7"/>
      <c r="AK516" s="7"/>
      <c r="AL516" s="7"/>
      <c r="AM516" s="7"/>
    </row>
    <row r="517" spans="33:39" ht="12.75">
      <c r="AG517" s="7"/>
      <c r="AH517" s="7"/>
      <c r="AI517" s="7"/>
      <c r="AJ517" s="7"/>
      <c r="AK517" s="7"/>
      <c r="AL517" s="7"/>
      <c r="AM517" s="7"/>
    </row>
    <row r="518" spans="33:39" ht="12.75">
      <c r="AG518" s="7"/>
      <c r="AH518" s="7"/>
      <c r="AI518" s="7"/>
      <c r="AJ518" s="7"/>
      <c r="AK518" s="7"/>
      <c r="AL518" s="7"/>
      <c r="AM518" s="7"/>
    </row>
    <row r="519" spans="33:39" ht="12.75">
      <c r="AG519" s="7"/>
      <c r="AH519" s="7"/>
      <c r="AI519" s="7"/>
      <c r="AJ519" s="7"/>
      <c r="AK519" s="7"/>
      <c r="AL519" s="7"/>
      <c r="AM519" s="7"/>
    </row>
    <row r="520" spans="33:39" ht="12.75">
      <c r="AG520" s="7"/>
      <c r="AH520" s="7"/>
      <c r="AI520" s="7"/>
      <c r="AJ520" s="7"/>
      <c r="AK520" s="7"/>
      <c r="AL520" s="7"/>
      <c r="AM520" s="7"/>
    </row>
    <row r="521" spans="33:39" ht="12.75">
      <c r="AG521" s="7"/>
      <c r="AH521" s="7"/>
      <c r="AI521" s="7"/>
      <c r="AJ521" s="7"/>
      <c r="AK521" s="7"/>
      <c r="AL521" s="7"/>
      <c r="AM521" s="7"/>
    </row>
    <row r="522" spans="33:39" ht="12.75">
      <c r="AG522" s="7"/>
      <c r="AH522" s="7"/>
      <c r="AI522" s="7"/>
      <c r="AJ522" s="7"/>
      <c r="AK522" s="7"/>
      <c r="AL522" s="7"/>
      <c r="AM522" s="7"/>
    </row>
    <row r="523" spans="33:39" ht="12.75">
      <c r="AG523" s="7"/>
      <c r="AH523" s="7"/>
      <c r="AI523" s="7"/>
      <c r="AJ523" s="7"/>
      <c r="AK523" s="7"/>
      <c r="AL523" s="7"/>
      <c r="AM523" s="7"/>
    </row>
    <row r="524" spans="33:39" ht="12.75">
      <c r="AG524" s="7"/>
      <c r="AH524" s="7"/>
      <c r="AI524" s="7"/>
      <c r="AJ524" s="7"/>
      <c r="AK524" s="7"/>
      <c r="AL524" s="7"/>
      <c r="AM524" s="7"/>
    </row>
    <row r="525" spans="33:39" ht="12.75">
      <c r="AG525" s="7"/>
      <c r="AH525" s="7"/>
      <c r="AI525" s="7"/>
      <c r="AJ525" s="7"/>
      <c r="AK525" s="7"/>
      <c r="AL525" s="7"/>
      <c r="AM525" s="7"/>
    </row>
    <row r="526" spans="33:39" ht="12.75">
      <c r="AG526" s="7"/>
      <c r="AH526" s="7"/>
      <c r="AI526" s="7"/>
      <c r="AJ526" s="7"/>
      <c r="AK526" s="7"/>
      <c r="AL526" s="7"/>
      <c r="AM526" s="7"/>
    </row>
    <row r="527" spans="33:39" ht="12.75">
      <c r="AG527" s="7"/>
      <c r="AH527" s="7"/>
      <c r="AI527" s="7"/>
      <c r="AJ527" s="7"/>
      <c r="AK527" s="7"/>
      <c r="AL527" s="7"/>
      <c r="AM527" s="7"/>
    </row>
    <row r="528" spans="33:39" ht="12.75">
      <c r="AG528" s="7"/>
      <c r="AH528" s="7"/>
      <c r="AI528" s="7"/>
      <c r="AJ528" s="7"/>
      <c r="AK528" s="7"/>
      <c r="AL528" s="7"/>
      <c r="AM528" s="7"/>
    </row>
    <row r="529" spans="33:39" ht="12.75">
      <c r="AG529" s="7"/>
      <c r="AH529" s="7"/>
      <c r="AI529" s="7"/>
      <c r="AJ529" s="7"/>
      <c r="AK529" s="7"/>
      <c r="AL529" s="7"/>
      <c r="AM529" s="7"/>
    </row>
    <row r="530" spans="33:39" ht="12.75">
      <c r="AG530" s="7"/>
      <c r="AH530" s="7"/>
      <c r="AI530" s="7"/>
      <c r="AJ530" s="7"/>
      <c r="AK530" s="7"/>
      <c r="AL530" s="7"/>
      <c r="AM530" s="7"/>
    </row>
    <row r="531" spans="33:39" ht="12.75">
      <c r="AG531" s="7"/>
      <c r="AH531" s="7"/>
      <c r="AI531" s="7"/>
      <c r="AJ531" s="7"/>
      <c r="AK531" s="7"/>
      <c r="AL531" s="7"/>
      <c r="AM531" s="7"/>
    </row>
    <row r="532" spans="33:39" ht="12.75">
      <c r="AG532" s="7"/>
      <c r="AH532" s="7"/>
      <c r="AI532" s="7"/>
      <c r="AJ532" s="7"/>
      <c r="AK532" s="7"/>
      <c r="AL532" s="7"/>
      <c r="AM532" s="7"/>
    </row>
    <row r="533" spans="33:39" ht="12.75">
      <c r="AG533" s="7"/>
      <c r="AH533" s="7"/>
      <c r="AI533" s="7"/>
      <c r="AJ533" s="7"/>
      <c r="AK533" s="7"/>
      <c r="AL533" s="7"/>
      <c r="AM533" s="7"/>
    </row>
    <row r="534" spans="33:39" ht="12.75">
      <c r="AG534" s="7"/>
      <c r="AH534" s="7"/>
      <c r="AI534" s="7"/>
      <c r="AJ534" s="7"/>
      <c r="AK534" s="7"/>
      <c r="AL534" s="7"/>
      <c r="AM534" s="7"/>
    </row>
    <row r="535" spans="33:39" ht="12.75">
      <c r="AG535" s="7"/>
      <c r="AH535" s="7"/>
      <c r="AI535" s="7"/>
      <c r="AJ535" s="7"/>
      <c r="AK535" s="7"/>
      <c r="AL535" s="7"/>
      <c r="AM535" s="7"/>
    </row>
    <row r="536" spans="33:39" ht="12.75">
      <c r="AG536" s="7"/>
      <c r="AH536" s="7"/>
      <c r="AI536" s="7"/>
      <c r="AJ536" s="7"/>
      <c r="AK536" s="7"/>
      <c r="AL536" s="7"/>
      <c r="AM536" s="7"/>
    </row>
    <row r="537" spans="33:39" ht="12.75">
      <c r="AG537" s="7"/>
      <c r="AH537" s="7"/>
      <c r="AI537" s="7"/>
      <c r="AJ537" s="7"/>
      <c r="AK537" s="7"/>
      <c r="AL537" s="7"/>
      <c r="AM537" s="7"/>
    </row>
    <row r="538" spans="33:39" ht="12.75">
      <c r="AG538" s="7"/>
      <c r="AH538" s="7"/>
      <c r="AI538" s="7"/>
      <c r="AJ538" s="7"/>
      <c r="AK538" s="7"/>
      <c r="AL538" s="7"/>
      <c r="AM538" s="7"/>
    </row>
    <row r="539" spans="33:39" ht="12.75">
      <c r="AG539" s="7"/>
      <c r="AH539" s="7"/>
      <c r="AI539" s="7"/>
      <c r="AJ539" s="7"/>
      <c r="AK539" s="7"/>
      <c r="AL539" s="7"/>
      <c r="AM539" s="7"/>
    </row>
    <row r="540" spans="33:39" ht="12.75">
      <c r="AG540" s="7"/>
      <c r="AH540" s="7"/>
      <c r="AI540" s="7"/>
      <c r="AJ540" s="7"/>
      <c r="AK540" s="7"/>
      <c r="AL540" s="7"/>
      <c r="AM540" s="7"/>
    </row>
    <row r="541" spans="33:39" ht="12.75">
      <c r="AG541" s="7"/>
      <c r="AH541" s="7"/>
      <c r="AI541" s="7"/>
      <c r="AJ541" s="7"/>
      <c r="AK541" s="7"/>
      <c r="AL541" s="7"/>
      <c r="AM541" s="7"/>
    </row>
    <row r="542" spans="33:39" ht="12.75">
      <c r="AG542" s="7"/>
      <c r="AH542" s="7"/>
      <c r="AI542" s="7"/>
      <c r="AJ542" s="7"/>
      <c r="AK542" s="7"/>
      <c r="AL542" s="7"/>
      <c r="AM542" s="7"/>
    </row>
    <row r="543" spans="33:39" ht="12.75">
      <c r="AG543" s="7"/>
      <c r="AH543" s="7"/>
      <c r="AI543" s="7"/>
      <c r="AJ543" s="7"/>
      <c r="AK543" s="7"/>
      <c r="AL543" s="7"/>
      <c r="AM543" s="7"/>
    </row>
    <row r="544" spans="33:39" ht="12.75">
      <c r="AG544" s="7"/>
      <c r="AH544" s="7"/>
      <c r="AI544" s="7"/>
      <c r="AJ544" s="7"/>
      <c r="AK544" s="7"/>
      <c r="AL544" s="7"/>
      <c r="AM544" s="7"/>
    </row>
    <row r="545" spans="33:39" ht="12.75">
      <c r="AG545" s="7"/>
      <c r="AH545" s="7"/>
      <c r="AI545" s="7"/>
      <c r="AJ545" s="7"/>
      <c r="AK545" s="7"/>
      <c r="AL545" s="7"/>
      <c r="AM545" s="7"/>
    </row>
    <row r="546" spans="33:39" ht="12.75">
      <c r="AG546" s="7"/>
      <c r="AH546" s="7"/>
      <c r="AI546" s="7"/>
      <c r="AJ546" s="7"/>
      <c r="AK546" s="7"/>
      <c r="AL546" s="7"/>
      <c r="AM546" s="7"/>
    </row>
    <row r="547" spans="33:39" ht="12.75">
      <c r="AG547" s="7"/>
      <c r="AH547" s="7"/>
      <c r="AI547" s="7"/>
      <c r="AJ547" s="7"/>
      <c r="AK547" s="7"/>
      <c r="AL547" s="7"/>
      <c r="AM547" s="7"/>
    </row>
    <row r="548" spans="33:39" ht="12.75">
      <c r="AG548" s="7"/>
      <c r="AH548" s="7"/>
      <c r="AI548" s="7"/>
      <c r="AJ548" s="7"/>
      <c r="AK548" s="7"/>
      <c r="AL548" s="7"/>
      <c r="AM548" s="7"/>
    </row>
    <row r="549" spans="33:39" ht="12.75">
      <c r="AG549" s="7"/>
      <c r="AH549" s="7"/>
      <c r="AI549" s="7"/>
      <c r="AJ549" s="7"/>
      <c r="AK549" s="7"/>
      <c r="AL549" s="7"/>
      <c r="AM549" s="7"/>
    </row>
    <row r="550" spans="33:39" ht="12.75">
      <c r="AG550" s="7"/>
      <c r="AH550" s="7"/>
      <c r="AI550" s="7"/>
      <c r="AJ550" s="7"/>
      <c r="AK550" s="7"/>
      <c r="AL550" s="7"/>
      <c r="AM550" s="7"/>
    </row>
    <row r="551" spans="33:39" ht="12.75">
      <c r="AG551" s="7"/>
      <c r="AH551" s="7"/>
      <c r="AI551" s="7"/>
      <c r="AJ551" s="7"/>
      <c r="AK551" s="7"/>
      <c r="AL551" s="7"/>
      <c r="AM551" s="7"/>
    </row>
    <row r="552" spans="33:39" ht="12.75">
      <c r="AG552" s="7"/>
      <c r="AH552" s="7"/>
      <c r="AI552" s="7"/>
      <c r="AJ552" s="7"/>
      <c r="AK552" s="7"/>
      <c r="AL552" s="7"/>
      <c r="AM552" s="7"/>
    </row>
    <row r="553" spans="33:39" ht="12.75">
      <c r="AG553" s="7"/>
      <c r="AH553" s="7"/>
      <c r="AI553" s="7"/>
      <c r="AJ553" s="7"/>
      <c r="AK553" s="7"/>
      <c r="AL553" s="7"/>
      <c r="AM553" s="7"/>
    </row>
    <row r="554" spans="33:39" ht="12.75">
      <c r="AG554" s="7"/>
      <c r="AH554" s="7"/>
      <c r="AI554" s="7"/>
      <c r="AJ554" s="7"/>
      <c r="AK554" s="7"/>
      <c r="AL554" s="7"/>
      <c r="AM554" s="7"/>
    </row>
    <row r="555" spans="33:39" ht="12.75">
      <c r="AG555" s="7"/>
      <c r="AH555" s="7"/>
      <c r="AI555" s="7"/>
      <c r="AJ555" s="7"/>
      <c r="AK555" s="7"/>
      <c r="AL555" s="7"/>
      <c r="AM555" s="7"/>
    </row>
    <row r="556" spans="33:39" ht="12.75">
      <c r="AG556" s="7"/>
      <c r="AH556" s="7"/>
      <c r="AI556" s="7"/>
      <c r="AJ556" s="7"/>
      <c r="AK556" s="7"/>
      <c r="AL556" s="7"/>
      <c r="AM556" s="7"/>
    </row>
    <row r="557" spans="33:39" ht="12.75">
      <c r="AG557" s="7"/>
      <c r="AH557" s="7"/>
      <c r="AI557" s="7"/>
      <c r="AJ557" s="7"/>
      <c r="AK557" s="7"/>
      <c r="AL557" s="7"/>
      <c r="AM557" s="7"/>
    </row>
    <row r="558" spans="33:39" ht="12.75">
      <c r="AG558" s="7"/>
      <c r="AH558" s="7"/>
      <c r="AI558" s="7"/>
      <c r="AJ558" s="7"/>
      <c r="AK558" s="7"/>
      <c r="AL558" s="7"/>
      <c r="AM558" s="7"/>
    </row>
    <row r="559" spans="33:39" ht="12.75">
      <c r="AG559" s="7"/>
      <c r="AH559" s="7"/>
      <c r="AI559" s="7"/>
      <c r="AJ559" s="7"/>
      <c r="AK559" s="7"/>
      <c r="AL559" s="7"/>
      <c r="AM559" s="7"/>
    </row>
    <row r="560" spans="33:39" ht="12.75">
      <c r="AG560" s="7"/>
      <c r="AH560" s="7"/>
      <c r="AI560" s="7"/>
      <c r="AJ560" s="7"/>
      <c r="AK560" s="7"/>
      <c r="AL560" s="7"/>
      <c r="AM560" s="7"/>
    </row>
    <row r="561" spans="33:39" ht="12.75">
      <c r="AG561" s="7"/>
      <c r="AH561" s="7"/>
      <c r="AI561" s="7"/>
      <c r="AJ561" s="7"/>
      <c r="AK561" s="7"/>
      <c r="AL561" s="7"/>
      <c r="AM561" s="7"/>
    </row>
    <row r="562" spans="33:39" ht="12.75">
      <c r="AG562" s="7"/>
      <c r="AH562" s="7"/>
      <c r="AI562" s="7"/>
      <c r="AJ562" s="7"/>
      <c r="AK562" s="7"/>
      <c r="AL562" s="7"/>
      <c r="AM562" s="7"/>
    </row>
    <row r="563" spans="33:39" ht="12.75">
      <c r="AG563" s="7"/>
      <c r="AH563" s="7"/>
      <c r="AI563" s="7"/>
      <c r="AJ563" s="7"/>
      <c r="AK563" s="7"/>
      <c r="AL563" s="7"/>
      <c r="AM563" s="7"/>
    </row>
    <row r="564" spans="33:39" ht="12.75">
      <c r="AG564" s="7"/>
      <c r="AH564" s="7"/>
      <c r="AI564" s="7"/>
      <c r="AJ564" s="7"/>
      <c r="AK564" s="7"/>
      <c r="AL564" s="7"/>
      <c r="AM564" s="7"/>
    </row>
    <row r="565" spans="33:39" ht="12.75">
      <c r="AG565" s="7"/>
      <c r="AH565" s="7"/>
      <c r="AI565" s="7"/>
      <c r="AJ565" s="7"/>
      <c r="AK565" s="7"/>
      <c r="AL565" s="7"/>
      <c r="AM565" s="7"/>
    </row>
    <row r="566" spans="33:39" ht="12.75">
      <c r="AG566" s="7"/>
      <c r="AH566" s="7"/>
      <c r="AI566" s="7"/>
      <c r="AJ566" s="7"/>
      <c r="AK566" s="7"/>
      <c r="AL566" s="7"/>
      <c r="AM566" s="7"/>
    </row>
    <row r="567" spans="33:39" ht="12.75">
      <c r="AG567" s="7"/>
      <c r="AH567" s="7"/>
      <c r="AI567" s="7"/>
      <c r="AJ567" s="7"/>
      <c r="AK567" s="7"/>
      <c r="AL567" s="7"/>
      <c r="AM567" s="7"/>
    </row>
    <row r="568" spans="33:39" ht="12.75">
      <c r="AG568" s="7"/>
      <c r="AH568" s="7"/>
      <c r="AI568" s="7"/>
      <c r="AJ568" s="7"/>
      <c r="AK568" s="7"/>
      <c r="AL568" s="7"/>
      <c r="AM568" s="7"/>
    </row>
    <row r="569" spans="33:39" ht="12.75">
      <c r="AG569" s="7"/>
      <c r="AH569" s="7"/>
      <c r="AI569" s="7"/>
      <c r="AJ569" s="7"/>
      <c r="AK569" s="7"/>
      <c r="AL569" s="7"/>
      <c r="AM569" s="7"/>
    </row>
    <row r="570" spans="33:39" ht="12.75">
      <c r="AG570" s="7"/>
      <c r="AH570" s="7"/>
      <c r="AI570" s="7"/>
      <c r="AJ570" s="7"/>
      <c r="AK570" s="7"/>
      <c r="AL570" s="7"/>
      <c r="AM570" s="7"/>
    </row>
    <row r="571" spans="33:39" ht="12.75">
      <c r="AG571" s="7"/>
      <c r="AH571" s="7"/>
      <c r="AI571" s="7"/>
      <c r="AJ571" s="7"/>
      <c r="AK571" s="7"/>
      <c r="AL571" s="7"/>
      <c r="AM571" s="7"/>
    </row>
    <row r="572" spans="33:39" ht="12.75">
      <c r="AG572" s="7"/>
      <c r="AH572" s="7"/>
      <c r="AI572" s="7"/>
      <c r="AJ572" s="7"/>
      <c r="AK572" s="7"/>
      <c r="AL572" s="7"/>
      <c r="AM572" s="7"/>
    </row>
    <row r="573" spans="33:39" ht="12.75">
      <c r="AG573" s="7"/>
      <c r="AH573" s="7"/>
      <c r="AI573" s="7"/>
      <c r="AJ573" s="7"/>
      <c r="AK573" s="7"/>
      <c r="AL573" s="7"/>
      <c r="AM573" s="7"/>
    </row>
    <row r="574" spans="33:39" ht="12.75">
      <c r="AG574" s="7"/>
      <c r="AH574" s="7"/>
      <c r="AI574" s="7"/>
      <c r="AJ574" s="7"/>
      <c r="AK574" s="7"/>
      <c r="AL574" s="7"/>
      <c r="AM574" s="7"/>
    </row>
    <row r="575" spans="33:39" ht="12.75">
      <c r="AG575" s="7"/>
      <c r="AH575" s="7"/>
      <c r="AI575" s="7"/>
      <c r="AJ575" s="7"/>
      <c r="AK575" s="7"/>
      <c r="AL575" s="7"/>
      <c r="AM575" s="7"/>
    </row>
    <row r="576" spans="33:39" ht="12.75">
      <c r="AG576" s="7"/>
      <c r="AH576" s="7"/>
      <c r="AI576" s="7"/>
      <c r="AJ576" s="7"/>
      <c r="AK576" s="7"/>
      <c r="AL576" s="7"/>
      <c r="AM576" s="7"/>
    </row>
    <row r="577" spans="33:39" ht="12.75">
      <c r="AG577" s="7"/>
      <c r="AH577" s="7"/>
      <c r="AI577" s="7"/>
      <c r="AJ577" s="7"/>
      <c r="AK577" s="7"/>
      <c r="AL577" s="7"/>
      <c r="AM577" s="7"/>
    </row>
    <row r="578" spans="33:39" ht="12.75">
      <c r="AG578" s="7"/>
      <c r="AH578" s="7"/>
      <c r="AI578" s="7"/>
      <c r="AJ578" s="7"/>
      <c r="AK578" s="7"/>
      <c r="AL578" s="7"/>
      <c r="AM578" s="7"/>
    </row>
    <row r="579" spans="33:39" ht="12.75">
      <c r="AG579" s="7"/>
      <c r="AH579" s="7"/>
      <c r="AI579" s="7"/>
      <c r="AJ579" s="7"/>
      <c r="AK579" s="7"/>
      <c r="AL579" s="7"/>
      <c r="AM579" s="7"/>
    </row>
    <row r="580" spans="33:39" ht="12.75">
      <c r="AG580" s="7"/>
      <c r="AH580" s="7"/>
      <c r="AI580" s="7"/>
      <c r="AJ580" s="7"/>
      <c r="AK580" s="7"/>
      <c r="AL580" s="7"/>
      <c r="AM580" s="7"/>
    </row>
    <row r="581" spans="33:39" ht="12.75">
      <c r="AG581" s="7"/>
      <c r="AH581" s="7"/>
      <c r="AI581" s="7"/>
      <c r="AJ581" s="7"/>
      <c r="AK581" s="7"/>
      <c r="AL581" s="7"/>
      <c r="AM581" s="7"/>
    </row>
    <row r="582" spans="33:39" ht="12.75">
      <c r="AG582" s="7"/>
      <c r="AH582" s="7"/>
      <c r="AI582" s="7"/>
      <c r="AJ582" s="7"/>
      <c r="AK582" s="7"/>
      <c r="AL582" s="7"/>
      <c r="AM582" s="7"/>
    </row>
    <row r="583" spans="33:39" ht="12.75">
      <c r="AG583" s="7"/>
      <c r="AH583" s="7"/>
      <c r="AI583" s="7"/>
      <c r="AJ583" s="7"/>
      <c r="AK583" s="7"/>
      <c r="AL583" s="7"/>
      <c r="AM583" s="7"/>
    </row>
    <row r="584" spans="33:39" ht="12.75">
      <c r="AG584" s="7"/>
      <c r="AH584" s="7"/>
      <c r="AI584" s="7"/>
      <c r="AJ584" s="7"/>
      <c r="AK584" s="7"/>
      <c r="AL584" s="7"/>
      <c r="AM584" s="7"/>
    </row>
    <row r="585" spans="33:39" ht="12.75">
      <c r="AG585" s="7"/>
      <c r="AH585" s="7"/>
      <c r="AI585" s="7"/>
      <c r="AJ585" s="7"/>
      <c r="AK585" s="7"/>
      <c r="AL585" s="7"/>
      <c r="AM585" s="7"/>
    </row>
    <row r="586" spans="33:39" ht="12.75">
      <c r="AG586" s="7"/>
      <c r="AH586" s="7"/>
      <c r="AI586" s="7"/>
      <c r="AJ586" s="7"/>
      <c r="AK586" s="7"/>
      <c r="AL586" s="7"/>
      <c r="AM586" s="7"/>
    </row>
    <row r="587" spans="33:39" ht="12.75">
      <c r="AG587" s="7"/>
      <c r="AH587" s="7"/>
      <c r="AI587" s="7"/>
      <c r="AJ587" s="7"/>
      <c r="AK587" s="7"/>
      <c r="AL587" s="7"/>
      <c r="AM587" s="7"/>
    </row>
    <row r="588" spans="33:39" ht="12.75">
      <c r="AG588" s="7"/>
      <c r="AH588" s="7"/>
      <c r="AI588" s="7"/>
      <c r="AJ588" s="7"/>
      <c r="AK588" s="7"/>
      <c r="AL588" s="7"/>
      <c r="AM588" s="7"/>
    </row>
    <row r="589" spans="33:39" ht="12.75">
      <c r="AG589" s="7"/>
      <c r="AH589" s="7"/>
      <c r="AI589" s="7"/>
      <c r="AJ589" s="7"/>
      <c r="AK589" s="7"/>
      <c r="AL589" s="7"/>
      <c r="AM589" s="7"/>
    </row>
    <row r="590" spans="33:39" ht="12.75">
      <c r="AG590" s="7"/>
      <c r="AH590" s="7"/>
      <c r="AI590" s="7"/>
      <c r="AJ590" s="7"/>
      <c r="AK590" s="7"/>
      <c r="AL590" s="7"/>
      <c r="AM590" s="7"/>
    </row>
    <row r="591" spans="33:39" ht="12.75">
      <c r="AG591" s="7"/>
      <c r="AH591" s="7"/>
      <c r="AI591" s="7"/>
      <c r="AJ591" s="7"/>
      <c r="AK591" s="7"/>
      <c r="AL591" s="7"/>
      <c r="AM591" s="7"/>
    </row>
    <row r="592" spans="33:39" ht="12.75">
      <c r="AG592" s="7"/>
      <c r="AH592" s="7"/>
      <c r="AI592" s="7"/>
      <c r="AJ592" s="7"/>
      <c r="AK592" s="7"/>
      <c r="AL592" s="7"/>
      <c r="AM592" s="7"/>
    </row>
    <row r="593" spans="33:39" ht="12.75">
      <c r="AG593" s="7"/>
      <c r="AH593" s="7"/>
      <c r="AI593" s="7"/>
      <c r="AJ593" s="7"/>
      <c r="AK593" s="7"/>
      <c r="AL593" s="7"/>
      <c r="AM593" s="7"/>
    </row>
    <row r="594" spans="33:39" ht="12.75">
      <c r="AG594" s="7"/>
      <c r="AH594" s="7"/>
      <c r="AI594" s="7"/>
      <c r="AJ594" s="7"/>
      <c r="AK594" s="7"/>
      <c r="AL594" s="7"/>
      <c r="AM594" s="7"/>
    </row>
    <row r="595" spans="33:39" ht="12.75">
      <c r="AG595" s="7"/>
      <c r="AH595" s="7"/>
      <c r="AI595" s="7"/>
      <c r="AJ595" s="7"/>
      <c r="AK595" s="7"/>
      <c r="AL595" s="7"/>
      <c r="AM595" s="7"/>
    </row>
    <row r="596" spans="33:39" ht="12.75">
      <c r="AG596" s="7"/>
      <c r="AH596" s="7"/>
      <c r="AI596" s="7"/>
      <c r="AJ596" s="7"/>
      <c r="AK596" s="7"/>
      <c r="AL596" s="7"/>
      <c r="AM596" s="7"/>
    </row>
    <row r="597" spans="33:39" ht="12.75">
      <c r="AG597" s="7"/>
      <c r="AH597" s="7"/>
      <c r="AI597" s="7"/>
      <c r="AJ597" s="7"/>
      <c r="AK597" s="7"/>
      <c r="AL597" s="7"/>
      <c r="AM597" s="7"/>
    </row>
    <row r="598" spans="33:39" ht="12.75">
      <c r="AG598" s="7"/>
      <c r="AH598" s="7"/>
      <c r="AI598" s="7"/>
      <c r="AJ598" s="7"/>
      <c r="AK598" s="7"/>
      <c r="AL598" s="7"/>
      <c r="AM598" s="7"/>
    </row>
    <row r="599" spans="33:39" ht="12.75">
      <c r="AG599" s="7"/>
      <c r="AH599" s="7"/>
      <c r="AI599" s="7"/>
      <c r="AJ599" s="7"/>
      <c r="AK599" s="7"/>
      <c r="AL599" s="7"/>
      <c r="AM599" s="7"/>
    </row>
    <row r="600" spans="33:39" ht="12.75">
      <c r="AG600" s="7"/>
      <c r="AH600" s="7"/>
      <c r="AI600" s="7"/>
      <c r="AJ600" s="7"/>
      <c r="AK600" s="7"/>
      <c r="AL600" s="7"/>
      <c r="AM600" s="7"/>
    </row>
    <row r="601" spans="33:39" ht="12.75">
      <c r="AG601" s="7"/>
      <c r="AH601" s="7"/>
      <c r="AI601" s="7"/>
      <c r="AJ601" s="7"/>
      <c r="AK601" s="7"/>
      <c r="AL601" s="7"/>
      <c r="AM601" s="7"/>
    </row>
    <row r="602" spans="33:39" ht="12.75">
      <c r="AG602" s="7"/>
      <c r="AH602" s="7"/>
      <c r="AI602" s="7"/>
      <c r="AJ602" s="7"/>
      <c r="AK602" s="7"/>
      <c r="AL602" s="7"/>
      <c r="AM602" s="7"/>
    </row>
  </sheetData>
  <printOptions/>
  <pageMargins left="1" right="1" top="0.5" bottom="0.5" header="0" footer="0.25"/>
  <pageSetup firstPageNumber="36" useFirstPageNumber="1" fitToHeight="2" fitToWidth="2" horizontalDpi="600" verticalDpi="600" orientation="portrait" pageOrder="overThenDown" scale="76" r:id="rId1"/>
  <headerFooter alignWithMargins="0">
    <oddFooter>&amp;C&amp;"Times New Roman,Regular"&amp;11&amp;P</oddFooter>
  </headerFooter>
  <rowBreaks count="1" manualBreakCount="1">
    <brk id="8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Jeffrey G. Wilcheck</cp:lastModifiedBy>
  <cp:lastPrinted>2007-05-10T17:15:20Z</cp:lastPrinted>
  <dcterms:created xsi:type="dcterms:W3CDTF">2002-06-04T12:17:39Z</dcterms:created>
  <dcterms:modified xsi:type="dcterms:W3CDTF">2007-05-29T13:31:08Z</dcterms:modified>
  <cp:category/>
  <cp:version/>
  <cp:contentType/>
  <cp:contentStatus/>
</cp:coreProperties>
</file>